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33E41816-D42C-B64F-80E1-915BB6238F18}"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T116" i="1"/>
  <c r="BT117" i="1"/>
  <c r="BF118" i="1"/>
  <c r="BT118" i="1"/>
  <c r="BF119" i="1"/>
  <c r="BT119" i="1"/>
  <c r="BF120" i="1"/>
  <c r="BT120" i="1"/>
  <c r="BF121" i="1"/>
  <c r="BT121" i="1"/>
  <c r="BF122" i="1"/>
  <c r="BT122" i="1"/>
  <c r="BF123" i="1"/>
  <c r="BT123" i="1"/>
  <c r="BF124" i="1"/>
  <c r="BT124"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T192"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T441" i="1"/>
  <c r="BF442" i="1"/>
  <c r="BT442" i="1"/>
  <c r="BF443" i="1"/>
  <c r="BT443" i="1"/>
  <c r="BF444" i="1"/>
  <c r="BT444" i="1"/>
  <c r="BF445" i="1"/>
  <c r="BT445" i="1"/>
  <c r="BF446" i="1"/>
  <c r="BT446" i="1"/>
  <c r="BF447" i="1"/>
  <c r="BT447" i="1"/>
  <c r="BF448" i="1"/>
  <c r="BT448" i="1"/>
  <c r="BF449" i="1"/>
  <c r="BT449" i="1"/>
  <c r="BF450" i="1"/>
  <c r="BT450" i="1"/>
  <c r="BF451" i="1"/>
  <c r="BT451"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T469" i="1"/>
  <c r="BT470" i="1"/>
  <c r="BT471" i="1"/>
  <c r="BT472" i="1"/>
  <c r="BT473" i="1"/>
  <c r="BT474" i="1"/>
  <c r="BT475" i="1"/>
  <c r="BT476"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T646" i="1"/>
  <c r="BF647" i="1"/>
  <c r="BT647" i="1"/>
  <c r="BF648" i="1"/>
  <c r="BT648" i="1"/>
  <c r="BF649" i="1"/>
  <c r="BT649"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T884" i="1"/>
  <c r="BT885" i="1"/>
  <c r="BF886" i="1"/>
  <c r="BT886" i="1"/>
  <c r="BF887" i="1"/>
  <c r="BT887" i="1"/>
  <c r="BT888" i="1"/>
  <c r="BF889" i="1"/>
  <c r="BT889" i="1"/>
  <c r="BT890" i="1"/>
  <c r="BT891" i="1"/>
  <c r="BT892" i="1"/>
  <c r="BT893" i="1"/>
  <c r="BF894" i="1"/>
  <c r="BT894" i="1"/>
  <c r="BF895" i="1"/>
  <c r="BT895" i="1"/>
  <c r="BT896" i="1"/>
  <c r="BT897" i="1"/>
  <c r="BF898" i="1"/>
  <c r="BT898" i="1"/>
  <c r="BF899" i="1"/>
  <c r="BT899" i="1"/>
  <c r="BT900" i="1"/>
  <c r="BF901" i="1"/>
  <c r="BT901" i="1"/>
  <c r="BF902" i="1"/>
  <c r="BT902" i="1"/>
  <c r="BF903" i="1"/>
  <c r="BT903" i="1"/>
  <c r="BF904" i="1"/>
  <c r="BT904" i="1"/>
  <c r="BF905" i="1"/>
  <c r="BT905" i="1"/>
  <c r="BT906" i="1"/>
  <c r="BT907" i="1"/>
  <c r="BF908" i="1"/>
  <c r="BT908" i="1"/>
  <c r="BT909" i="1"/>
  <c r="BT910" i="1"/>
  <c r="BT911"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T941" i="1"/>
  <c r="BT942" i="1"/>
  <c r="BT943" i="1"/>
  <c r="BT944" i="1"/>
  <c r="BT945" i="1"/>
  <c r="BT946" i="1"/>
  <c r="BT947" i="1"/>
  <c r="BF948" i="1"/>
  <c r="BT948" i="1"/>
  <c r="BF949" i="1"/>
  <c r="BT949" i="1"/>
  <c r="BF950" i="1"/>
  <c r="BT950" i="1"/>
  <c r="BF951" i="1"/>
  <c r="BT951" i="1"/>
  <c r="BF952" i="1"/>
  <c r="BT952" i="1"/>
  <c r="BF953" i="1"/>
  <c r="BT953" i="1"/>
  <c r="BF954" i="1"/>
  <c r="BT954" i="1"/>
  <c r="BT955" i="1"/>
  <c r="BT956" i="1"/>
  <c r="BF957" i="1"/>
  <c r="BT957" i="1"/>
  <c r="BF958" i="1"/>
  <c r="BT958" i="1"/>
  <c r="BT959" i="1"/>
  <c r="BT960" i="1"/>
  <c r="BF961" i="1"/>
  <c r="BT961" i="1"/>
  <c r="BF962" i="1"/>
  <c r="BT962" i="1"/>
  <c r="BT963" i="1"/>
  <c r="BF964" i="1"/>
  <c r="BT964" i="1"/>
  <c r="BF965" i="1"/>
  <c r="BT965" i="1"/>
  <c r="BF966" i="1"/>
  <c r="BT966" i="1"/>
  <c r="BT967" i="1"/>
  <c r="BF968" i="1"/>
  <c r="BT968" i="1"/>
  <c r="BF969" i="1"/>
  <c r="BT969" i="1"/>
  <c r="BF970" i="1"/>
  <c r="BT970" i="1"/>
  <c r="BF971" i="1"/>
  <c r="BT971" i="1"/>
  <c r="BF972" i="1"/>
  <c r="BT972" i="1"/>
  <c r="BF973" i="1"/>
  <c r="BT973" i="1"/>
  <c r="BT974" i="1"/>
  <c r="BF975" i="1"/>
  <c r="BT975" i="1"/>
  <c r="BF976" i="1"/>
  <c r="BT976" i="1"/>
  <c r="BF977" i="1"/>
  <c r="BT977" i="1"/>
  <c r="BF978" i="1"/>
  <c r="BT978" i="1"/>
  <c r="BF979" i="1"/>
  <c r="BT979" i="1"/>
  <c r="BF980" i="1"/>
  <c r="BT980" i="1"/>
  <c r="BF981" i="1"/>
  <c r="BT981" i="1"/>
  <c r="BF982" i="1"/>
  <c r="BT982" i="1"/>
  <c r="BF983" i="1"/>
  <c r="BT983" i="1"/>
  <c r="BF984" i="1"/>
  <c r="BT984" i="1"/>
  <c r="BT985" i="1"/>
  <c r="BT986" i="1"/>
  <c r="BT987" i="1"/>
  <c r="BT988" i="1"/>
  <c r="BT989" i="1"/>
  <c r="BT990" i="1"/>
  <c r="BT991" i="1"/>
  <c r="BT992" i="1"/>
  <c r="BT993" i="1"/>
  <c r="BF994" i="1"/>
  <c r="BT994" i="1"/>
  <c r="BT995" i="1"/>
  <c r="BT996" i="1"/>
  <c r="BF997" i="1"/>
  <c r="BT997" i="1"/>
  <c r="BF998" i="1"/>
  <c r="BT998" i="1"/>
  <c r="BF999" i="1"/>
  <c r="BT999" i="1"/>
  <c r="BF1000" i="1"/>
  <c r="BT1000" i="1"/>
  <c r="BF1001" i="1"/>
  <c r="BT1001" i="1"/>
</calcChain>
</file>

<file path=xl/sharedStrings.xml><?xml version="1.0" encoding="utf-8"?>
<sst xmlns="http://schemas.openxmlformats.org/spreadsheetml/2006/main" count="59657" uniqueCount="18781">
  <si>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</si>
  <si>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</si>
  <si>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</si>
  <si>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</si>
  <si>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</si>
  <si>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</si>
  <si>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</si>
  <si>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</si>
  <si>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</si>
  <si>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</si>
  <si>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</si>
  <si>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</si>
  <si>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</si>
  <si>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</si>
  <si>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</si>
  <si>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</si>
  <si>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</si>
  <si>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</si>
  <si>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</si>
  <si>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</si>
  <si>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</si>
  <si>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</si>
  <si>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</si>
  <si>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</si>
  <si>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</si>
  <si>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</si>
  <si>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</si>
  <si>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</si>
  <si>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</si>
  <si>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</si>
  <si>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</si>
  <si>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</si>
  <si>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</si>
  <si>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</si>
  <si>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</si>
  <si>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</si>
  <si>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</si>
  <si>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</si>
  <si>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</si>
  <si>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</si>
  <si>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</si>
  <si>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</si>
  <si>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</si>
  <si>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</si>
  <si>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</si>
  <si>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</si>
  <si>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</si>
  <si>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</si>
  <si>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</si>
  <si>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</si>
  <si>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</si>
  <si>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</si>
  <si>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</si>
  <si>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</si>
  <si>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</si>
  <si>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</si>
  <si>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</si>
  <si>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</si>
  <si>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</si>
  <si>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</si>
  <si>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</si>
  <si>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</si>
  <si>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</si>
  <si>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</si>
  <si>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</si>
  <si>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</si>
  <si>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</si>
  <si>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</si>
  <si>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</si>
  <si>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</si>
  <si>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</si>
  <si>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</si>
  <si>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</si>
  <si>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Proud, R; Handegard, NO; Kloser, RJ; Cox, MJ; Brierley, AS</t>
  </si>
  <si>
    <t/>
  </si>
  <si>
    <t>Proud, Roland; Handegard, Nils Olav; Kloser, Rudy J.; Cox, Martin J.; Brierley, Andrew S.</t>
  </si>
  <si>
    <t>From siphonophores to deep scattering layers: uncertainty ranges for the estimation of global mesopelagic fish biomass</t>
  </si>
  <si>
    <t>ICES JOURNAL OF MARINE SCIENCE</t>
  </si>
  <si>
    <t>English</t>
  </si>
  <si>
    <t>Article</t>
  </si>
  <si>
    <t>acoustics; DSLs; myctophids; pneumatophore; resonance; scattering models; swimbladder</t>
  </si>
  <si>
    <t>RESONANT ACOUSTIC SCATTERING; TARGET STRENGTHS; MARINE ECOSYSTEMS; SOUND-SCATTERING; ANTARCTIC KRILL; SWIMBLADDER; MODEL; WATER; SIZE; OCEAN</t>
  </si>
  <si>
    <t>The mesopelagic community is important for downward oceanic carbon transportation and is a potential food source for humans. Estimates of global mesopelagic fish biomass vary substantially (between 1 and 20 Gt). Here, we develop a global mesopelagic fish biomass model using daytime 38 kHz acoustic backscatter from deep scattering layers. Model backscatter arises predominantly from fish and siphonophores but the relative proportions of siphonophores and fish, and several of the parameters in the model, are uncertain. We use simulations to estimate biomass and the variance of biomass determined across three different scenarios; S1, where all fish have gas-filled swimbladders, and S2 and S3, where a proportion of fish do not. Our estimates of biomass ranged from 1.8 to 16 Gt (25-75% quartile ranges), and median values of S1 to S3 were 3.8, 4.6, and 8.3 Gt, respectively. A sensitivity analysis shows that for any given quantity of fish backscatter, the fish swimbladder volume, its size distribution and its aspect ratio are the parameters that cause most variation (i.e. lead to greatest uncertainty) in the biomass estimate. Determination of these parameters should be prioritized in future studies, as should determining the proportion of backscatter due to siphonophores.</t>
  </si>
  <si>
    <t>[Proud, Roland; Brierley, Andrew S.] Univ St Andrews, Scottish Oceans Inst, Pelag Ecol Res Grp, Gatty Marine Lab, St Andrews KY16 8LB, Fife, Scotland; [Handegard, Nils Olav] Inst Marine Res, POB 1870, N-5817 Bergen, Norway; [Kloser, Rudy J.] CSIRO Oceans &amp; Atmosphere Flagship, GPO Box 1538, Hobart, Tas 7001, Australia; [Cox, Martin J.] Australian Antarctic Div, 203 Channel Highway, Kingston, Tas 7050, Australia</t>
  </si>
  <si>
    <t>University of St Andrews; Institute of Marine Research - Norway; Commonwealth Scientific &amp; Industrial Research Organisation (CSIRO); Australian Antarctic Division</t>
  </si>
  <si>
    <t>Proud, R (corresponding author), Univ St Andrews, Scottish Oceans Inst, Pelag Ecol Res Grp, Gatty Marine Lab, St Andrews KY16 8LB, Fife, Scotland.</t>
  </si>
  <si>
    <t>rp43@st-andrews.ac.uk</t>
  </si>
  <si>
    <t>Handegard, Nils Olav/I-3047-2012; Kloser, Rudy J/A-1464-2012; Brierley, Andrew/G-8019-2011</t>
  </si>
  <si>
    <t>Handegard, Nils Olav/0000-0002-9708-9042; Brierley, Andrew/0000-0002-6438-6892; Kloser, Rudy/0000-0002-8620-536X; Proud, Roland/0000-0002-8647-5562</t>
  </si>
  <si>
    <t>Horizon 2020 Framework Programme [692173]; H2020 Societal Challenges Programme [692173] Funding Source: H2020 Societal Challenges Programme</t>
  </si>
  <si>
    <t>Horizon 2020 Framework Programme(Horizon 2020); H2020 Societal Challenges Programme(Horizon 2020European Union (EU)H2020 Societal Challenges Programme)</t>
  </si>
  <si>
    <t>Horizon 2020 Framework Programme, (Grant/Award Number: 692173).</t>
  </si>
  <si>
    <t>OXFORD UNIV PRESS</t>
  </si>
  <si>
    <t>OXFORD</t>
  </si>
  <si>
    <t>GREAT CLARENDON ST, OXFORD OX2 6DP, ENGLAND</t>
  </si>
  <si>
    <t>1054-3139</t>
  </si>
  <si>
    <t>1095-9289</t>
  </si>
  <si>
    <t>ICES J MAR SCI</t>
  </si>
  <si>
    <t>ICES J. Mar. Sci.</t>
  </si>
  <si>
    <t>MAY-JUN</t>
  </si>
  <si>
    <t>10.1093/icesjms/fsy037</t>
  </si>
  <si>
    <t>Fisheries; Marine &amp; Freshwater Biology; Oceanography</t>
  </si>
  <si>
    <t>Science Citation Index Expanded (SCI-EXPANDED)</t>
  </si>
  <si>
    <t>IV6UN</t>
  </si>
  <si>
    <t>Green Published, Green Submitted, hybrid</t>
  </si>
  <si>
    <t>Y</t>
  </si>
  <si>
    <t>N</t>
  </si>
  <si>
    <t>2024-04-21</t>
  </si>
  <si>
    <t>WOS:000484403400010</t>
  </si>
  <si>
    <t>Petersen, MR; Asay-Davis, XS; Berres, AS; Chen, QS; Feige, N; Hoffman, MJ; Jacobsen, DW; Jones, PW; Maltrud, ME; Price, SF; Ringler, TD; Streletz, GJ; Turner, AK; Van Roekel, LP; Veneziani, M; Wolfe, JD; Wolfram, PJ; Woodring, JL</t>
  </si>
  <si>
    <t>Petersen, Mark R.; Asay-Davis, Xylar S.; Berres, Anne S.; Chen, Qingshan; Feige, Nils; Hoffman, Matthew J.; Jacobsen, Douglas W.; Jones, Philip W.; Maltrud, Mathew E.; Price, Stephen F.; Ringler, Todd D.; Streletz, Gregory J.; Turner, Adrian K.; Van Roekel, Luke P.; Veneziani, Milena; Wolfe, Jonathan D.; Wolfram, Phillip J.; Woodring, Jonathan L.</t>
  </si>
  <si>
    <t>An Evaluation of the Ocean and Sea Ice Climate of E3SM Using MPAS and Interannual CORE-II Forcing</t>
  </si>
  <si>
    <t>JOURNAL OF ADVANCES IN MODELING EARTH SYSTEMS</t>
  </si>
  <si>
    <t>ocean; sea ice; climate; modeling</t>
  </si>
  <si>
    <t>MULTIRESOLUTION MODELING APPROACH; ANTARCTIC CIRCUMPOLAR CURRENT; NORTH-ATLANTIC SIMULATIONS; GLOBAL OCEAN; SOUTHERN-OCEAN; FRESH-WATER; MELT PONDS; IN-SITU; TRANSPORT; CIRCULATION</t>
  </si>
  <si>
    <t>The Energy Exascale Earth System Model (E3SM) is a new coupled Earth system model sponsored by the U.S Department of Energy. Here we present E3SM global simulations using active ocean and sea ice that are driven by the Coordinated Ocean-ice Reference Experiments II (CORE-II) interannual atmospheric forcing data set. The E3SM ocean and sea ice components are MPAS-Ocean and MPAS-Seaice, which use the Model for Prediction Across Scales (MPAS) framework and run on unstructured horizontal meshes. For this study, grid cells vary from 30 to 60 km for the low-resolution mesh and 6 to 18 km at high resolution. The vertical grid is a structured z-star coordinate and uses 60 and 80 layers for low and high resolution, respectively. The lower-resolution simulation was run for five CORE cycles (310 years) with little drift in sea surface temperature (SST) or heat content. The meridional heat transport (MHT) is within observational range, while the meridional overturning circulation at 26.5 degrees N is low compared to observations. The largest temperature biases occur in the Labrador Sea and western boundary currents (WBCs), and the mixed layer is deeper than observations at northern high latitudes in the winter months. In the Antarctic, maximum mixed layer depths (MLD) compare well with observations, but the spatial MLD pattern is shifted relative to observations. Sea ice extent, volume, and concentration agree well with observations. At high resolution, the sea surface height compares well with satellite observations in mean and variability.</t>
  </si>
  <si>
    <t>[Petersen, Mark R.] Los Alamos Natl Lab, Computat Phys &amp; Methods CCS 2, Los Alamos, NM 87545 USA; [Asay-Davis, Xylar S.; Hoffman, Matthew J.; Jacobsen, Douglas W.; Jones, Philip W.; Maltrud, Mathew E.; Price, Stephen F.; Ringler, Todd D.; Turner, Adrian K.; Van Roekel, Luke P.; Veneziani, Milena; Wolfe, Jonathan D.; Wolfram, Phillip J.] Los Alamos Natl Lab, Fluid Dynam &amp; Solid Mech T3, Los Alamos, NM USA; [Berres, Anne S.; Feige, Nils; Streletz, Gregory J.; Woodring, Jonathan L.] Los Alamos Natl Lab, Appl Comp Sci CCS 7, Los Alamos, NM USA; [Chen, Qingshan] Clemson Univ, Sch Math &amp; Stat Sci, Clemson, SC USA; [Streletz, Gregory J.] Univ Calif Davis, Dept Comp Sci, Davis, CA 95616 USA</t>
  </si>
  <si>
    <t>United States Department of Energy (DOE); Los Alamos National Laboratory; United States Department of Energy (DOE); Los Alamos National Laboratory; United States Department of Energy (DOE); Los Alamos National Laboratory; Clemson University; University of California System; University of California Davis</t>
  </si>
  <si>
    <t>Petersen, MR (corresponding author), Los Alamos Natl Lab, Computat Phys &amp; Methods CCS 2, Los Alamos, NM 87545 USA.</t>
  </si>
  <si>
    <t>mpetersen@lanl.gov</t>
  </si>
  <si>
    <t>Berres, Andy/JCE-6292-2023; Turner, Adrian K/A-9539-2009; Berres, Andy/AAQ-8015-2021; Price, Stephen/E-1568-2013</t>
  </si>
  <si>
    <t>Berres, Andy/0000-0002-6048-4313; Berres, Andy/0000-0002-6048-4313; Petersen, Mark/0000-0001-7170-7511; Chen, Qingshan/0000-0003-4076-2627; Veneziani, Milena/0000-0001-9977-4599; Jones, Philip W/0000-0002-7162-3411; Price, Stephen/0000-0001-6878-2553; Asay-Davis, Xylar/0000-0002-1990-892X; Turner, Adrian/0000-0001-6796-4187; Jacobsen, Douglas/0000-0002-3836-207X</t>
  </si>
  <si>
    <t>Energy Exascale Earth System Model (E3SM) project - U.S. Department of Energy, Office of Science, Office of Biological and Environmental Research; National Energy Research Scientific Computing Center [DE-AC02-05CH11231]; Oak Ridge Leadership Computing Facility [DE-AC05-00OR22725]; Argonne National Laboratory high-performance computing cluster; Los Alamos National Laboratory Institutional Computing, U.S. DOE NNSA [DE-AC02-05CH11231]; Argonne Leadership Computing Facility [DE-AC02-06CH11357]</t>
  </si>
  <si>
    <t>Energy Exascale Earth System Model (E3SM) project - U.S. Department of Energy, Office of Science, Office of Biological and Environmental Research(United States Department of Energy (DOE)); National Energy Research Scientific Computing Center; Oak Ridge Leadership Computing Facility; Argonne National Laboratory high-performance computing cluster(United States Department of Energy (DOE)); Los Alamos National Laboratory Institutional Computing, U.S. DOE NNSA; Argonne Leadership Computing Facility</t>
  </si>
  <si>
    <t>This research was supported as part of the Energy Exascale Earth System Model (E3SM) project, funded by the U.S. Department of Energy, Office of Science, Office of Biological and Environmental Research. E3SM simulations are conducted at Argonne Leadership Computing Facility (contract DE-AC02-06CH11357); National Energy Research Scientific Computing Center (DE-AC02-05CH11231); Oak Ridge Leadership Computing Facility (DE-AC05-00OR22725); Argonne National Laboratory high-performance computing cluster, provided by BER Earth System Modeling; and Los Alamos National Laboratory Institutional Computing, U.S. DOE NNSA (DE-AC02-05CH11231). E3SM data are freely available through the Earth System Grid Federation (ESGF) distributed archives. See details at https://e3sm.org/data website.</t>
  </si>
  <si>
    <t>AMER GEOPHYSICAL UNION</t>
  </si>
  <si>
    <t>WASHINGTON</t>
  </si>
  <si>
    <t>2000 FLORIDA AVE NW, WASHINGTON, DC 20009 USA</t>
  </si>
  <si>
    <t>1942-2466</t>
  </si>
  <si>
    <t>J ADV MODEL EARTH SY</t>
  </si>
  <si>
    <t>J. Adv. Model. Earth Syst.</t>
  </si>
  <si>
    <t>MAY</t>
  </si>
  <si>
    <t>10.1029/2018MS001373</t>
  </si>
  <si>
    <t>Meteorology &amp; Atmospheric Sciences</t>
  </si>
  <si>
    <t>IM0ZH</t>
  </si>
  <si>
    <t>Green Submitted, gold</t>
  </si>
  <si>
    <t>WOS:000477717700015</t>
  </si>
  <si>
    <t>Bueno, JL; Santos, PAD; da Silva, RR; Moguel, IS; Pessoa, A; Vianna, MV; Pagnocca, FC; Sette, LD; Gurpilhares, DB</t>
  </si>
  <si>
    <t>Bueno, J. L.; Santos, P. A. D.; da Silva, R. R.; Moguel, I. S.; Pessoa, A., Jr.; Vianna, M. V.; Pagnocca, F. C.; Sette, L. D.; Gurpilhares, D. B.</t>
  </si>
  <si>
    <t>Biosurfactant production by yeasts from different types of soil of the South Shetland Islands (Maritime Antarctica)</t>
  </si>
  <si>
    <t>JOURNAL OF APPLIED MICROBIOLOGY</t>
  </si>
  <si>
    <t>Antarctica; biosurfactant; emulsification index; micro-organisms; yeast</t>
  </si>
  <si>
    <t>CANDIDA-BOMBICOLA; FUNGI; ADAPTATION; DIVERSITY; REMOVAL; CULTURE; LIPIDS; WASTE; OIL</t>
  </si>
  <si>
    <t>Aim To screen and identify a potential biosurfactant-producing yeast strain isolated from Antarctic soil and to evaluate the fermentation process kinetics of the most promising strain on biosurfactant production using glycerol as carbon source. Methods and Results From the 68 isolated yeast strains, 11 strains were able to produce biosurfactants after Emulsification Index (E.I.) and Drop Collapse tests, reaching an E.I. higher than 10%. Strain 1_4.0 was the best producer, identified as Candida glaebosa based on molecular analysis. Yeast was cultivated in a medium composed of glycerol supplemented with yeast extract for 120 h to determine the process kinetics. The increased C/N ratio affected yeast growth and biosurfactant production. Biosurfactant release was associated with the end of exponential and beginning of the stationary growth phases. Results indicated an E.I. of 30% at the end of the fermentation. Conclusions The feasiability of C. glaebosa to produce biosurfactant from a low-cost medium cultivation shows a great impact on the development of bioresource in the Antarctica terrestrial environment. Significance and Impact of the Study Although the diversity of psychrophilic/psychrotolerant micro-organisms from Antarctica has been the preferred subject of study by microbiologists, terrestrial microfungal communities are scarcely investigated and literature about the biotechnological potential of such micro-organisms should cover important biomolecules in addition to cold-adapted enzymes. In the present study, for the first time, the Maritime Antarctica environment was screened as a novel source of biosurfactants produced by micro-organisms.</t>
  </si>
  <si>
    <t>[Bueno, J. L.; Santos, P. A. D.; da Silva, R. R.; Gurpilhares, D. B.] Univ Fed Rio De Janeiro, Fac Farm, Av Aluizio da Silva Gomes 50, BR-27930560 Macae, RJ, Brazil; [Moguel, I. S.; Pessoa, A., Jr.] Univ Sao Paulo, Dept Tecnol Bioquimicofarmaceut, Fac Ciencias Farmaceut, Sao Paulo, SP, Brazil; [Vianna, M. V.; Pagnocca, F. C.; Sette, L. D.] Univ Estadual Paulista Julio de Mesquita Filho UN, Inst Biociencias, Dept Bioquim &amp; Microbiol, Rio Claro, SP, Brazil</t>
  </si>
  <si>
    <t>Universidade Federal do Rio de Janeiro; Universidade de Sao Paulo; Universidade Estadual Paulista</t>
  </si>
  <si>
    <t>Gurpilhares, DB (corresponding author), Univ Fed Rio De Janeiro, Fac Farm, Av Aluizio da Silva Gomes 50, BR-27930560 Macae, RJ, Brazil.</t>
  </si>
  <si>
    <t>danielagurpi@macae.ufrj.br</t>
  </si>
  <si>
    <t>Sette, Lara Durães/C-8298-2013; Sánchez Moguel, Ignacio/KBC-5107-2024; Pessoa-Junior, Adalberto/B-7963-2012</t>
  </si>
  <si>
    <t>Sette, Lara Durães/0000-0002-5980-3786; Sánchez Moguel, Ignacio/0000-0003-3706-4780; Pessoa-Junior, Adalberto/0000-0002-5268-8690; Silva, Renata/0000-0003-2613-2370</t>
  </si>
  <si>
    <t>Fundacao de Amparo a Pesquisa do Estado de Sao Paulo - FAPESP [2013/19486-0]; Fundacao de Amparo a Pesquisa do Estado de Sao Paulo (FAPESP) [13/19486-0] Funding Source: FAPESP</t>
  </si>
  <si>
    <t>Fundacao de Amparo a Pesquisa do Estado de Sao Paulo - FAPESP(Fundacao de Amparo a Pesquisa do Estado de Sao Paulo (FAPESP)Fundacao de Amparo a Pesquisa e Inovacao do Estado de Santa Catarina (FAPESC)); Fundacao de Amparo a Pesquisa do Estado de Sao Paulo (FAPESP)(Fundacao de Amparo a Pesquisa do Estado de Sao Paulo (FAPESP))</t>
  </si>
  <si>
    <t>This work was partially supported by Fundacao de Amparo a Pesquisa do Estado de Sao Paulo - FAPESP (2013/19486-0).</t>
  </si>
  <si>
    <t>WILEY</t>
  </si>
  <si>
    <t>HOBOKEN</t>
  </si>
  <si>
    <t>111 RIVER ST, HOBOKEN 07030-5774, NJ USA</t>
  </si>
  <si>
    <t>1364-5072</t>
  </si>
  <si>
    <t>1365-2672</t>
  </si>
  <si>
    <t>J APPL MICROBIOL</t>
  </si>
  <si>
    <t>J. Appl. Microbiol.</t>
  </si>
  <si>
    <t>10.1111/jam.14206</t>
  </si>
  <si>
    <t>Biotechnology &amp; Applied Microbiology; Microbiology</t>
  </si>
  <si>
    <t>HT4FR</t>
  </si>
  <si>
    <t>WOS:000464519900010</t>
  </si>
  <si>
    <t>Hill, SL; Atkinson, A; Pakhomov, EA; Siegel, V</t>
  </si>
  <si>
    <t>Hill, Simeon L.; Atkinson, Angus; Pakhomov, Evgeny A.; Siegel, Volker</t>
  </si>
  <si>
    <t>Evidence for a decline in the population density of Antarctic krill Euphausia superba still stands. A comment on Cox et al</t>
  </si>
  <si>
    <t>JOURNAL OF CRUSTACEAN BIOLOGY</t>
  </si>
  <si>
    <t>Editorial Material</t>
  </si>
  <si>
    <t>Antarctica; climate change; ecosystem services; KRILLBASE; policy; Southern Ocean; stock status; uncertainty</t>
  </si>
  <si>
    <t>Antarctic krill (Euphausia superbaDana, 1850) exemplifies the key role of marine crustaceans in fisheries, foodwebs, and biogeochemical cycles. Ecological understanding and policy decisions require information on population trends. We have therefore worked with international colleagues to publish KRILLBASE, a database of fishery-independent krill population information for every decade since the 1970s. These data were used by Cox et al. (2018) who dispute the evidence for a late twentieth-century decline in krill density (number per unit area) in the Southwest Atlantic sector of the Southern Ocean and claim to overturn much of recent thinking about climate-driven change in krill populations. They support this claim with an analysis which reaffirms one non-significant result from an earlier paper but does not challenge the five significant results from that paper or those of other studies which support a decline. In this comment we examine the methods which led Cox and coauthors to conclude that krill density has been stable over the last 40 years. Although these authors provide a potentially useful approach, we show that their analysis was biased by the exclusion of usable net types, the inclusion of negatively biased data and down-weighting of high densities in the early part of the analysis period, the absence of recent data from the north of the sector, and a lack of statistical hypothesis testing. These factors maximise the chances of failure to detect a real decline. To aid future analyses we provide recommendations to supplement those which accompany KRILLBASE. We also suggest the need for consensus scientific advice on krill population dynamics based on agreed standards of evidence, evaluation of uncertainty, and a thorough understanding of the data. This will be more useful to policy makers and other stakeholders than polarised opinions. Meanwhile, the evidence for a decline in krill density still stands.</t>
  </si>
  <si>
    <t>[Hill, Simeon L.] British Antarctic Survey, High Cross, Madingley Rd, Cambridge CB3 0ET, England; [Atkinson, Angus] Plymouth Marine Lab, Prospect Pl, Plymouth PL1 3DH, Devon, England; [Pakhomov, Evgeny A.] Univ British Columbia, Dept Earth Ocean &amp; Atmospher Sci EOAS, Vancouver, BC V6T 1Z4, Canada; [Pakhomov, Evgeny A.] Univ British Columbia, Inst Oceans &amp; Fisheries, 2202 Main Mall, Vancouver, BC V6T 1Z4, Canada; [Pakhomov, Evgeny A.] Hakai Inst, POB 309, Heriot Bay, BC V0P 1H0, Canada; [Siegel, Volker] Thuenen Inst Sea Fisheries, Herwigstr 31, D-27572 Bremerhaven, Germany</t>
  </si>
  <si>
    <t>UK Research &amp; Innovation (UKRI); Natural Environment Research Council (NERC); NERC British Antarctic Survey; Plymouth Marine Laboratory; University of British Columbia; University of British Columbia; Hakai Institute; Johann Heinrich von Thunen Institute</t>
  </si>
  <si>
    <t>Hill, SL (corresponding author), British Antarctic Survey, High Cross, Madingley Rd, Cambridge CB3 0ET, England.</t>
  </si>
  <si>
    <t>sih@bas.ac.uk</t>
  </si>
  <si>
    <t>Simeon, Hill L/B-2307-2008; Atkinson, Angus/HOH-3417-2023</t>
  </si>
  <si>
    <t>UK Natural Environment Research Council; UK Natural Environment Research Council through its National Capability Long-term Single Centre Science Programme, Climate Linked Atlantic Sector Science [NE/R015953/1]; NERC [bas0100035, NE/R015953/1, pml010004] Funding Source: UKRI</t>
  </si>
  <si>
    <t>UK Natural Environment Research Council(UK Research &amp; Innovation (UKRI)Natural Environment Research Council (NERC)); UK Natural Environment Research Council through its National Capability Long-term Single Centre Science Programme, Climate Linked Atlantic Sector Science; NERC(UK Research &amp; Innovation (UKRI)Natural Environment Research Council (NERC))</t>
  </si>
  <si>
    <t>We thank the editors for the opportunity to write this comment, and Jaume Forcada for helpful advice and comments. SLH was supported by UK Natural Environment Research Council core funding to the British Antarctic Survey Ecosystems programme. AA was funded by the UK Natural Environment Research Council through its National Capability Long-term Single Centre Science Programme, Climate Linked Atlantic Sector Science, grant NE/R015953/1. This article is a contribution to Theme 1.3 - Biological Dynamics.</t>
  </si>
  <si>
    <t>0278-0372</t>
  </si>
  <si>
    <t>1937-240X</t>
  </si>
  <si>
    <t>J CRUSTACEAN BIOL</t>
  </si>
  <si>
    <t>J. Crustac. Biol.</t>
  </si>
  <si>
    <t>10.1093/jcbiol/ruz004</t>
  </si>
  <si>
    <t>Marine &amp; Freshwater Biology; Zoology</t>
  </si>
  <si>
    <t>IA8BK</t>
  </si>
  <si>
    <t>Green Published, hybrid, Green Accepted</t>
  </si>
  <si>
    <t>WOS:000469782300014</t>
  </si>
  <si>
    <t>Cox, MJ; Candy, S; de la Mare, WK; Nicol, S; Kawaguchi, S; Gales, N</t>
  </si>
  <si>
    <t>Cox, Martin James; Candy, Steven; de la Mare, William K.; Nicol, Stephen; Kawaguchi, So; Gales, Nicholas</t>
  </si>
  <si>
    <t>Clarifying trends in the density of Antarctic krill Euphausia superba Dana, 1850 in the South Atlantic. A response to Hill et al</t>
  </si>
  <si>
    <t>consensus; effective sampling; error propagation; integrated assessment; monitoring; parametric bootstrap</t>
  </si>
  <si>
    <t>A commentary by Hill et al. (2019) raised some questions concerning the analyses of trends in krill density presented in Cox et al. (2018). We have re-examined our analyses and conclude that our approach does not contain multiple errors as asserted by Hill et al. (2019). Specifically, we reiterate that our statistical analysis of the publicly available version of KRILLBASE does not support the notion of a precipitous decline in krill density between 1976 and 2016. We respond to the technical criticisms made by Hill et al. (2019) of our work. We include a section where we suggest some approaches to help build consensus on detecting ecological trends in the Southern Ocean in the future. These approaches include: integrated assessments incorporating all relevant data, utilising data that will become available in the future from emerging technologies, and suggestions of other potential population monitoring methods that may be effective for krill.</t>
  </si>
  <si>
    <t>[Cox, Martin James; de la Mare, William K.; Nicol, Stephen; Kawaguchi, So; Gales, Nicholas] Australian Antarctic Div, Channel Highway, Kingston, Tas 7050, Australia; [Candy, Steven] SCandy Stat Modelling Pty Ltd, 70 Burwood Dr, Blackmans Bay, Tas 7052, Australia; [Nicol, Stephen] Univ Tasmania, Inst Marine &amp; Antarctic Studies, Private Bag 41, Hobart, Tas 7001, Australia</t>
  </si>
  <si>
    <t>Australian Antarctic Division; University of Tasmania</t>
  </si>
  <si>
    <t>Cox, MJ (corresponding author), Australian Antarctic Div, Channel Highway, Kingston, Tas 7050, Australia.</t>
  </si>
  <si>
    <t>martin.cox@aad.gov.au</t>
  </si>
  <si>
    <t>10.1093/jcbiol/ruz010</t>
  </si>
  <si>
    <t>hybrid</t>
  </si>
  <si>
    <t>WOS:000469782300015</t>
  </si>
  <si>
    <t>Henschke, N; Pakhomov, EA; Kwong, LE; Everett, JD; Laiolo, L; Coghlan, AR; Suthers, IM</t>
  </si>
  <si>
    <t>Henschke, Natasha; Pakhomov, Evgeny A.; Kwong, Lian E.; Everett, Jason D.; Laiolo, Leonardo; Coghlan, Amy R.; Suthers, Iain M.</t>
  </si>
  <si>
    <t>Large Vertical Migrations of Pyrosoma atlanticum Play an Important Role in Active Carbon Transport</t>
  </si>
  <si>
    <t>JOURNAL OF GEOPHYSICAL RESEARCH-BIOGEOSCIENCES</t>
  </si>
  <si>
    <t>RESPIRATORY CARBON; GRAZING IMPACT; ZOOPLANKTON; THALIACEA; TUNICATA; FLUX; SEA; BIOMASS; EXPORT; OCEAN</t>
  </si>
  <si>
    <t>Pyrosomes are efficient grazers that can form dense aggregations. Their clearance rates are among the highest of any zooplankton grazer, and they can rapidly repackage what they consume into thousands of fecal pellets per hour. In recent years, pyrosome swarms have been found outside of their natural geographical range; however, environmental drivers that promote these swarms are still unknown. During the austral spring of 2017 a Pyrosoma atlanticum swarm was sampled in the Tasman Sea. Depth-stratified sampling during the day and night was used to examine the spatial and vertical distribution of P. atlanticum across three eddies. Respiration rate experiments were performed onboard to determine minimum feeding requirements for the pyrosome population. P. atlanticum was 2 orders of magnitude more abundant in the cold core eddy (CCE) compared to both warm core eddies, with maximum biomass of 360mg WWm(-3), most likely driven by high chlorophyll a concentrations. P. atlanticum exhibited diel vertical migration and migrated to a maximum depth strata of 800-1,000m. Active carbon transport in the CCE was 4 orders of magnitude higher than the warm core eddies. Fecal pellet production contributed to the majority (91%) of transport, and total downward carbon flux below the mixed layer was estimated at 11mg Cm(-2)d(-1). When abundant, P. atlanticum swarms have the potential to play a major role in active carbon transport, comparable to fluxes for zooplankton and micronekton communities. Plain Language Summary Pyrosomes are a gelatinous zooplankton that can form large swarms. They feed through filtration and are among the most efficient filter feeders of any zooplankton, repackaging what they consume into thousands of fecal pellets per hour. As pyrosomes migrate vertically to 800m daily, they have the potential to transport the carbon they consume at the surface to these depths. In the austral spring of 2017 we sampled a pyrosome swarm in the Tasman Sea. Maximum biomass of pyrosomes was 360mg WWm(-3), and pyrosomes were able to consume the majority (95%) of the phytoplankton community while at the surface. When migrating below the surface, they transported 11mg Cm(-2)d(-1) below the mixed layer, mostly through fecal pellets (91%). This flux is within the range of fluxes produced by zooplankton and micronekton communities.</t>
  </si>
  <si>
    <t>[Henschke, Natasha; Pakhomov, Evgeny A.; Kwong, Lian E.] Univ British Columbia, Dept Earth Ocean &amp; Atmospher Sci, Vancouver, BC, Canada; [Pakhomov, Evgeny A.] Univ British Columbia, Inst Oceans &amp; Fisheries, Vancouver, BC, Canada; [Pakhomov, Evgeny A.] Hakai Inst, Heriot Bay, BC, Canada; [Everett, Jason D.; Suthers, Iain M.] Univ New South Wales, Evolut &amp; Ecol Res Ctr, Sydney, NSW, Australia; [Everett, Jason D.; Suthers, Iain M.] Sydney Inst Marine Sci, Mosman, NSW, Australia; [Laiolo, Leonardo] Univ Technol Sydney, Climate Change Cluster, Ultimo, NSW, Australia; [Laiolo, Leonardo] CSIRO Oceans &amp; Atmosphere, Hobart, Tas, Australia; [Coghlan, Amy R.] Univ Tasmania, Inst Marine &amp; Antarctic Studies, Hobart, Tas, Australia</t>
  </si>
  <si>
    <t>University of British Columbia; University of British Columbia; Hakai Institute; University of New South Wales Sydney; Sydney Institute of Marine Science; University of Technology Sydney; Commonwealth Scientific &amp; Industrial Research Organisation (CSIRO); University of Tasmania</t>
  </si>
  <si>
    <t>Henschke, N (corresponding author), Univ British Columbia, Dept Earth Ocean &amp; Atmospher Sci, Vancouver, BC, Canada.</t>
  </si>
  <si>
    <t>nhenschke@eoas.ubc.ca</t>
  </si>
  <si>
    <t>Coghlan, Amy/AAP-3105-2021; Everett, Jason/C-4557-2008; Suthers, Iain/C-4559-2008</t>
  </si>
  <si>
    <t>Everett, Jason/0000-0002-6681-8054; Suthers, Iain/0000-0002-9340-7461</t>
  </si>
  <si>
    <t>Australian Research Council [DP140101340, DP150102656]; CSIRO Marine National Facility (MNF); University of British Columbia</t>
  </si>
  <si>
    <t>Australian Research Council(Australian Research Council); CSIRO Marine National Facility (MNF); University of British Columbia</t>
  </si>
  <si>
    <t>This work was partially supported by the Australian Research Council Discovery Projects scheme (DP140101340 and DP150102656). The Authors wish to thank the CSIRO Marine National Facility (MNF) for its support in the form of sea time on RV Investigator, support personnel, scientific equipment, and data management. MODIS and AVHRR satellite data were sourced as part of the Integrated Marine Observing System (IMOS). Supporting data are included in three tables in the supporting information. In particular we are grateful to Kendall Sherrin for help with dissolved oxygen experiments. Finally, we would like to thank the University of British Columbia for providing funds for this research.</t>
  </si>
  <si>
    <t>2169-8953</t>
  </si>
  <si>
    <t>2169-8961</t>
  </si>
  <si>
    <t>J GEOPHYS RES-BIOGEO</t>
  </si>
  <si>
    <t>J. Geophys. Res.-Biogeosci.</t>
  </si>
  <si>
    <t>10.1029/2018JG004918</t>
  </si>
  <si>
    <t>Environmental Sciences; Geosciences, Multidisciplinary</t>
  </si>
  <si>
    <t>Environmental Sciences &amp; Ecology; Geology</t>
  </si>
  <si>
    <t>IM1AA</t>
  </si>
  <si>
    <t>Green Published, Bronze</t>
  </si>
  <si>
    <t>WOS:000477719600002</t>
  </si>
  <si>
    <t>Zhu, GP; Liu, ZJ; Yang, Y; Wang, Z; Yang, WJ; Xu, LX</t>
  </si>
  <si>
    <t>Zhu Guoping; Liu Zijun; Yang Yang; Wang Zhen; Yang Wenjie; Xu Liuxiong</t>
  </si>
  <si>
    <t>Thermal and saline tolerance of Antarctic krill Euphausia superba under controlled in-situ aquarium conditions</t>
  </si>
  <si>
    <t>JOURNAL OF OCEANOLOGY AND LIMNOLOGY</t>
  </si>
  <si>
    <t>Euphausia superba; thermal tolerance; saline tolerance; thermal preference; in-situ aquarium experiment</t>
  </si>
  <si>
    <t>NATURAL GROWTH-RATES; BEHAVIORAL THERMOREGULATION; TEMPERATURE-ACCLIMATION; SOUTHERN-OCEAN; GHOST CRAB; HEAT-SHOCK; SEA; SUSCEPTIBILITY; ULTRAVIOLET; MECHANISM</t>
  </si>
  <si>
    <t>As a key species of the Southern Ocean ecosystem, the thermal and saline tolerances of Antarctic krill (Euphausia superba Dana) are relatively unknown because of the challenging environment and complicated situations needed for observation have inhibited in-situ experiments in the field. Hence, the thermal and saline tolerance of krill were examined under in-situ aquarium conditions with different controlled scenarios. According to the experiments, the critical lethal times of krill were 24 h, 2 h and 0.5 h under 9 degrees C, 12 degrees C, and 15 degrees C, respectively, and the estimated 50% lethal times were about 17.1 h and 1.7 h under 12 degrees C and 15 degrees C, respectively. Additionally, the critical lethal times (the estimated 50% lethal times) of krill were approximately 14 h and 0.5 h (about 22.9 h and 1.7 h) of salinity under 19.7 and 15.9, respectively. The observed critical and 50% lethal times of krill were 0.5 h and approximately 1.4 h, respectively, salinity under 55.2. The critical and 50% lethal temperatures of krill were 13 degrees C and approximately 14.2 degrees C, respectively. Additionally, the critical and 50% lethal salinity was 19.6 and approximately 17.5 for the lower saline (below normal oceanic salinity [34.4]) environment and 50.3 and approximately 53.2 for the higher saline (above 34.4) environment, respectively. The upper thermal and saline preferences of krill can be considered 6 degrees C and 26.8 to 41.2, respectively. These results can provide potential scenarios for predicting the possible fate of this key species in the Southern Ocean.</t>
  </si>
  <si>
    <t>[Zhu Guoping; Liu Zijun; Yang Yang; Wang Zhen; Yang Wenjie; Xu Liuxiong] Shanghai Ocean Univ, Coll Marine Sci, Shanghai 201306, Peoples R China; [Zhu Guoping; Xu Liuxiong] Shanghai Ocean Univ, Ctr Polar Res, Shanghai 201306, Peoples R China; [Zhu Guoping; Liu Zijun; Yang Yang; Xu Liuxiong] Natl Engn Res Ctr Ocean Fisheries, Shanghai 201306, Peoples R China; [Zhu Guoping; Liu Zijun; Yang Yang] Shanghai Ocean Univ, Key Lab Sustainable Exploitat Ocean Fisheries Res, Minist Educ, Polar Marine Ecosyst Grp, Shanghai 201306, Peoples R China</t>
  </si>
  <si>
    <t>Shanghai Ocean University; Shanghai Ocean University; National Engineering Research Center for Oceanic Fisheries; Shanghai Ocean University</t>
  </si>
  <si>
    <t>Zhu, GP (corresponding author), Shanghai Ocean Univ, Coll Marine Sci, Shanghai 201306, Peoples R China.;Zhu, GP (corresponding author), Shanghai Ocean Univ, Ctr Polar Res, Shanghai 201306, Peoples R China.;Zhu, GP (corresponding author), Natl Engn Res Ctr Ocean Fisheries, Shanghai 201306, Peoples R China.;Zhu, GP (corresponding author), Shanghai Ocean Univ, Key Lab Sustainable Exploitat Ocean Fisheries Res, Minist Educ, Polar Marine Ecosyst Grp, Shanghai 201306, Peoples R China.</t>
  </si>
  <si>
    <t>gpzhu@shou.edu.cn</t>
  </si>
  <si>
    <t>xu, liu/KCL-1154-2024; liu, zijun/HJO-9912-2023; ZHU, Guo-ping/D-1002-2010</t>
  </si>
  <si>
    <t>liu, zijun/0009-0003-3614-8103; Yang, Yang/0000-0002-0928-0219; Zhu, Guoping/0000-0001-6081-7811</t>
  </si>
  <si>
    <t>Key Laboratory of Sustainable Exploitation of Oceanic Fisheries Resources, Shanghai Ocean University</t>
  </si>
  <si>
    <t>The authors are especially grateful to the captain and scientific observers on board trawlers Kaili and Longda for their help in collecting the samples used in this study and providing experimental space that made our research possible. We would also like to extend our thanks to Ms. Fokje Schaafsma at the Wageningen University &amp; Research (WUR) and another anonymous reviewer for their valuable comments and suggestions, which improved significantly the present study. We also thank the Key Laboratory of Sustainable Exploitation of Oceanic Fisheries Resources, Shanghai Ocean University for their support and the utilization of their laboratory facilitates.</t>
  </si>
  <si>
    <t>SCIENCE PRESS</t>
  </si>
  <si>
    <t>BEIJING</t>
  </si>
  <si>
    <t>16 DONGHUANGCHENGGEN NORTH ST, BEIJING, 100717, PEOPLES R CHINA</t>
  </si>
  <si>
    <t>2096-5508</t>
  </si>
  <si>
    <t>2523-3521</t>
  </si>
  <si>
    <t>J OCEANOL LIMNOL</t>
  </si>
  <si>
    <t>J. Oceanol. Limnol.</t>
  </si>
  <si>
    <t>SI</t>
  </si>
  <si>
    <t>10.1007/s00343-019-8002-7</t>
  </si>
  <si>
    <t>Limnology; Oceanography</t>
  </si>
  <si>
    <t>Marine &amp; Freshwater Biology; Oceanography</t>
  </si>
  <si>
    <t>IA2OS</t>
  </si>
  <si>
    <t>WOS:000469401600031</t>
  </si>
  <si>
    <t>Chaudhuri, D; Sengupta, D; D'Asaro, E; Venkatesan, R; Ravichandran, M</t>
  </si>
  <si>
    <t>Chaudhuri, Dipanjan; Sengupta, Debasis; D'Asaro, Eric; Venkatesan, R.; Ravichandran, M.</t>
  </si>
  <si>
    <t>Response of the Salinity-Stratified Bay of Bengal to Cyclone Phailin</t>
  </si>
  <si>
    <t>JOURNAL OF PHYSICAL OCEANOGRAPHY</t>
  </si>
  <si>
    <t>Currents; Atmosphere-ocean interaction; Mixing; In situ atmospheric observations; In situ oceanic observations; Single column models</t>
  </si>
  <si>
    <t>UPPER OCEAN RESPONSE; TROPICAL CYCLONE; RAPID INTENSIFICATION; SURFACE SALINITY; BOUNDARY-LAYER; NORTH BAY; WIND; CURRENTS; IMPACT; RESTRATIFICATION</t>
  </si>
  <si>
    <t>Cyclone Phailin, which developed over the Bay of Bengal in October 2013, was one of the strongest tropical cyclones to make landfall in India. We study the response of the salinity-stratified north Bay of Bengal to Cyclone Phailin with the help of hourly observations from three open-ocean moorings 200 km from the cyclone track, a mooring close to the cyclone track, daily sea surface salinity (SSS) from Aquarius, and a one-dimensional model. Before the arrival of Phailin, moored observations showed a shallow layer of low-salinity water lying above a deep, warm barrier layer. As the winds strengthened, upper-ocean mixing due to enhanced vertical shear of storm-generated currents led to a rapid increase of near-surface salinity. Sea surface temperature (SST) cooled very little, however, because the prestorm subsurface ocean was warm. Aquarius SSS increased by 1.5-3 psu over an area of nearly one million square kilometers in the north Bay of Bengal. A one-dimensional model, with initial conditions and surface forcing based on moored observations, shows that cyclone winds rapidly eroded the shallow, salinity-dominated density stratification and mixed the upper ocean to 40-50-m depth, consistent with observations. Model sensitivity experiments indicate that changes in ocean mixed layer temperature in response to Cyclone Phailin are small. A nearly isothermal, salinity-stratified barrier layer in the prestorm upper ocean has two effects. First, near-surface density stratification reduces the depth of vertical mixing. Second, mixing is confined to the nearly isothermal layer, resulting in little or no SST cooling.</t>
  </si>
  <si>
    <t>[Chaudhuri, Dipanjan; Sengupta, Debasis] Indian Inst Sci, Ctr Atmospher &amp; Ocean Sci, Bangalore, Karnataka, India; [D'Asaro, Eric] Univ Washington, Appl Phys Lab, Seattle, WA 98105 USA; [Venkatesan, R.] Natl Inst Ocean Technol, Chennai, Tamil Nadu, India; [Ravichandran, M.] ESSO Natl Ctr Antarctic &amp; Ocean Res, Vasco Da Gama, Goa, India</t>
  </si>
  <si>
    <t>Indian Institute of Science (IISC) - Bangalore; University of Washington; University of Washington Seattle; Ministry of Earth Sciences (MoES) - India; National Institute of Ocean Technology (NIOT); Ministry of Earth Sciences (MoES) - India; National Centre for Polar and Ocean Research (NCPOR)</t>
  </si>
  <si>
    <t>Chaudhuri, D (corresponding author), Indian Inst Sci, Ctr Atmospher &amp; Ocean Sci, Bangalore, Karnataka, India.</t>
  </si>
  <si>
    <t>dipadadachaudhuri@gmail.com</t>
  </si>
  <si>
    <t>Ravichandran, M./AAM-1351-2020</t>
  </si>
  <si>
    <t>Ramasamy, Venkatesan/0000-0001-7386-1539</t>
  </si>
  <si>
    <t>Ministry of Earth Sciences under India's National Monsoon Mission [IITM0001]; Office of Naval Research [N0001414-1-0235]</t>
  </si>
  <si>
    <t>Ministry of Earth Sciences under India's National Monsoon Mission; Office of Naval Research(Office of Naval Research)</t>
  </si>
  <si>
    <t>This work is supported by the Ministry of Earth Sciences under India's National Monsoon Mission (project-IITM0001). Work byEADis supported by Office of Naval Research Grant N0001414-1-0235. We thank Mr. Suresh Kumar and his team at INCOIS and Mr. Arul Muthiah and all members of the NIOT team that deploys and maintains the OMNI buoy network, including BD09 and BD10. The authors acknowledge IMD and JTWC (http://www.usno.navy.mil/JTWC/) for the best track data of Phailin, and IMD for the Gopalpur data. We thank Prof. Amit Tandon for the Matlab code of the PWP model. We thank the reviewers for their comments which helped to improve the manuscript.</t>
  </si>
  <si>
    <t>AMER METEOROLOGICAL SOC</t>
  </si>
  <si>
    <t>BOSTON</t>
  </si>
  <si>
    <t>45 BEACON ST, BOSTON, MA 02108-3693 USA</t>
  </si>
  <si>
    <t>0022-3670</t>
  </si>
  <si>
    <t>1520-0485</t>
  </si>
  <si>
    <t>J PHYS OCEANOGR</t>
  </si>
  <si>
    <t>J. Phys. Oceanogr.</t>
  </si>
  <si>
    <t>10.1175/JPO-D-18-0051.1</t>
  </si>
  <si>
    <t>Oceanography</t>
  </si>
  <si>
    <t>HU2YI</t>
  </si>
  <si>
    <t>Bronze</t>
  </si>
  <si>
    <t>WOS:000465137700001</t>
  </si>
  <si>
    <t>McKee, DC; Martinson, DG; Schofield, O</t>
  </si>
  <si>
    <t>McKee, Darren C.; Martinson, Douglas G.; Schofield, Oscar</t>
  </si>
  <si>
    <t>Origin and Attenuation of Mesoscale Structure in Circumpolar Deep Water Intrusions to an Antarctic Shelf</t>
  </si>
  <si>
    <t>Antarctica; Southern Ocean; Eddies; Mesoscale processes</t>
  </si>
  <si>
    <t>CONTINENTAL-SHELF; BAROCLINIC INSTABILITY; TURBULENT DISSIPATION; PENINSULA SHELF; INTERNAL WAVES; WEST; TRANSPORT; CIRCULATION; STABILITY; HEAT</t>
  </si>
  <si>
    <t>Cross-isobath transport of Upper Circumpolar Deep Water (UCDW) provides a major source of heat to the Antarctic continental shelves. Adaptive sampling with a Slocum glider revealed that the UCDW regularly intrudes onto the western Antarctic Peninsula shelf within mesoscale eddies, and a linear stability analysis of the shelf-break current upstream confirmed eddy length scales and vertical structure are consistent with the baroclinic instability of the current. The properties of the most unstable mode are insensitive to current orientation but sensitive to bottom slope in accordance with modified Eady theory. Once on the shelf, the eddies' core properties mix with ambient shelf water to form modified CDW (mCDW). Concurrent shipboard CTD and ADCP data are used to diagnose the responsible mixing processes and highlight the importance of thermohaline intrusions. The genesis mechanism of the interleaving layers cannot be confirmed, however a simple analytic model suggests the upper limit contribution of advection by internal waves cannot account for the observed temperature variance unless the cross-eddy temperature gradient is large. Data-adaptive sampling of an eddy with the glider revealed it lost heat across two isopycnals and a fixed radius at a rate of 7 x 10(9) J s(-1) over 3.9 days. This rate is corroborated by a diffusion model initialized with the eddy's initial hydrographic properties and informed by the heat fluxes parameterized from the shipboard data. The results suggest eddies predominately lose heat laterally and downward, which preserves subsurface heat for melting of marine-terminating glaciers.</t>
  </si>
  <si>
    <t>[McKee, Darren C.; Martinson, Douglas G.] Columbia Univ, Div Ocean &amp; Climate Phys, Lamont Doherty Earth Observ, Palisades, NY 10964 USA; [McKee, Darren C.; Martinson, Douglas G.] Columbia Univ, Dept Earth &amp; Environm Sci, New York, NY 10027 USA; [Schofield, Oscar] Rutgers State Univ, Ctr Ocean Observing Leadership, Dept Marine &amp; Coastal Sci, Sch Environm &amp; Biol Sci, New Brunswick, NJ USA</t>
  </si>
  <si>
    <t>Columbia University; Columbia University; Rutgers University System; Rutgers University New Brunswick</t>
  </si>
  <si>
    <t>McKee, DC (corresponding author), Columbia Univ, Div Ocean &amp; Climate Phys, Lamont Doherty Earth Observ, Palisades, NY 10964 USA.;McKee, DC (corresponding author), Columbia Univ, Dept Earth &amp; Environm Sci, New York, NY 10027 USA.</t>
  </si>
  <si>
    <t>dmckee@ldeo.columbia.edu</t>
  </si>
  <si>
    <t>NSF [ANT-08-23101, OPP-08-23101, PLR-1440435]; NASA [NNX14AL86G]; NASA [NNX14AL86G, 679094] Funding Source: Federal RePORTER</t>
  </si>
  <si>
    <t>NSF(National Science Foundation (NSF)); NASA(National Aeronautics &amp; Space Administration (NASA)); NASA(National Aeronautics &amp; Space Administration (NASA))</t>
  </si>
  <si>
    <t>McKee and Martinson were supported by NSF Grants OPP-08-23101 and PLR-1440435; Schofield was supported by NSF Grant ANT-08-23101 and NASA Grant NNX14AL86G. Richard Iannuzzi processed the CTD and glider data, made Fig. 1, and provided valuable comments. We thank David Aragon and the Rutgers COOL group for deploying the glider and providing logistical support. We also thank Pat Caldwell at the JASADCP for culling and providing the SADCP data and Mike Dinniman for providing model current fields. We also acknowledge the captains and crews of the L.M. Gould and the N.B. Palmer for their efforts in acquiring many years of LTER data. Insightful comments from the editor and two anonymous reviewers greatly improved this manuscript. This is LDEO contribution 8310 and Palmer LTER contribution 620.</t>
  </si>
  <si>
    <t>10.1175/JPO-D-18-0133.1</t>
  </si>
  <si>
    <t>HY0OY</t>
  </si>
  <si>
    <t>WOS:000467812800001</t>
  </si>
  <si>
    <t>Hofman, RJ</t>
  </si>
  <si>
    <t>Hofman, Robert J.</t>
  </si>
  <si>
    <t>Stopping overexploitation of living resources on the high seas</t>
  </si>
  <si>
    <t>MARINE POLICY</t>
  </si>
  <si>
    <t>SOUTH SHETLAND ISLANDS; ANTARCTIC TOOTHFISH; MARINE ECOSYSTEM; WEDDELL SEALS; WHALES; CONSERVATION; MANAGEMENT; ABUNDANCE; KRILL; PREY</t>
  </si>
  <si>
    <t>This paper reviews the provisions and efforts to implement the 1946 International Convention for the Regulation of Whaling (ICRW) and the 1980 Convention on the Conservation of Antarctic Marine Living Resources (CCAMLR). It illustrates progress and continuing challenges to stopping the overexploitation of living resources in high seas areas beyond national jurisdictions. Progress includes recognition that living organisms interact with each other and the environment in complex ways and that single-species management to attain maximum sustainable yield (MSY) fails to account for these interactions. Continuing challenges include data limitations that allow differing views concerning the adequacy and interpretation of the available data, and decision-making that allows a minority of the decision-makers to block adoption of regulatory measures that the majority believe necessary to meet the intent and provisions of the regulatory agreements. The provisions and continuing challenges to meeting the objectives of these two conventions should be considered in the formulation of future international high seas regulatory agreements such as the regime to govern fisheries in the central Artic Ocean as envisioned in the 16 year ban on commercial fishing there agreed in October 2018 by Canada, Denmark (for Greenland), Iceland, Russia, Norway, the United States, the European Union, Japan, China, and South Korea.</t>
  </si>
  <si>
    <t>[Hofman, Robert J.] US Marine Mammal Commiss, 4340 East West Highway,Room 700, Bethesda, MD 20814 USA</t>
  </si>
  <si>
    <t>Hofman, RJ (corresponding author), US Marine Mammal Commiss, 4340 East West Highway,Room 700, Bethesda, MD 20814 USA.</t>
  </si>
  <si>
    <t>bhofman@mmc.gov</t>
  </si>
  <si>
    <t>ELSEVIER SCI LTD</t>
  </si>
  <si>
    <t>THE BOULEVARD, LANGFORD LANE, KIDLINGTON, OXFORD OX5 1GB, OXON, ENGLAND</t>
  </si>
  <si>
    <t>0308-597X</t>
  </si>
  <si>
    <t>1872-9460</t>
  </si>
  <si>
    <t>MAR POLICY</t>
  </si>
  <si>
    <t>Mar. Pol.</t>
  </si>
  <si>
    <t>10.1016/j.marpol.2019.02.037</t>
  </si>
  <si>
    <t>Environmental Studies; International Relations</t>
  </si>
  <si>
    <t>Social Science Citation Index (SSCI)</t>
  </si>
  <si>
    <t>Environmental Sciences &amp; Ecology; International Relations</t>
  </si>
  <si>
    <t>HR4OL</t>
  </si>
  <si>
    <t>WOS:000463125700012</t>
  </si>
  <si>
    <t>Lenton, A; Boyd, PW; Thatcher, M; Emmerson, KM</t>
  </si>
  <si>
    <t>Lenton, Andrew; Boyd, Philip W.; Thatcher, Marcus; Emmerson, Kathryn M.</t>
  </si>
  <si>
    <t>Foresight must guide geoengineering research and development</t>
  </si>
  <si>
    <t>NATURE CLIMATE CHANGE</t>
  </si>
  <si>
    <t>[Lenton, Andrew] CSIRO Oceans &amp; Atmosphere, Hobart, Tas, Australia; [Lenton, Andrew; Boyd, Philip W.] Univ Tasmania, Antarctic Climate &amp; Ecosyst Cooperat Res Ctr, Hobart, Tas, Australia; [Boyd, Philip W.] Univ Tasmania, Inst Marine &amp; Antarctic Studies, Hobart, Tas, Australia; [Thatcher, Marcus; Emmerson, Kathryn M.] CSIRO Oceans &amp; Atmosphere, Aspendale, Vic, Australia</t>
  </si>
  <si>
    <t>Commonwealth Scientific &amp; Industrial Research Organisation (CSIRO); University of Tasmania; Antarctic Climate &amp; Ecosystems Cooperative Research Centre (ACE CRC); University of Tasmania; Commonwealth Scientific &amp; Industrial Research Organisation (CSIRO)</t>
  </si>
  <si>
    <t>Lenton, A (corresponding author), CSIRO Oceans &amp; Atmosphere, Hobart, Tas, Australia.;Lenton, A (corresponding author), Univ Tasmania, Antarctic Climate &amp; Ecosyst Cooperat Res Ctr, Hobart, Tas, Australia.</t>
  </si>
  <si>
    <t>andrew.lenton@csiro.au</t>
  </si>
  <si>
    <t>Emmerson, Kathryn M/A-1678-2012; Thatcher, Marcus/G-4010-2011; Lenton, Andrew/D-2077-2012; Boyd, Philip/J-7624-2014</t>
  </si>
  <si>
    <t>Emmerson, Kathryn M/0000-0002-0727-0340; Thatcher, Marcus/0000-0003-4139-5515; Lenton, Andrew/0000-0001-9437-8896; Boyd, Philip/0000-0001-7850-1911</t>
  </si>
  <si>
    <t>NATURE PUBLISHING GROUP</t>
  </si>
  <si>
    <t>LONDON</t>
  </si>
  <si>
    <t>MACMILLAN BUILDING, 4 CRINAN ST, LONDON N1 9XW, ENGLAND</t>
  </si>
  <si>
    <t>1758-678X</t>
  </si>
  <si>
    <t>1758-6798</t>
  </si>
  <si>
    <t>NAT CLIM CHANGE</t>
  </si>
  <si>
    <t>Nat. Clim. Chang.</t>
  </si>
  <si>
    <t>10.1038/s41558-019-0467-z</t>
  </si>
  <si>
    <t>Environmental Sciences; Environmental Studies; Meteorology &amp; Atmospheric Sciences</t>
  </si>
  <si>
    <t>Science Citation Index Expanded (SCI-EXPANDED); Social Science Citation Index (SSCI)</t>
  </si>
  <si>
    <t>Environmental Sciences &amp; Ecology; Meteorology &amp; Atmospheric Sciences</t>
  </si>
  <si>
    <t>HV6VZ</t>
  </si>
  <si>
    <t>WOS:000466122200002</t>
  </si>
  <si>
    <t>Carriquí, M; Roig-Oliver, M; Brodribb, TJ; Coopman, R; Gill, W; Mark, K; Niinemets, Ü; Perera-Castro, AV; Ribas-Carbó, M; Sack, L; Tosens, T; Waite, M; Flexas, J</t>
  </si>
  <si>
    <t>Carriqui, Marc; Roig-Oliver, Margalida; Brodribb, Timothy J.; Coopman, Rafael; Gill, Warwick; Mark, Kristiina; Niinemets, Ulo; Perera-Castro, Alicia V.; Ribas-Carbo, Miquel; Sack, Lawren; Tosens, Tiina; Waite, Mashuri; Flexas, Jaume</t>
  </si>
  <si>
    <t>Anatomical constraints to nonstomatal diffusion conductance and photosynthesis in lycophytes and bryophytes</t>
  </si>
  <si>
    <t>NEW PHYTOLOGIST</t>
  </si>
  <si>
    <t>bryophytes; cell wall; chloroplast; CO2 diffusion; lycophytes; nonstomatal diffusion conductance</t>
  </si>
  <si>
    <t>TRAIT SCALING RELATIONSHIPS; MESOPHYLL CONDUCTANCE; LEAF ANATOMY; ISOTOPE DISCRIMINATION; CO2 DIFFUSION; WATER-CONTENT; LIMITATIONS; CAPACITY; MOSSES; CARBON</t>
  </si>
  <si>
    <t>Photosynthesis in bryophytes and lycophytes has received less attention than terrestrial plant groups. In particular, few studies have addressed the nonstomatal diffusion conductance to CO2 g(nsd) of these plant groups. Their lower photosynthetic rate per leaf mass area at any given nitrogen concentration compared with vascular plants suggested a stronger limitation by CO2 diffusion. We hypothesized that bryophyte and lycophyte photosynthesis is largely limited by low g(nsd). Here, we studied CO2 diffusion inside the photosynthetic tissues and its relationships with photosynthesis and anatomical parameters in bryophyte and lycophyte species in Antarctica, Australia, Estonia, Hawaii and Spain. On average, lycophytes and, specially, bryophytes had the lowest photosynthetic rates and nonstomatal diffusion conductance reported for terrestrial plants. These low values are related to their very thick cell walls and their low exposure of chloroplasts to cell perimeter. We conclude that the reason why bryophytes lie at the lower end of the leaf economics spectrum is their strong nonstomatal diffusion conductance limitation to photosynthesis, which is driven by their specific anatomical characteristics.</t>
  </si>
  <si>
    <t>[Carriqui, Marc; Roig-Oliver, Margalida; Perera-Castro, Alicia V.; Ribas-Carbo, Miquel; Flexas, Jaume] Univ Illes Balears, Res Grp Plant Biol Mediterranean Condit, Inst Invest Agroambientales &amp; Econ Agua INAGEA, Carretera Valldemossa Km 7-5, Palma De Mallorca 07122, Illes Balears, Spain; [Brodribb, Timothy J.] Univ Tasmania, Sch Biol Sci, Hobart, Tas 7001, Australia; [Coopman, Rafael] Univ Austral Chile, Ecophysiol Lab Forest Conservat, Inst Conservaci Biodiversidad &amp; Terr, Fac Ciencias Forestales &amp; Recursos Nat, Campus Isla Teja,Casilla 567, Valdivia, Chile; [Gill, Warwick] Univ Tasmania, Tasmanian Inst Agr, Hobart, Tas 7001, Australia; [Mark, Kristiina; Niinemets, Ulo; Tosens, Tiina] Estonian Univ Life Sci, Inst Agr &amp; Environm Sci, Kreutzwaldi 1, EE-51006 Tartu, Estonia; [Niinemets, Ulo] Estonian Acad Sci, Kohte 6, EE-10130 Tallinn, Estonia; [Sack, Lawren] Univ Calif Los Angeles, Dept Ecol &amp; Evolutionary Biol, 621 Charles E Young Dr South, Los Angeles, CA 90095 USA; [Waite, Mashuri] Bogor Agr Univ, Ctr Reg Syst Anal Planning &amp; Dev, Bogor 16153, Indonesia</t>
  </si>
  <si>
    <t>Universitat de les Illes Balears; University of Tasmania; Universidad Austral de Chile; University of Tasmania; Estonian University of Life Sciences; Estonian Academy of Sciences; University of California System; University of California Los Angeles; Bogor Agricultural University</t>
  </si>
  <si>
    <t>Carriquí, M (corresponding author), Univ Illes Balears, Res Grp Plant Biol Mediterranean Condit, Inst Invest Agroambientales &amp; Econ Agua INAGEA, Carretera Valldemossa Km 7-5, Palma De Mallorca 07122, Illes Balears, Spain.</t>
  </si>
  <si>
    <t>m.carriqui@uib.cat</t>
  </si>
  <si>
    <t>Coopman, Rafael/AAG-5482-2020; Brodribb, Timothy John/C-6797-2013; Perera Castro, Alicia V./C-4856-2019; Flexas, Jaume/C-1898-2012; tosens, tiina/K-1314-2013; Sack, Lawren/A-5492-2008; Gill, Warwick/AAT-7385-2020; Mark, Kristiina/AAH-9045-2021; Niinemets, Ülo/A-3816-2008; Carriquí, Marc/I-5544-2014; Ribas-Carbo, Miquel/N-1634-2013</t>
  </si>
  <si>
    <t>Brodribb, Timothy John/0000-0002-4964-6107; Perera Castro, Alicia V./0000-0001-8451-6052; Sack, Lawren/0000-0002-7009-7202; Niinemets, Ülo/0000-0002-3078-2192; Carriquí, Marc/0000-0002-0153-2602; coopman, rafael/0000-0001-5646-1875; Mark, Kristiina/0000-0002-3229-3122; Roig-Oliver, Margalida/0000-0002-8727-2564; Waite, Mashuri/0000-0002-8265-3907; Ribas-Carbo, Miquel/0000-0002-7337-2089</t>
  </si>
  <si>
    <t>Ministerio de Economia y Competitividad (MINECO, Spain) [CTM2014-53902-C2-1-P]; ERDF (FEDER); Fondo Nacional de Desarrollo Cientifico y Tecnologico (FONDECYT, Chile) [FONDECYT-1171640]; Conselleria d'Educacio, Cultura i Universitats (Govern de les Illes Balears) [FPI/1700/2014]; European Social Fund; European Regional Development Fund (Centre of Excellence EcolChange); Estonian Ministry of Science and Education [IUT-8-3, PUT1473]</t>
  </si>
  <si>
    <t>Ministerio de Economia y Competitividad (MINECO, Spain)(Spanish Government); ERDF (FEDER)(European Union (EU)); Fondo Nacional de Desarrollo Cientifico y Tecnologico (FONDECYT, Chile)(Comision Nacional de Investigacion Cientifica y Tecnologica (CONICYT)CONICYT FONDECYT); Conselleria d'Educacio, Cultura i Universitats (Govern de les Illes Balears); European Social Fund(European Social Fund (ESF)); European Regional Development Fund (Centre of Excellence EcolChange); Estonian Ministry of Science and Education(Ministry of Education and Research, Estonia)</t>
  </si>
  <si>
    <t>The research leading to these results has been supported by the project CTM2014-53902-C2-1-P from the Ministerio de Economia y Competitividad (MINECO, Spain) and the ERDF (FEDER), the project FONDECYT-1171640 from the Fondo Nacional de Desarrollo Cientifico y Tecnologico (FONDECYT, Chile), by the predoctoral fellowship FPI/1700/2014, awarded to MC, from the Conselleria d'Educacio, Cultura i Universitats (Govern de les Illes Balears) and the European Social Fund, and the European Regional Development Fund (Centre of Excellence EcolChange) and the Estonian Ministry of Science and Education (institutional grants IUT-8-3 and PUT1473). We are grateful to Dr Javier Martinez-Abaigar and Dr Ana Losada for identifying the Spanish mosses, to Roke Rojas, Dr Shelley Urquhart, M Teresa Minguez, Universitat de Valencia (Seccio Microscpia Electrnica, SCSIE), and Dr Ferran Hierro, Universitat de les Illes Balears (Serveis Cientificotecnics), for technical support during microscopic analyses, to Mateu Fullana-Pericas and Marcel Font for providing us N content values for the Spanish species, and to Miquel Nadal for his help in the analyses. We wish to thank Comite Polar Espanol (CPE), CSIC's Unidad de Tecnologia Marina (UTM), and the personnel at Base Juan Carlos I and on the vessels Sarmiento de Gamboa and Hesperides for their help during the Antarctic campaign. Dr Javier Gulias and Dr Maria J. Clemente are also acknowledged for helping during measurements in Antarctica.</t>
  </si>
  <si>
    <t>0028-646X</t>
  </si>
  <si>
    <t>1469-8137</t>
  </si>
  <si>
    <t>NEW PHYTOL</t>
  </si>
  <si>
    <t>New Phytol.</t>
  </si>
  <si>
    <t>10.1111/nph.15675</t>
  </si>
  <si>
    <t>Plant Sciences</t>
  </si>
  <si>
    <t>HW6JX</t>
  </si>
  <si>
    <t>WOS:000466797100013</t>
  </si>
  <si>
    <t>Iriarte, JL; Gómez, I; González, HE; Nahuelhual, L; Navarro, JM</t>
  </si>
  <si>
    <t>Iriarte, J. L.; Gomez, I.; Gonzalez, H. E.; Nahuelhual, L.; Navarro, J. M.</t>
  </si>
  <si>
    <t>Subantarctic and Antarctic Marine Ecosystems: outlining patterns and processes in a changing ocean</t>
  </si>
  <si>
    <t>PROGRESS IN OCEANOGRAPHY</t>
  </si>
  <si>
    <t>BIODIVERSITY; IMPACTS</t>
  </si>
  <si>
    <t>[Iriarte, J. L.; Gomez, I.; Gonzalez, H. E.; Nahuelhual, L.; Navarro, J. M.] Univ Austral Chile, Res Ctr Dynam High Latitude Marine Ecosyst FONDAP, Valdivia, Chile; [Iriarte, J. L.] Univ Austral Chile, Inst Acuicultura, Puerto Montt, Chile; [Iriarte, J. L.] Univ Concepcion, Ctr COPAS Sur Austral, Concepcion, Chile; [Iriarte, J. L.] CIEP, Coyhaique, Chile; [Gomez, I.; Gonzalez, H. E.; Navarro, J. M.] Univ Austral Chile, Inst Ciencias Marinas &amp; Limnol, Valdivia, Chile</t>
  </si>
  <si>
    <t>Universidad Austral de Chile; Universidad Austral de Chile; Universidad de Concepcion; Universidad Austral de Chile</t>
  </si>
  <si>
    <t>Iriarte, JL (corresponding author), Univ Austral Chile, Res Ctr Dynam High Latitude Marine Ecosyst FONDAP, Valdivia, Chile.;Iriarte, JL (corresponding author), Univ Austral Chile, Inst Acuicultura, Puerto Montt, Chile.;Iriarte, JL (corresponding author), Univ Concepcion, Ctr COPAS Sur Austral, Concepcion, Chile.;Iriarte, JL (corresponding author), CIEP, Coyhaique, Chile.</t>
  </si>
  <si>
    <t>González, Humberto E./A-4039-2008</t>
  </si>
  <si>
    <t>Gomez, Ivan/0000-0001-8381-3792</t>
  </si>
  <si>
    <t>CONICYT-FONDAP grant [15150003]</t>
  </si>
  <si>
    <t>CONICYT-FONDAP grant(Comision Nacional de Investigacion Cientifica y Tecnologica (CONICYT)CONICYT FONDAP)</t>
  </si>
  <si>
    <t>The Research Center on Dynamics of High Latitude Marine Ecosystems (IDEAL) is an initiative of the Universidad Austral de Chile and funded by CONICYT-FONDAP 15150003 grant. Special thanks go to the Editor of Progress in Oceanography, Dr. Enrique Curchitser, for his support throughout the production process of this Special Issue. All the authors thank the Instituto Antartico Chileno (INACH) for supporting the scientific and logistical activities in Antarctica. Many thanks to undergraduate and graduate students, research assistants, crews, and logistic teams who assisted and supported at different stages of the studies published in this issue.</t>
  </si>
  <si>
    <t>PERGAMON-ELSEVIER SCIENCE LTD</t>
  </si>
  <si>
    <t>THE BOULEVARD, LANGFORD LANE, KIDLINGTON, OXFORD OX5 1GB, ENGLAND</t>
  </si>
  <si>
    <t>0079-6611</t>
  </si>
  <si>
    <t>PROG OCEANOGR</t>
  </si>
  <si>
    <t>Prog. Oceanogr.</t>
  </si>
  <si>
    <t>10.1016/j.pocean.2019.05.002</t>
  </si>
  <si>
    <t>ID0HI</t>
  </si>
  <si>
    <t>WOS:000471364200001</t>
  </si>
  <si>
    <t>González-Wevar, CA; Gérard, K; Rosenfeld, S; Saucède, T; Naretto, J; Díaz, A; Morley, SA; Brickle, P; Poulin, E</t>
  </si>
  <si>
    <t>Gonzalez-Wevar, Claudio A.; Gerard, Karin; Rosenfeld, Sebastian; Saucede, Thomas; Naretto, Javier; Diaz, Angie; Morley, Simon A.; Brickle, Paul; Poulin, Elie</t>
  </si>
  <si>
    <t>Cryptic speciation in Southern Ocean Aequiyoldia eightsii (Jay, 1839): Mio-Pliocene trans-Drake Passage separation and diversification</t>
  </si>
  <si>
    <t>Biogeography; Southern Ocean; Antarctic-Magellan Connection; Kerguelen Islands; Antarctic Peninsula; South America; Morphometry; Systematics; Phylogeny</t>
  </si>
  <si>
    <t>LONG-DISTANCE DISPERSAL; MITOCHONDRIAL LINEAGES; CLIMATE-CHANGE; PROMACHOCRINUS-KERGUELENSIS; ASTROTOMA-AGASSIZII; GENETIC-DIVERGENCE; FALKLAND-ISLANDS; GLACIAL REFUGIA; VICTORIA LAND; DNA</t>
  </si>
  <si>
    <t>The species of the genus Aequiyoldia Soot-Ryen, 1951, previously known as Yoldia, are common, soft-substratum, sareptid bivalves. In the Southern Ocean, Aequiyoldia eightsii (Jay, 1839) was originally described from the Antarctic Peninsula and has also been reported in southern South America. The species A. woodwardi (Hanley, 1960) was reported for the Falkland/Malvinas Islands and Tierra del Fuego, but this taxon has been recently synonymised within the broadly distributed A. eightsii. Aequiyoldia has received little attention across its distribution in the Southern Ocean, and although its taxonomy and systematics remain uncertain, all the species have been grouped under a single and broadly distributed unit: A. eightsii. Nevertheless, preliminary mtDNA comparisons demonstrated a marked genetic divergence ( &gt; 7%) between A. eightsii populations from South America and Antarctic Peninsula. In order to further understand the diversity and biogeography of Aequiyoldia, we analyzed A. eightsii populations from different provinces of the Southern Ocean including South America (SA), the Falldand/Malvinas Islands (FI), the Antarctic Peninsula (AP), and Kerguelen Islands (KI). Individuals were characterized according to typical diagnostic morphological measurements and phylogenetic relationships were reconstructed based on mtDNA (cytochrome c oxidase subunit I). Patterns of genetic divergence of nucDNA intergenic transcribed spacers (ITS1, ITS2) were also estimated. The statistical analysis of external diagnostic characteristics revealed two morphotypes: (1) individuals with the morphology recorded for the nominal FI species, A. woodwardi, and (2) individuals from SA, AP, and KI, with the morphology recorded for A. eightsii. However, phylogenetic reconstructions based on mtDNA and nucDNA suggest the presence of at least five lineages within A. eightsii including: one lineage in Kerguelen Island, two lineages in the Antarctic Peninsula, one lineage in South America, and the last one restricted to the Falkland/Malvinas Islands. Such results are evidence that the Antarctic Polar Front represents an historical biogeographic barrier for this group and that after the separation of these lineages, they followed independent evolutionary pathways in different provinces of the Southern Ocean. Estimates of divergence time suggest that KI separated from other Aequiyoldin lineages close to the middle Miocene. Following this, the separation between the AP and SA lineages occurred at the end of the Miocene around 7.5 Ma. Finally, Aequiyoldia diversified during the Pliocene in Antarctic Peninsula (similar to 4.5 Ma) and South America (similar to 3.0 Ma). Individuals from FI exhibited morphological differences, and 4% of divergence from South American individuals, suggesting that A. woordwardi could be revalidated. Similarly, the marked molecular divergence between the KI and the rest of the recorded lineages also support the validity of A. kerguelensis (Thiele, 1931).</t>
  </si>
  <si>
    <t>[Gonzalez-Wevar, Claudio A.] Univ Austral Chile, Fac Ciencias, ICML, Casilla 567, Valdivia, Chile; [Gonzalez-Wevar, Claudio A.] Univ Austral Chile, Ctr FONDAP Invest Dinam Ecosistemas Marinos Altas, Casilla 567, Valdivia, Chile; [Gonzalez-Wevar, Claudio A.; Naretto, Javier; Poulin, Elie] Univ Chile, Fac Ciencias, IEB, Dept Ciencias Ecol, Palmeras 3425, Santiago, Chile; [Gerard, Karin; Rosenfeld, Sebastian] Univ Magallanes, Lab Ecosistemas Marinos Antarticos &amp; Subantartico, Punta Arenas, Chile; [Gerard, Karin] Univ Magallanes, Ctr Invest GALA Antartica, Punta Arenas, Chile; [Saucede, Thomas] Univ Bourgogne, Biogeosci, UMR CNRS 6282, 6 Blvd Gabriel, F-21000 Dijon, France; [Diaz, Angie] Univ Concepcion, Fac Ciencias Nat &amp; Oceanog, Dept Zool, Concepcion, Chile; [Morley, Simon A.] NERC, BAS, Madingley Rd, Cambridge CB3 0ET, England; [Brickle, Paul] SAERI, POB 609, Stanley, Chile</t>
  </si>
  <si>
    <t>Universidad Austral de Chile; Universidad Austral de Chile; Universidad de Chile; Universidad de Magallanes; Universidad de Magallanes; Centre National de la Recherche Scientifique (CNRS); CNRS - Institute of Ecology &amp; Environment (INEE); Universite de Bourgogne; Universidad de Concepcion; UK Research &amp; Innovation (UKRI); Natural Environment Research Council (NERC); NERC British Antarctic Survey</t>
  </si>
  <si>
    <t>González-Wevar, CA (corresponding author), Univ Austral Chile, Fac Ciencias, ICML, Casilla 567, Valdivia, Chile.;Gérard, K (corresponding author), Univ Magallanes, Inst Patagonia, Ave Bulnes 01890, Punta Arenas, Chile.</t>
  </si>
  <si>
    <t>claudio.gonzalez@uach.cl; karin.gerard@umag.cl</t>
  </si>
  <si>
    <t>Gérard, Karin/AAC-4911-2021; González-Wevar, Claudio Alejandro/AAD-6513-2021; Poulin, Elie/C-2654-2012; Diaz, Angie/I-8033-2016</t>
  </si>
  <si>
    <t>Gérard, Karin/0000-0003-0596-1348; Poulin, Elie/0000-0001-7736-0969; Brickle, Paul/0000-0002-9870-3518; Diaz, Angie/0000-0003-4944-588X; Rosenfeld, Sebastian/0000-0002-4363-8018</t>
  </si>
  <si>
    <t>Initiation Fondecyt Project [11140087]; Program FONDAP [15150003]; Regular Fondecyt projects [1161358, 1151336]; Instituto de Ecologia y Biodiversidad IEB [P05-002 ICM, PFB 023]; CD GALA Antartica, Universidad de Magallanes; CONICYT PIA [ACT172065]; IPEV program [1044]; SCAR AntEco program; SCAR EBA program; CAML; SAERI; NERC [bas0100036] Funding Source: UKRI</t>
  </si>
  <si>
    <t>Initiation Fondecyt Project; Program FONDAP; Regular Fondecyt projects; Instituto de Ecologia y Biodiversidad IEB; CD GALA Antartica, Universidad de Magallanes; CONICYT PIA; IPEV program; SCAR AntEco program; SCAR EBA program; CAML; SAERI; NERC(UK Research &amp; Innovation (UKRI)Natural Environment Research Council (NERC))</t>
  </si>
  <si>
    <t>This study was funded by the following projects and institutions: An Initiation Fondecyt Project (11140087) and the Program FONDAP, Project No. 15150003 to CAGW. Regular Fondecyt projects (1161358) to KG and (1151336) EP. We greatly appreciate support from the projects P05-002 ICM and PFB 023 (Institute de Ecologia y Biodiversidad IEB) to EP, SR, JN, and CAG-W; CD GALA Antartica, Universidad de Magallanes, to CAG-W and KG; CONICYT PIA ACT172065 to EP, CAG-W, AD, and KG. All specimens were collected in accordance with Chilean legislation (Technical Memorandum P.INV No. 429/2015 SUBPESCA). Permits to undertake field studies and collect specimens in Falkland Islands were issued by the Environmental Planning Department, the Falkland Islands Government. Field access facilities at Kerguelen Islands were supported 415 by IPEV program 1044 Proteker to E.P, C.A.G-W, and T.S. We recognize the SCAR AntEco and EBA programs, CAML, and SAERI for encouraging and supporting Antarctic and Subantarctic evolutionary biology studies. This manuscript contributes to the SCAR 'State of Antarctic Ecosystem' (AntEco) program.</t>
  </si>
  <si>
    <t>1873-4472</t>
  </si>
  <si>
    <t>10.1016/j.pocean.2018.09.004</t>
  </si>
  <si>
    <t>Green Submitted</t>
  </si>
  <si>
    <t>WOS:000471364200006</t>
  </si>
  <si>
    <t>Cárdenas, P; Lange, CB; Vernet, M; Esper, O; Srain, B; Vorrath, ME; Ehrhardt, S; Müller, J; Kuhn, G; Arz, HW; Lembke-Jene, L; Lamy, F</t>
  </si>
  <si>
    <t>Cardenas, Paola; Lange, Carina B.; Vernet, Maria; Esper, Oliver; Srain, Benjamin; Vorrath, Maria-Elena; Ehrhardt, Sophie; Mueller, Juliane; Kuhn, Gerhard; Arz, Helge W.; Lembke-Jene, Lester; Lamy, Frank</t>
  </si>
  <si>
    <t>Biogeochemical proxies and diatoms in surface sediments across the Drake Passage reflect oceanic domains and frontal systems in the region</t>
  </si>
  <si>
    <t>Drake Passage; Surface sediments; Organic carbon; Photosynthetic pigments; Sterols; Diatoms</t>
  </si>
  <si>
    <t>ANTARCTIC CIRCUMPOLAR CURRENT; KING-GEORGE ISLAND; CARBON ISOTOPIC COMPOSITION; SOUTH SHETLAND ISLANDS; BRANSFIELD STRAIT; SEA-ICE; WESTERN BRANSFIELD; CHLOROPHYLL-A; BIOGENIC SILICA; ORGANIC-MATTER</t>
  </si>
  <si>
    <t>The Antarctic Circumpolar Current is the world's largest current system connecting all major ocean basins of the global ocean. Its flow, driven by strong westerly winds, is constricted to its narrowest extent in the Drake Passage, located between South America and the Antarctic Peninsula. Due to the remoteness of the area, harsh weather conditions and strong bottom currents, sediment recovery is difficult and data coverage is still inadequate. Here, we report on the composition of 51 surface sediments collected during the R/V Polarstern PS97 expedition (February-April 2016) across the western and central Drake Passage, from the Chilean/Argentinian continental margin to the South Shetland Islands and the Bransfield Strait (water depth: similar to 100-4000 m). We studied microfossils (diatoms), bulk sediment composition and geochemical proxies (biogenic opal, organic carbon, calcium carbonate, carbon and nitrogen stable isotopes, sterols and photosynthetic pigments), and evaluated how they respond to, and reflect oceanic domains and polar to subpolar frontal systems in this region. Our multi-proxy approach shows a strong relationship between the composition of surface sediments and ocean productivity, terrigenous input, intensity of ocean currents, and ice proximity, clearly differentiating among 4 biogeographical zones. The Subantarctic Zone was characterized by wanner-water diatoms, high carbonate ( &gt; 45%) and low organic carbon contents (avg. 0.26%), as well as low concentrations of pigments (avg. 1.75 mu g/g) and sterols (avg. 0.90 mu g/g). A general N-S transition from carbonate-rich to opal-rich sediment was observed at Drake Passage sites of the Polar Front and Permanently Open Ocean Zone. These sites were characterized by low organic carbon content (0.22%), high relative abundances of heavily silicified diatoms (&gt;= 60% Fragilariopsis kergueiensis), and abundant foraminifera at shallower stations. Approaching the Antarctic Peninsula in the Transitional Zone, an increase in the concentrations of pigments and sterols (avg. 2.57 mu g/g and 1.44 mu g/g, respectively) and a strong decrease in carbonate content was observed. The seasonal Sea-Ice Zone in the southern section of the study area, had the highest contents of biogenic opal (avg. 14.6%) and organic carbon (avg. 0.7%), low carbonate contents (avg. 2.4%), with the occurrence of sea-ice-related diatoms and sterols. In all zones, terrigenous input was detected, although carbon/nitrogen ratios and delta C-13(org) suggest a predominance of marinederived organic matter; lower values of delta C-13(org) occurred south of the Polar Front. The new results presented here constitute a highly valuable reference dataset for the calibration of microfossil and geochemical proxies against observational data and provide a useful regional baseline for future paleo-research.</t>
  </si>
  <si>
    <t>[Cardenas, Paola] Univ Concepcion, Fac Ciencias Nat &amp; Oceanog, Dept Oceanog, Programa Postgrad Oceanog, Concepcion, Chile; [Cardenas, Paola; Lange, Carina B.; Srain, Benjamin] Univ Concepcion, Ctr Oceanog COPAS Sur Austral, Concepcion, Chile; [Cardenas, Paola; Lange, Carina B.] Univ Austral Chile, Ctr Invest Dinam Ecosistemas Marinos Altos Latitu, Valdivia, Chile; [Lange, Carina B.] Univ Concepcion, Dept Oceanog, Concepcion, Chile; [Vernet, Maria] Univ Calif San Diego, Scripps Inst Oceanog, La Jolla, CA 92093 USA; [Esper, Oliver; Vorrath, Maria-Elena; Mueller, Juliane; Kuhn, Gerhard; Lembke-Jene, Lester; Lamy, Frank] Alfred Wegener Inst, Helmholtz Zentrum Polar &amp; Meeresforsch, Bremerhaven, Germany; [Ehrhardt, Sophie] Helmholtz Zentrum Umweltforsch UFZ, Leipzig, Germany; [Mueller, Juliane] Univ Bremen, Zentrum Marine Umweltwissensch MARUM, Bremen, Germany; [Arz, Helge W.] Leibniz Inst Ostseeforsch Warnemunde IOW, Rostock, Germany</t>
  </si>
  <si>
    <t>Universidad de Concepcion; Universidad de Concepcion; Universidad Austral de Chile; Universidad de Concepcion; University of California System; University of California San Diego; Scripps Institution of Oceanography; Helmholtz Association; Alfred Wegener Institute, Helmholtz Centre for Polar &amp; Marine Research; Helmholtz Association; Helmholtz Center for Environmental Research (UFZ); University of Bremen; Leibniz Institut fur Ostseeforschung Warnemunde</t>
  </si>
  <si>
    <t>Lange, CB (corresponding author), Univ Concepcion, Dept Oceanog, Concepcion, Chile.</t>
  </si>
  <si>
    <t>clange@udec.cl</t>
  </si>
  <si>
    <t>Lembke-Jene, Lester/ABC-6275-2020; Lange, Carina/AHC-2015-2022; Vorrath, Maria-Elena/AAS-4675-2020; Arz, Helge W/A-6659-2013; Lembke-Jene, Lester/F-5084-2013; Muller, Juliane/L-1875-2013</t>
  </si>
  <si>
    <t>Lange, Carina/0000-0002-2916-4207; Vorrath, Maria-Elena/0000-0001-7208-1186; Kuhn, Gerhard/0000-0001-6069-7485; Muller, Juliane/0000-0003-0724-4131; Arz, Helge Wolfgang/0000-0002-1997-1718; Cardenas, Paola/0000-0003-1464-8046</t>
  </si>
  <si>
    <t>Alfred-Wegener Institut, Helmholtz Zentrum fur Polar and Meeresforschung; Center for Oceanographic Research COPAS Sur-Austral (Chile) [CONICYT PIA PFB31, AFB170006]; Research Center Dynamics of High Latitude Marine Ecosystems (Chile) [FONDAP-IDEAL 15150003]; Helmholtz Research Grant [VH-NG-1101]; research program PACES II: Polar Regions and Coasts in the changing Earth System; US National Science Foundation [PLR-1443705]; [CONICYT-PFCHA/MagisterNacional/2017-22171017]</t>
  </si>
  <si>
    <t>Alfred-Wegener Institut, Helmholtz Zentrum fur Polar and Meeresforschung; Center for Oceanographic Research COPAS Sur-Austral (Chile); Research Center Dynamics of High Latitude Marine Ecosystems (Chile); Helmholtz Research Grant; research program PACES II: Polar Regions and Coasts in the changing Earth System; US National Science Foundation(National Science Foundation (NSF));</t>
  </si>
  <si>
    <t>We thank Captain Schwarze and his crew on the RV Polarstern, for a successful PS97 cruise. We are grateful to D. Nurnberg and the members of the PS97 Geology Science Party for endless hours of site surveys, coring, sub-sampling and initial sediment analysis onboard. We thank L. Rebolledo (INACH, Punta Arenas, Chile) and H. Schulz (Universitat Tubingen, Germany) for sub-sampling of MUCs, smear-slides and coarse fraction analyses carried out on Polarstern. H. Fenco (INDEP, Mar del Plata, Argentina) provided preliminary analysis and interpretation of ACC current velocities. We acknowledge laboratory assistance by V. Acuiia and A. Avila (Universidad de Concepcion, Chile) for sterols and biogenic opal measurements, B.J. Pan and L. Ekern (Scripps Institution of Oceanography, USA) for pigments analyses, and S. Garcia (Universidad de Concepcion, Chile) for help in the preparation of Figs. 1 and 2. This work benefitted from fruitful discussions with J.L. Iriarte (UACh, Puerto Montt) and H. Schulz.; We thank the Alfred-Wegener Institut, Helmholtz Zentrum fur Polar and Meeresforschung for funding Polarstern expedition PS97. We acknowledge financial support from the Center for Oceanographic Research COPAS Sur-Austral (CONICYT PIA PFB31 and AFB170006, Chile) and the Research Center Dynamics of High Latitude Marine Ecosystems (FONDAP-IDEAL 15150003, Chile) (to PC, CBL and BS), Helmholtz Research Grant VH-NG-1101 (to JM and M-EV), research program PACES II: Polar Regions and Coasts in the changing Earth System (to GK, FL), and from the US National Science Foundation (award PLR-1443705 to MV). PC received a scholarship from CONICYT-PFCHA/MagisterNacional/2017-22171017 (Chile). We are very grateful to two reviewers, E. Quiroga (Pontificia Universidad Catedica de Valparaiso) and Xavier Crosta (Universite de Bordeaux) whose corrections and comments greatly improved the final version of the manuscript.</t>
  </si>
  <si>
    <t>10.1016/j.pocean.2018.10.004</t>
  </si>
  <si>
    <t>WOS:000471364200009</t>
  </si>
  <si>
    <t>Höfer, J; Giesecke, R; Hopwood, MJ; Carrera, V; Alarcón, E; González, HE</t>
  </si>
  <si>
    <t>Hofer, Juan; Giesecke, Ricardo; Hopwood, Mark J.; Carrera, Vania; Alarcon, Emilio; Gonzalez, Humberto E.</t>
  </si>
  <si>
    <t>The role of water column stability and wind mixing in the production/export dynamics of two bays in the Western Antarctic Peninsula</t>
  </si>
  <si>
    <t>Western Antarctic Peninsula; Phytoplankton; Primary production; Freshening; Stratification; Southern Ocean; Global and regional productivity</t>
  </si>
  <si>
    <t>NORTHERN MARGUERITE BAY; KING GEORGE ISLAND; ICE ZONE WEST; SEA-ICE; INTERANNUAL VARIABILITY; CLIMATE-CHANGE; COMMUNITY COMPOSITION; PHYTOPLANKTON GROWTH; COASTAL WATERS; SOUTHERN-OCEAN</t>
  </si>
  <si>
    <t>During January and February 2017 massive phytoplankton blooms (chlorophyll &gt; 15 mg m(-3)) were registered in surface waters within two bays in the Western Antarctic Peninsula (WAP). Reflecting these intense blooms, surface waters exhibited high pH (up to 8.4), low pCO(2) (&lt; 175 mu atm) and low nitrate concentrations (down to 1.5 mu M). These summer phytoplankton blooms consisted mainly of diatoms and were associated with the presence of shallow, surface freshwater plumes originating from glacier-melt outflow which contributed both to stratification and to iron supply, thus facilitating pronounced nitrate and CO2 drawdown. These findings suggest that with future increases in freshwater discharge around the WAP, phytoplankton blooms in the northern WAP may become more dominated by large cells, resembling the blooms occurring further south along the Peninsula. Fresher surface waters enhanced water column stability in both bays, enabling phytoplankton populations to attain high growth rates. Phytoplankton was observed to double their biomass in 2.3 days, consistent with the high net primary production rates recorded in both bays (1.29-8.83 g C m(-2) d(-1)). Phytoplankton growth rates showed a direct mechanistic relationship with changes in water column stability, suggesting that this is a main driver of primary productivity in near-shore Antarctic coastal ecosystems, which agrees with previous findings. After wind induced mixing, the organic matter produced within both bays did not settle inside them, suggesting that it was laterally advected out of the bays. Thus, we hypothesize that highly productive near-shore bay areas in Antarctica may supply organic matter to oceanic waters.</t>
  </si>
  <si>
    <t>[Hofer, Juan; Giesecke, Ricardo; Gonzalez, Humberto E.] Univ Austral Chile, Inst Ciencias Marinas &amp; Limnol, Casilla 567, Valdivia, Chile; [Hofer, Juan; Giesecke, Ricardo; Carrera, Vania; Alarcon, Emilio; Gonzalez, Humberto E.] Ctr FONDAP Invest Dinam Ecosistemas Marinos Altas, Valdivia, Chile; [Hopwood, Mark J.] Helmholtz Ctr Ocean Res, GEOMAR, D-24148 Kiel, Germany; [Carrera, Vania] Univ Concepcion, Programa Magister Oceanog, Concepcion, Chile; [Alarcon, Emilio] CIEP, Coyhaique, Chile</t>
  </si>
  <si>
    <t>Universidad Austral de Chile; Helmholtz Association; GEOMAR Helmholtz Center for Ocean Research Kiel; Universidad de Concepcion</t>
  </si>
  <si>
    <t>Höfer, J (corresponding author), Univ Austral Chile, Inst Ciencias Marinas &amp; Limnol, Casilla 567, Valdivia, Chile.</t>
  </si>
  <si>
    <t>juanhofer@gmail.com</t>
  </si>
  <si>
    <t>González, Humberto E./A-4039-2008; Hopwood, Mark/E-2187-2019</t>
  </si>
  <si>
    <t>Hofer, Juan/0000-0002-5887-4929; Giesecke, Ricardo/0000-0002-8805-6089</t>
  </si>
  <si>
    <t>CONICYT [FONDAP-IDEAL 15150003]; FONDECYT [POSTDOCTORADO 3180152]</t>
  </si>
  <si>
    <t>CONICYT(Comision Nacional de Investigacion Cientifica y Tecnologica (CONICYT)); FONDECYT(Comision Nacional de Investigacion Cientifica y Tecnologica (CONICYT)CONICYT FONDECYT)</t>
  </si>
  <si>
    <t>We thank A. Pifiones, J. Games-Vargas, V. Vazquez, J. Arata and P. Moller for their assistance during field and lab work. INACH and the Chilean Navy kindly provided the meteorological data. We are also grateful to INACH for their logistical support, especially M. Gonzalez-Aravena, C. Cardenas and the crew at Escudero and Yelcho stations. Useful comments from two anonymous referees helped us to improve the manuscript. This is a contribution of the IDEAL research center. This work was funded by CONICYT [FONDAP-IDEAL 15150003] and FONDECYT [POSTDOCTORADO 3180152].</t>
  </si>
  <si>
    <t>10.1016/j.pocean.2019.01.005</t>
  </si>
  <si>
    <t>WOS:000471364200011</t>
  </si>
  <si>
    <t>Tedesco, L; Vichi, M; Scoccimarro, E</t>
  </si>
  <si>
    <t>Tedesco, L.; Vichi, M.; Scoccimarro, E.</t>
  </si>
  <si>
    <t>Sea-ice algal phenology in a warmer Arctic</t>
  </si>
  <si>
    <t>SCIENCE ADVANCES</t>
  </si>
  <si>
    <t>PRECIPITATION EVENTS; CLIMATE-CHANGE; PHYTOPLANKTON; OCEAN; PROJECTIONS; MICROALGAE; CMIP5; SNOW</t>
  </si>
  <si>
    <t>The Arctic sea-ice decline is among the most emblematic manifestations of climate change and is occurring before we understand its ecological consequences. We investigated future changes in algal productivity combining a biogeochemical model for sympagic algae with sea-ice drivers from an ensemble of 18 CMIP5 climate models. Model projections indicate quasi-linear physical changes along latitudes but markedly non-linear response of sympagic algae, with distinct latitudinal patterns. While snow cover thinning explains the advancement of algal blooms below 66 degrees N, narrowing of the biological time windows yields small changes in the 66 degrees N to 74 degrees N band, and shifting of the ice seasons toward more favorable photoperiods drives the increase in algal production above 74 degrees N. These diverse latitudinal responses indicate that the impact of declining sea ice on Arctic sympagic production is both large and complex, with consequent trophic and phenological cascades expected in the rest of the food web.</t>
  </si>
  <si>
    <t>[Tedesco, L.] Finnish Environm Inst, Marine Res Ctr, Helsinki 00790, Finland; [Vichi, M.] Univ Cape Town, Dept Oceanog, ZA-7701 Rondebosch, South Africa; [Vichi, M.] Univ Cape Town, Marine Res Inst, ZA-7701 Rondebosch, South Africa; [Scoccimarro, E.] Fdn Ctr Euromediterraneo Cambiamenti Climat CMCC, I-40128 Bologna, Italy</t>
  </si>
  <si>
    <t>Finnish Environment Institute; University of Cape Town; University of Cape Town; Centro Euro-Mediterraneo sui Cambiamenti Climatici (CMCC)</t>
  </si>
  <si>
    <t>Tedesco, L (corresponding author), Finnish Environm Inst, Marine Res Ctr, Helsinki 00790, Finland.</t>
  </si>
  <si>
    <t>letizia.tedesco@environment.fi</t>
  </si>
  <si>
    <t>Vichi, Marcello/GLR-9823-2022; Scoccimarro, Enrico/AAV-6281-2020; Tedesco, Letizia/B-2884-2013</t>
  </si>
  <si>
    <t>Vichi, Marcello/0000-0002-0686-9634; Scoccimarro, Enrico/0000-0001-7987-4744; Tedesco, Letizia/0000-0001-9051-8177</t>
  </si>
  <si>
    <t>DST/NRF through the South African National Antarctic Programme</t>
  </si>
  <si>
    <t>M.V. acknowledges funding from DST/NRF through the South African National Antarctic Programme.</t>
  </si>
  <si>
    <t>AMER ASSOC ADVANCEMENT SCIENCE</t>
  </si>
  <si>
    <t>1200 NEW YORK AVE, NW, WASHINGTON, DC 20005 USA</t>
  </si>
  <si>
    <t>2375-2548</t>
  </si>
  <si>
    <t>SCI ADV</t>
  </si>
  <si>
    <t>Sci. Adv.</t>
  </si>
  <si>
    <t>eaav4830</t>
  </si>
  <si>
    <t>10.1126/sciadv.aav4830</t>
  </si>
  <si>
    <t>Multidisciplinary Sciences</t>
  </si>
  <si>
    <t>Science &amp; Technology - Other Topics</t>
  </si>
  <si>
    <t>IB2UU</t>
  </si>
  <si>
    <t>gold, Green Published</t>
  </si>
  <si>
    <t>WOS:000470125000047</t>
  </si>
  <si>
    <t>Hays, GC; Bailey, H; Bograd, SJ; Bowen, WD; Campagna, C; Carmichael, RH; Casale, P; Chiaradia, A; Costa, DP; Cuevas, E; de Bruyn, PJN; Dias, MP; Duarte, CM; Dunn, DC; Dutton, PH; Esteban, N; Friedlaender, A; Goetz, KT; Godley, BJ; Halpin, PN; Hamann, M; Hammerschlag, N; Harcourt, R; Harrison, AL; Hazen, EL; Heupel, MR; Hoyt, E; Humphries, NE; Kot, CY; Lea, JSE; Marsh, H; Maxwell, SM; McMahon, CR; di Sciara, GN; Palacios, DM; Phillips, RA; Righton, D; Schofield, G; Seminoff, JA; Simpfendorfer, CA; Sims, DW; Takahashi, A; Tetley, MJ; Thums, M; Trathan, PN; Villegas-Amtmann, S; Wells, RS; Whiting, SD; Wildermann, NE; Msequeira, AMM</t>
  </si>
  <si>
    <t>Hays, Graeme C.; Bailey, Helen; Bograd, Steven J.; Bowen, W. Don; Campagna, Claudio; Carmichael, Ruth H.; Casale, Paolo; Chiaradia, Andre; Costa, Daniel P.; Cuevas, Eduardo; de Bruyn, P. J. Nico; Dias, Maria P.; Duarte, Carlos M.; Dunn, Daniel C.; Dutton, Peter H.; Esteban, Nicole; Friedlaender, Ari; Goetz, Kimberly T.; Godley, Brendan J.; Halpin, Patrick N.; Hamann, Mark; Hammerschlag, Neil; Harcourt, Robert; Harrison, Autumn-Lynn; Hazen, Elliott L.; Heupel, Michelle R.; Hoyt, Erich; Humphries, Nicolas E.; Kot, Connie Y.; Lea, James S. E.; Marsh, Helene; Maxwell, Sara M.; McMahon, Clive R.; di Sciara, Giuseppe Notarbartolo; Palacios, Daniel M.; Phillips, Richard A.; Righton, David; Schofield, Gail; Seminoff, Jeffrey A.; Simpfendorfer, Colin A.; Sims, David W.; Takahashi, Akinori; Tetley, Michael J.; Thums, Michele; Trathan, Philip N.; Villegas-Amtmann, Stella; Wells, Randall S.; Whiting, Scott D.; Wildermann, Natalie E.; Msequeira, Ana M. M.</t>
  </si>
  <si>
    <t>Translating Marine Animal Tracking Data into Conservation Policy and Management</t>
  </si>
  <si>
    <t>TRENDS IN ECOLOGY &amp; EVOLUTION</t>
  </si>
  <si>
    <t>Review</t>
  </si>
  <si>
    <t>SATELLITE TRACKING; BYCATCH REDUCTION; PROTECTED AREAS; BASKING SHARKS; SOUTHERN-OCEAN; DYNAMIC OCEAN; BELUGA WHALES; SEA-TURTLES; TELEMETRY; MOVEMENT</t>
  </si>
  <si>
    <t>There have been efforts around the globe to track individuals of many marine species and assess their movements and distribution, with the putative goal of supporting their conservation and management. Determining whether, and how, tracking data have been successfully applied to address real-world conservation issues is, however, difficult. Here, we compile a broad range of case studies from diverse marine taxa to show how tracking data have helped inform conservation policy and management, including reductions in fisheries bycatch and vessel strikes, and the design and administration of marine protected areas and important habitats. Using these examples, we highlight pathways through which the past and future investment in collecting animal tracking data might be better used to achieve tangible conservation benefits.</t>
  </si>
  <si>
    <t>[Hays, Graeme C.] Deakin Univ, Geelong, Vic, Australia; [Bailey, Helen] Univ Maryland, Chesapeake Biol Lab, Ctr Environm Sci, Solomons, MD 20688 USA; [Bograd, Steven J.; Hazen, Elliott L.] NOAA, Southwest Fisheries Sci Ctr, Environm Res Div, Monterey, CA 93940 USA; [Bowen, W. Don] Bedford Inst Oceanog, Populat Ecol Div, Dartmouth, NS B2Y 4A2, Canada; [Campagna, Claudio] Wildlife Conservat Soc, Marine Program, RA-1414 Buenos Aires, DF, Argentina; [Carmichael, Ruth H.] Univ Programs, Dauphin Isl Sea Lab, Dauphin Isl, AL 36528 USA; [Carmichael, Ruth H.] Univ S Alabama, Dept Marine Sci, Mobile, AL 36688 USA; [Casale, Paolo] Univ Pisa, Dept Biol, Pisa, Italy; [Chiaradia, Andre] Conservat Dept, Phillip Isl Nat Pk, Cowes, Vic, Australia; [Costa, Daniel P.; Friedlaender, Ari; Villegas-Amtmann, Stella] Univ Calif Santa Cruz, Dept Ecol &amp; Evolutionary Biol, Santa Cruz, CA 95060 USA; [Cuevas, Eduardo] Univ Autonoma Carmen, Fac Nat Sci, CONACYT Res Ctr Environm Sci, Campeche 24180, Mexico; [Cuevas, Eduardo] Pronat Peninsula Yucatan, Yucatan 97205, Mexico; [de Bruyn, P. J. Nico] Univ Pretoria, Mammal Res Inst, Dept Zool &amp; Entomol, ZA-0028 Hatfield, South Africa; [Dias, Maria P.] BirdLife Int, Cambridge CB2 3QZ, England; [Dias, Maria P.] ISPA Inst Univ, MARE Marine &amp; Environm Sci Ctr, P-1149041 Lisbon, Portugal; [Duarte, Carlos M.] KAUST, RSRC, Thuwal 239556900, Saudi Arabia; [Dunn, Daniel C.; Halpin, Patrick N.; Kot, Connie Y.] Duke Univ, Nicholas Sch Environm, Marine Geospatial Ecol Lab, Durham, NC 27708 USA; [Dutton, Peter H.] Natl Marine Fisheries Serv, Marine Mammal &amp; Turtle Div, Natl Ocean &amp; Atmospher Adm, La Jolla, CA 92037 USA; [Esteban, Nicole] Swansea Univ, Dept Biosci, Swansea SA2 8PP, W Glam, Wales; [Friedlaender, Ari] Univ Calif Santa Cruz, Inst Marine Sci, Santa Cruz, CA 95064 USA; [Goetz, Kimberly T.] Natl Inst Water &amp; Atmospher Res Ltd NIWA, Wellington, New Zealand; [Godley, Brendan J.] Univ Exeter, Sch Biosci, Ctr Ecol &amp; Conservat, Marine Turtle Res Grp, Cornwall Campus, Penryn TR10 9EZ, England; [Hamann, Mark; Marsh, Helene; Simpfendorfer, Colin A.] James Cook Univ, Coll Sci &amp; Engn, Townsville, Qld 4811, Australia; [Hammerschlag, Neil] Univ Miami, Abess Ctr Ecosyst Sci &amp; Policy, Rosenstiel Sch Marine &amp; Atmospher Sci, Miami, FL 33149 USA; [Harcourt, Robert; McMahon, Clive R.] Macquarie Univ, Dept Biol Sci, Sydney, NSW 2109, Australia; [Harrison, Autumn-Lynn] Smithsonian Conservat Biol Inst, Migratory Bird Ctr, Washington, DC 20008 USA; [Heupel, Michelle R.] Australian Inst Marine Sci, Townsville, Qld 4810, Australia; [Hoyt, Erich] Whale &amp; Dolphin Conservat, Bridport, Dorset, England; [Humphries, Nicolas E.; Sims, David W.] Marine Biol Assoc UK, Plymouth PL1 2PB, Devon, England; [Lea, James S. E.] Univ Cambridge, Dept Zool, Cambridge, England; [Maxwell, Sara M.] Univ Washington, Sch Interdisciplinary Arts &amp; Sci, Bothell Campus, Bothell, WA 98011 USA; [McMahon, Clive R.] Univ Tasmania, Ecol &amp; Biodivers Ctr, Inst Marine &amp; Antarctic Studies, Hobart, Tas 7004, Australia; [McMahon, Clive R.] Sydney Inst Marine Sci, Mosman, NSW 2088, Australia; [di Sciara, Giuseppe Notarbartolo] Tethys Res Inst, I-20121 Milan, Italy; [Hoyt, Erich; di Sciara, Giuseppe Notarbartolo; Tetley, Michael J.; Trathan, Philip N.] IUCN Joint SSC WCPA Marine Mammal Protected Areas, Gland, Switzerland; [Palacios, Daniel M.] Oregon State Univ, Marine Mammal Inst, Newport, OR 97365 USA; [Palacios, Daniel M.] Oregon State Univ, Dept Fisheries &amp; Wildlife, Newport, OR 97365 USA; [Phillips, Richard A.] NERC, British Antarctic Survey, Cambridge CB3 0ET, England; [Righton, David] Cefas Lab, Lowestoft NR33 0HT, Suffolk, England; [Righton, David] Univ East Anglia, Sch Environm Sci, Norwich NR4 7TJ, Norfolk, England; [Schofield, Gail] Queen Mary Univ London, Sch Biol &amp; Chem Sci, London E1 4NS, England; [Seminoff, Jeffrey A.] NOAA, Marine Turtle Ecol &amp; Assessment Program, Southwest Fisheries Sci Ctr, La Jolla, CA 92037 USA; [Sims, David W.] Univ Southampton, Natl Oceanog Ctr Southampton, Ocean &amp; Earth Sci, Waterfront Campus, Southampton SO14 3ZH, Hants, England; [Sims, David W.] Univ Southampton, Ctr Biol Sci, Bldg 85,Highfield Campus, Southampton SO17 1BJ, Hants, England; [Takahashi, Akinori] Natl Inst Polar Res, Tachikawa, Tokyo 1908518, Japan; [Thums, Michele] Univ Western Australia, Indian Ocean Marine Res Ctr M096, Australian Inst Marine Sci, Crawley, WA 6009, Australia; [Wells, Randall S.] Chicago Zool Soc, Sarasota Dolphin Res Program, Mote Marine Lab, Sarasota, FL 34236 USA; [Whiting, Scott D.] Dept Biodivers Conservat &amp; Attract, Marine Sci Program, Kensington, WA 6151, Australia; [Wildermann, Natalie E.] Florida State Univ, Dept Earth Ocean &amp; Atmospher Sci, Ecol &amp; Conservat Grp, Marine Turtle Res, Tallahassee, FL 32306 USA; [Msequeira, Ana M. M.] Univ Western Australia, IOMRC, Crawley, WA 6009, Australia; [Msequeira, Ana M. M.] Univ Western Australia, Univ Western Australia Oceans Inst, Sch Biol Sci, Crawley, WA 6009, Australia</t>
  </si>
  <si>
    <t>Deakin University; University System of Maryland; University of Maryland Center for Environmental Science; National Oceanic Atmospheric Admin (NOAA) - USA; Fisheries &amp; Oceans Canada; Bedford Institute of Oceanography; Dauphin Island Sea Lab; University of South Alabama; University of Pisa; University of California System; University of California Santa Cruz; Universidad Autonoma del Carmen; University of Pretoria; BirdLife International; Instituto Superior Psicologia Aplicada (ISPA); King Abdullah University of Science &amp; Technology; Duke University; National Oceanic Atmospheric Admin (NOAA) - USA; Swansea University; University of California System; University of California Santa Cruz; National Institute of Water &amp; Atmospheric Research (NIWA) - New Zealand; University of Exeter; James Cook University; University of Miami; Macquarie University; Smithsonian Institution; Smithsonian National Zoological Park &amp; Conservation Biology Institute; Australian Institute of Marine Science; Marine Biological Association United Kingdom; University of Cambridge; University of Washington; University of Washington Bothell; University of Tasmania; Sydney Institute of Marine Science; Oregon State University; Oregon State University; UK Research &amp; Innovation (UKRI); Natural Environment Research Council (NERC); NERC British Antarctic Survey; Centre for Environment Fisheries &amp; Aquaculture Science; University of East Anglia; University of London; Queen Mary University London; National Oceanic Atmospheric Admin (NOAA) - USA; NERC National Oceanography Centre; University of Southampton; University of Southampton; Research Organization of Information &amp; Systems (ROIS); National Institute of Polar Research (NIPR) - Japan; University of Western Australia; Australian Institute of Marine Science; Mote Marine Laboratory &amp; Aquarium; State University System of Florida; Florida State University; University of Western Australia; University of Western Australia</t>
  </si>
  <si>
    <t>Hays, GC (corresponding author), Deakin Univ, Geelong, Vic, Australia.</t>
  </si>
  <si>
    <t>g.hays@deakin.edu.au</t>
  </si>
  <si>
    <t>McMahon, Clive R/D-5713-2013; Bograd, Steven/AAA-4824-2021; Wildermann, Natalie E/M-6754-2016; Cuevas, Eduardo/AAY-5051-2020; Bowen, William/AAE-7204-2022; Godley, Brendan J/A-6139-2009; Kot, Connie/AAZ-5974-2021; Duarte Quesada, Carlos Manuel/ABD-6208-2021; Dias, Maria P./D-1331-2012; Duarte, Carlos M/A-7670-2013; Chiaradia, Andre/AAG-4928-2022; Chiaradia, Andre/AFK-6634-2022; Righton, David/D-6140-2013; de Bruyn, P. J. Nico/E-4176-2010; Bailey, Helen/E-6813-2012; Hazen, Elliott/G-4149-2014; Humphries, Nick/AAE-7170-2019; Sequeira, Ana M M/AAE-9741-2021; Goetz, Kimberly/AID-8232-2022; Simpfendorfer, Colin A/G-9681-2011; di Sciara, Giuseppe Notarbartolo/P-8906-2019; Thums, Michele/A-3850-2013; Esteban, Nicole/F-1615-2018</t>
  </si>
  <si>
    <t>McMahon, Clive R/0000-0001-5241-8917; Cuevas, Eduardo/0000-0003-3814-7211; Bowen, William/0000-0001-8334-5677; Godley, Brendan J/0000-0003-3845-0034; Kot, Connie/0000-0002-4900-5289; Dias, Maria P./0000-0002-7281-4391; Duarte, Carlos M/0000-0002-1213-1361; Chiaradia, Andre/0000-0002-6178-4211; Chiaradia, Andre/0000-0002-6178-4211; de Bruyn, P. J. Nico/0000-0002-9114-9569; Hazen, Elliott/0000-0002-0412-7178; Humphries, Nick/0000-0003-3741-1594; Sequeira, Ana M M/0000-0001-6906-799X; Wildermann, Natalie/0000-0002-0317-6832; Thums, Michele/0000-0002-8669-8440; Dunn, Daniel/0000-0001-8932-0681; Harcourt, Robert/0000-0003-4666-2934; Harrison, Autumn-Lynn/0000-0002-6213-1765; Notarbartolo di Sciara, Giuseppe/0000-0003-0353-617X; Esteban, Nicole/0000-0003-4693-7221; Dutton, Peter H/0000-0002-6628-8962; Hoyt, Erich/0000-0001-6946-4055; Takahashi, Akinori/0000-0002-9868-0408; Whiting, Scott/0000-0003-3339-9559; Righton, David/0000-0001-8643-3672; Hamann, Mark/0000-0003-4588-7955</t>
  </si>
  <si>
    <t>Bertarelli Foundation as part of the Bertarelli Programme in Marine Science; ARC [DE170100841]; AIMS; NERC [bas0100035] Funding Source: UKRI; Australian Research Council [DE170100841] Funding Source: Australian Research Council</t>
  </si>
  <si>
    <t>Bertarelli Foundation as part of the Bertarelli Programme in Marine Science; ARC(Australian Research Council); AIMS; NERC(UK Research &amp; Innovation (UKRI)Natural Environment Research Council (NERC)); Australian Research Council(Australian Research Council)</t>
  </si>
  <si>
    <t>G.C.H. and N.E. were supported by the Bertarelli Foundation as part of the Bertarelli Programme in Marine Science. A.M.M.S. was supported by an ARC Grant DE170100841 and by AIMS. R.H.C. thanks Elizabeth Hieb and Kayla DaCosta for assistance with compilation of tag data and applications.</t>
  </si>
  <si>
    <t>ELSEVIER SCIENCE LONDON</t>
  </si>
  <si>
    <t>84 THEOBALDS RD, LONDON WC1X 8RR, ENGLAND</t>
  </si>
  <si>
    <t>0169-5347</t>
  </si>
  <si>
    <t>1872-8383</t>
  </si>
  <si>
    <t>TRENDS ECOL EVOL</t>
  </si>
  <si>
    <t>Trends Ecol. Evol.</t>
  </si>
  <si>
    <t>10.1016/j.tree.2019.01.009</t>
  </si>
  <si>
    <t>Ecology; Evolutionary Biology; Genetics &amp; Heredity</t>
  </si>
  <si>
    <t>Environmental Sciences &amp; Ecology; Evolutionary Biology; Genetics &amp; Heredity</t>
  </si>
  <si>
    <t>HT9ZN</t>
  </si>
  <si>
    <t>Green Submitted, Green Published</t>
  </si>
  <si>
    <t>WOS:000464931300011</t>
  </si>
  <si>
    <t>Ljungqvist, FC; Zhang, Q; Brattström, G; Krusic, PJ; Seim, A; Li, Q; Zhang, Q; Moberg, A</t>
  </si>
  <si>
    <t>Ljungqvist, Fredrik Charpentier; Zhang, Qiong; Brattstrom, Gudrun; Krusic, Paul J.; Seim, Andrea; Li, Qiang; Zhang, Qiang; Moberg, Anders</t>
  </si>
  <si>
    <t>Centennial-Scale Temperature Change in Last Millennium Simulations and Proxy-Based Reconstructions</t>
  </si>
  <si>
    <t>JOURNAL OF CLIMATE</t>
  </si>
  <si>
    <t>Paleoclimate; Surface temperature; Ranking methods; Climate models; Model comparison</t>
  </si>
  <si>
    <t>SEA-SURFACE TEMPERATURE; MEDIEVAL WARM PERIOD; ANTARCTIC CLIMATE VARIABILITY; TREE-RING CHRONOLOGIES; EARTH SYSTEM MODEL; LATE-HOLOCENE; ICE-AGE; SUMMER TEMPERATURES; NORTH-AMERICA; HYDROCLIMATE VARIABILITY</t>
  </si>
  <si>
    <t>Systematic comparisons of proxy-based reconstructions and climate model simulations of past millennium temperature variability offer insights into climate sensitivity and feedback mechanisms, besides allowing model evaluation independently from the period covered by instrumental data. Such simulation-reconstruction comparisons can help to distinguish more skillful models from less skillful ones, which may subsequently help to develop more reliable future projections. This study evaluates the low-frequency simulation-reconstruction agreement within the past millennium through assessing the amplitude of temperature change between the Medieval Climate Anomaly (here, 950-1250 CE) and the Little Ice Age (here, 1450-1850 CE) in PMIP3 model simulations compared to proxy-based local and continental-scale reconstructions. The simulations consistently show a smaller temperature change than the reconstructions for most regions in the Northern Hemisphere, but not in the Southern Hemisphere, as well as a partly different spatial pattern. A cost function analysis assesses how well the various simulations agree with reconstructions. Disregarding spatial correlation, significant differences are seen in the agreement with the local temperature reconstructions between groups of models, but insignificant differences are noted when compared to continental-scale reconstructions. This result points toward a limited possibility to rank models by means of their low-frequency temperature variability alone. The systematically lower amplitude of simulated versus reconstructed temperature change indicates either too-small simulated internal variability or that the analyzed models lack some critical forcing or have missing or too-weak feedback mechanisms. We hypothesize that too-cold initial ocean conditions in the models-in combination with too-weak internal variability and slow feedbacks over longer time scales-could account for much of the simulation-reconstruction disagreement.</t>
  </si>
  <si>
    <t>[Ljungqvist, Fredrik Charpentier] Stockholm Univ, Dept Hist, Stockholm, Sweden; [Ljungqvist, Fredrik Charpentier; Zhang, Qiong; Brattstrom, Gudrun; Li, Qiang; Zhang, Qiang; Moberg, Anders] Stockholm Univ, Bolin Ctr Climate Res, Stockholm, Sweden; [Ljungqvist, Fredrik Charpentier; Krusic, Paul J.] Univ Cambridge, Dept Geog, Cambridge, England; [Zhang, Qiong; Krusic, Paul J.; Li, Qiang; Zhang, Qiang; Moberg, Anders] Stockholm Univ, Dept Phys Geog, Stockholm, Sweden; [Brattstrom, Gudrun] Stockholm Univ, Dept Math, Stockholm, Sweden; [Seim, Andrea] Univ Freiburg, Inst Forest Sci, Chair Forest Growth &amp; Dendroecol, Freiburg, Germany</t>
  </si>
  <si>
    <t>Stockholm University; University of Cambridge; Stockholm University; Stockholm University; University of Freiburg</t>
  </si>
  <si>
    <t>Ljungqvist, FC (corresponding author), Stockholm Univ, Dept Hist, Stockholm, Sweden.;Ljungqvist, FC (corresponding author), Stockholm Univ, Bolin Ctr Climate Res, Stockholm, Sweden.;Ljungqvist, FC (corresponding author), Univ Cambridge, Dept Geog, Cambridge, England.</t>
  </si>
  <si>
    <t>fredrik.c.l@historia.su.se</t>
  </si>
  <si>
    <t>Ljungqvist, Fredrik Charpentier/I-5770-2012</t>
  </si>
  <si>
    <t>Ljungqvist, Fredrik Charpentier/0000-0003-0220-3947; Seim, Andrea/0000-0002-7201-8010; Moberg, Anders/0000-0002-5177-9347</t>
  </si>
  <si>
    <t>Swedish Research Council [2012-5924, 2014-06578]; Royal Swedish Academy of Letters, History and Antiquities; Bank of Sweden Tercentenary Foundation; German Research Foundation (DFG) [SE 2802/1-1]; Swedish Research Council [2014-06578] Funding Source: Swedish Research Council</t>
  </si>
  <si>
    <t>Swedish Research Council(Swedish Research Council); Royal Swedish Academy of Letters, History and Antiquities; Bank of Sweden Tercentenary Foundation(Swedish Foundation for Humanities &amp; Social Sciences); German Research Foundation (DFG)(German Research Foundation (DFG)); Swedish Research Council(Swedish Research Council)</t>
  </si>
  <si>
    <t>This study was partly funded by the Swedish Research Council (Grant 2012-5924, A statistical framework for comparing paleoclimate data and climate model simulations''). Q.Z. was also partly funded by the Swedish Research Council for the Swedish-French project Greenland in a warming Arctic'' (GIWA, Grant 2014-06578). F.C.L. was partly supported by the Royal Swedish Academy of Letters, History and Antiquities and the Bank of Sweden Tercentenary Foundation. A.S. was supported by the German Research Foundation (DFG, SE 2802/1-1). The EC-Earthmodel last millennium'' simulation was performed with resources provided by Cray XC30 HPC systems at the European Centre for Medium-Range Weather Forecasts (ECMWF), and model data analysis is performed on the Swedish National Infrastructure for Computing (SNIC) at the National Supercomputer Centre (NSC). Dr. Hanna S. Sundqvist made valuable contributions in the early stages of this project. We thank the three reviewers whose useful comments helped to improve this article.</t>
  </si>
  <si>
    <t>0894-8755</t>
  </si>
  <si>
    <t>1520-0442</t>
  </si>
  <si>
    <t>J CLIMATE</t>
  </si>
  <si>
    <t>J. Clim.</t>
  </si>
  <si>
    <t>10.1175/JCLI-D-18-0525.1</t>
  </si>
  <si>
    <t>HT3MK</t>
  </si>
  <si>
    <t>hybrid, Green Submitted</t>
  </si>
  <si>
    <t>WOS:000464467700001</t>
  </si>
  <si>
    <t>Quagraine, KA; Hewitson, B; Jack, C; Pinto, I; Lennard, C</t>
  </si>
  <si>
    <t>Quagraine, Kwesi A.; Hewitson, Bruce; Jack, Christopher; Pinto, Izidine; Lennard, Christopher</t>
  </si>
  <si>
    <t>A Methodological Approach to Assess the Co-Behavior of Climate Processes over Southern Africa</t>
  </si>
  <si>
    <t>Antarctic Oscillation; ENSO; Indices; Climate variability; Climatology; Principal components analysis</t>
  </si>
  <si>
    <t>SELF-ORGANIZING MAPS; PART I; SUMMER RAINFALL; CIRCULATION; VARIABILITY; ENSO; TELECONNECTION; PATTERNS; MODEL; PERFORMANCE</t>
  </si>
  <si>
    <t>The study develops an approach to assess co-behavior of climate processes. The regional response of precipitation and temperature patterns over southern Africa to the combined roles (co-behavior) of El Nino-Southern Oscillation (ENSO), Antarctic Oscillation (AAO), and intertropical convergence zone (ITCZ) is evaluated. Self-organizing maps (SOMs) classify circulation patterns over the subcontinent, and principal component analysis (PCA) is used to identify related patterns across the data. The tropical rain belt index (TRBI), a measure of the ITCZ, is generally in phase with the AAO but mostly out of phase with ENSO. The phases of AAO may enhance or suppress ENSO impact on the location and distribution of regional precipitation and temperature over the region. This understanding of the co-behavior of large-scale processes is important to assess the impact these processes collectively have on precipitation and temperature, especially under future climate forcings.</t>
  </si>
  <si>
    <t>[Quagraine, Kwesi A.; Hewitson, Bruce; Jack, Christopher; Pinto, Izidine; Lennard, Christopher] Univ Cape Town, Dept Environm &amp; Geog Sci, Climate Syst Anal Grp, Cape Town, South Africa</t>
  </si>
  <si>
    <t>University of Cape Town</t>
  </si>
  <si>
    <t>Quagraine, KA (corresponding author), Univ Cape Town, Dept Environm &amp; Geog Sci, Climate Syst Anal Grp, Cape Town, South Africa.</t>
  </si>
  <si>
    <t>kwesi@csag.uct.ac.za</t>
  </si>
  <si>
    <t>Pinto, Izidine/AAF-5999-2020; Quagraine, Kwesi A/GWZ-2782-2022; Lennard, Chris/C-2120-2014; Hewitson, Bruce/B-3295-2014; Jack, Christopher/B-7926-2014</t>
  </si>
  <si>
    <t>Pinto, Izidine/0000-0002-9919-4559; Quagraine, Kwesi A/0000-0002-7887-6040; Lennard, Chris/0000-0001-6085-0320; Hewitson, Bruce/0000-0001-7546-4430; Jack, Christopher/0000-0002-0936-7277</t>
  </si>
  <si>
    <t>U.K. Department for International Development and Natural Environment Research Council [NE/M020347/1]; University of Cape Town; Research Councils UK (RCUK); National Research Foundation (NRF) of South Africa; NERC [NE/M020347/1] Funding Source: UKRI</t>
  </si>
  <si>
    <t>U.K. Department for International Development and Natural Environment Research Council; University of Cape Town; Research Councils UK (RCUK)(UK Research &amp; Innovation (UKRI)); National Research Foundation (NRF) of South Africa(National Research Foundation - South Africa); NERC(UK Research &amp; Innovation (UKRI)Natural Environment Research Council (NERC))</t>
  </si>
  <si>
    <t>This work was conducted under the Future Resilience for African CiTies and Lands (FRACTAL) project (Grant NE/M020347/1), which is part of Future Climate for Africa (FCFA) program funded by the U.K. Department for International Development and Natural Environment Research Council. The authors are grateful to Grigory Nikulin at Rossby Centre, Swedish Meteorological aLnd Hydrological Institute, Sweden, for the provision and use of the Tropical Rainbelt index. The first author is grateful to the University of Cape Town for funding assistance. Additionally, the first author is thankful to African Climate and Development Initiative (ACDI) of University of Cape Town, Tyndall Centre for Climate Change and Climatic Research Unit (CRU) under the Newton PhD Partnering Scheme funded by Research Councils UK (RCUK) and the National Research Foundation (NRF) of South Africa.</t>
  </si>
  <si>
    <t>45 BEACON ST, BOSTON, MA 02108-3693, UNITED STATES</t>
  </si>
  <si>
    <t>10.1175/JCLI-D-18-0689.1</t>
  </si>
  <si>
    <t>HT7KI</t>
  </si>
  <si>
    <t>WOS:000464743200001</t>
  </si>
  <si>
    <t>Thabet, I; Bourgeois, K; Le Loc'h, F; Abdennadher, A; Munaron, JM; Gharsalli, M; Romdhane, MS; Lasram, FB</t>
  </si>
  <si>
    <t>Thabet, Intissar; Bourgeois, Karen; Le Loc'h, Francois; Abdennadher, Aida; Munaron, Jean-Marie; Gharsalli, Manel; Romdhane, Mohamed Salah; Lasram, Frida Ben Rais</t>
  </si>
  <si>
    <t>Trophic ecology of Scopoli's shearwaters during breeding in the Zembra Archipelago (northern Tunisia)</t>
  </si>
  <si>
    <t>MARINE BIOLOGY</t>
  </si>
  <si>
    <t>CALONECTRIS-DIOMEDEA-BOREALIS; ANTARCTIC FULMARINE PETRELS; STABLE-ISOTOPE DELTA-N-15; CORYS SHEARWATERS; FEEDING ECOLOGY; NUTRITIONAL RESTRICTION; FORAGING SEGREGATION; LARUS-MICHAHELLIS; PELAGIC SEABIRDS; CHICK GROWTH</t>
  </si>
  <si>
    <t>While breeding, seabirds are central-place foragers requiring resources to sustain high-energy requirements. Therefore, during this period, they are particularly sensitive to food-resource availability, which can vary within and between years. Intra- and inter-annual variations in Scopoli's shearwater (Calonectris diomedea) trophic ecology were investigated at its largest colony (Zembra Island, 37 degrees 07'33 '' N, 10 degrees 48'23 '' E, Mediterranean Sea). Carbon and nitrogen isotope values were analysed in the blood (adults and chicks) and feathers (adult wing) during pre-laying, incubation, and chick-rearing in 2015 and 2016 to assess variations in stable isotope composition, isotopic niches, trophic levels, and diet inferred from isotope mixing models. Scopoli's shearwaters showed variations in isotopes throughout the breeding season and among years, with incubation showing the highest delta C-13 and delta N-15 values, trophic levels, inter-annual isotopic niche consistency, and the most specific and narrowest isotopic niche. The difference in blood delta C-13 values between adults and chicks suggested trophic habitat segregation: adults feed inshore, while chicks are fed more oceanic prey. Stable-isotope mixing models based on three potential prey groups revealed that the diet could consist mainly of pelagic fish and crustaceans throughout the breeding season, whereas non-pelagic fish and cephalopods could be consumed more sporadically, mainly during incubation. Feather delta N-15 values suggested that the adult diets contained more zooplankton in 2014. These results demonstrated the Scopoli's shearwater trophic ecology plasticity in response to the variable nutritional demands of breeding phases and changes in prey availability. Scopoli's shearwaters may, thus, be valuable bio-indicators of small pelagic fish populations considered critically depleted in the Mediterranean.</t>
  </si>
  <si>
    <t>[Thabet, Intissar] Univ Tunis El Manar, Fac Sci Tunis, Tunis 2092, Tunisia; [Thabet, Intissar; Abdennadher, Aida; Gharsalli, Manel; Romdhane, Mohamed Salah] Univ Carthage, Ecosyst &amp; Ressources Aquat, Inst Natl Agron Tunisie, URO3AGRO1, Tunis 1082, Tunisia; [Bourgeois, Karen] A Ilos Assoc Study &amp; Conservat Insular Biodivers, Lancon Provence, France; [Le Loc'h, Francois; Munaron, Jean-Marie] IUEM, CNRS, IRD, Ifremer,UBO,UMR LEMAR,Inst Rech Dev, Plouzane, France; [Lasram, Frida Ben Rais] Univ Lille, Univ Littoral Cote dOpale, CNRS, UMR 8187,LOG, F-62930 Wimereux, France</t>
  </si>
  <si>
    <t>Universite de Tunis-El-Manar; Faculte des Sciences de Tunis (FST); Universite de Carthage; Universite de Bretagne Occidentale; Institut Universitaire Europeen de la Mer (IUEM); Centre National de la Recherche Scientifique (CNRS); Ifremer; Institut de Recherche pour le Developpement (IRD); Universite du Littoral-Cote-d'Opale; Centre National de la Recherche Scientifique (CNRS); CNRS - National Institute for Earth Sciences &amp; Astronomy (INSU); Universite de Lille</t>
  </si>
  <si>
    <t>Thabet, I (corresponding author), Univ Tunis El Manar, Fac Sci Tunis, Tunis 2092, Tunisia.;Thabet, I (corresponding author), Univ Carthage, Ecosyst &amp; Ressources Aquat, Inst Natl Agron Tunisie, URO3AGRO1, Tunis 1082, Tunisia.</t>
  </si>
  <si>
    <t>th.intissar@gmail.com</t>
  </si>
  <si>
    <t>Romdhane, Mohamed Salah/GTB-5864-2022; Le Loc'h, François/A-5038-2008</t>
  </si>
  <si>
    <t>Romdhane, Mohamed Salah/0000-0002-3343-7554; Le Loc'h, François/0000-0002-3372-6997; Thabet, Intissar/0000-0002-5101-8556; Bourgeois, Karen/0000-0003-1195-1015; Ben Rais Lasram, Frida/0000-0003-3327-908X</t>
  </si>
  <si>
    <t>Fondation Total pour la Biodiversite through the TRIBAL project (TRophic ecology and Impacts of Bycatch on the Avifauna communities of Zembra archipelago)</t>
  </si>
  <si>
    <t>The authors would like to acknowledge the financial support from the Fondation Total pour la Biodiversite through the TRIBAL project (TRophic ecology and Impacts of Bycatch on the Avifauna communities of Zembra archipelago). The authors also thank the staff of the Agence de Protection et d'Amenagement du Littoral (APAL) for providing authorisations for access to and sampling in the Zembra Archipelago marine protected area and for their help with logistical aspects, particularly Anis Zarrouk, Mahdi Bezi, and Hassan Zaghdoudi. Special thanks go to Habib Khiari, the fisherman who provided logistical assistance, to Ridha Ouni, and to Adel Ben Dhafer, the forest guardian of Zembra. We are grateful to Michelle Corson for improving the English and two anonymous reviewers for their constructive comments on the manuscript.</t>
  </si>
  <si>
    <t>SPRINGER HEIDELBERG</t>
  </si>
  <si>
    <t>HEIDELBERG</t>
  </si>
  <si>
    <t>TIERGARTENSTRASSE 17, D-69121 HEIDELBERG, GERMANY</t>
  </si>
  <si>
    <t>0025-3162</t>
  </si>
  <si>
    <t>1432-1793</t>
  </si>
  <si>
    <t>MAR BIOL</t>
  </si>
  <si>
    <t>Mar. Biol.</t>
  </si>
  <si>
    <t>10.1007/s00227-019-3509-1</t>
  </si>
  <si>
    <t>Marine &amp; Freshwater Biology</t>
  </si>
  <si>
    <t>HT8VW</t>
  </si>
  <si>
    <t>WOS:000464843800001</t>
  </si>
  <si>
    <t>Cava, D; Mortarini, L; Anfossi, D; Giostra, U</t>
  </si>
  <si>
    <t>Cava, Daniela; Mortarini, Luca; Anfossi, Domenico; Giostra, Umberto</t>
  </si>
  <si>
    <t>Interaction of Submeso Motions in the Antarctic Stable Boundary Layer</t>
  </si>
  <si>
    <t>BOUNDARY-LAYER METEOROLOGY</t>
  </si>
  <si>
    <t>Gravity waves; Horizontal meandering; Intermittent turbulence; Stable boundary layer; Wind-direction variability</t>
  </si>
  <si>
    <t>GRAVITY-WAVES; WIND; VARIABILITY</t>
  </si>
  <si>
    <t>Submeso motions add complexities to the structure of the stable boundary layer. Such motions include horizontal meandering and gravity waves, in particular when the large-scale flow is weak. The coexistence and interaction of such submeso motions is investigated through the analysis of data collected in Antarctica, in persistent conditions of strong atmospheric stratification. Detected horizontal meandering is frequently associated with temperature oscillations characterized by similar time scales (30min) at all levels (2, 4.5 and 10m). In contrast, dirty gravity waves superimposed on horizontal meandering are detected only at the highest level, characterized by time scales of a few minutes. The meandering produces an energy peak in the low-frequency spectral range, well fitted by a spectral model previously proposed for low wind speeds. The coexistence of horizontal and vertical oscillations is observed in the presence of large wind-direction shifts superimposed on the gradual flow meandering. Such shifts are often related to the variation of the mean flow dynamics, but also to intermittent events, localized in time, which do not produce a variation in the mean wind direction and that are associated with sharp decreases in wind speed and temperature. The noisy gravity waves coexisting with horizontal meandering persist only for a few cycles and produce bursts of turbulent mixing close to the ground, affecting the exchange processes between the surface and the stable boundary layer. The results confirm the importance of sharp wind-direction changes at low wind speed in the stable atmosphere and suggest a possible correlation between observed gravity waves and dynamical instabilities modulated by horizontal meandering.</t>
  </si>
  <si>
    <t>[Cava, Daniela] CNR, Inst Atmospher Sci &amp; Climate, Lecce, Italy; [Mortarini, Luca] Univ Fed Santa Maria, Santa Maria, RS, Brazil; [Giostra, Umberto] Univ Urbino Carlo Bo, Dept Pure &amp; Appl Sci DiSPeA, Sci Campus E Mattei, I-61029 Urbino, Italy; [Mortarini, Luca; Anfossi, Domenico] CNR, Inst Atmospher Sci &amp; Climate, Turin, Italy</t>
  </si>
  <si>
    <t>Consiglio Nazionale delle Ricerche (CNR); Istituto di Scienze dell'Atmosfera e del Clima (ISAC-CNR); Universidade Federal de Santa Maria (UFSM); University of Urbino; Consiglio Nazionale delle Ricerche (CNR); Istituto di Scienze dell'Atmosfera e del Clima (ISAC-CNR)</t>
  </si>
  <si>
    <t>Cava, D (corresponding author), CNR, Inst Atmospher Sci &amp; Climate, Lecce, Italy.</t>
  </si>
  <si>
    <t>d.cava@isac.cnr.it</t>
  </si>
  <si>
    <t>GIOSTRA, Umberto/JQV-7857-2023; Mortarini, Luca/C-6556-2015; Cava, Daniela/H-7576-2018</t>
  </si>
  <si>
    <t>GIOSTRA, Umberto/0000-0001-8399-8715; Mortarini, Luca/0000-0002-0543-2975; Cava, Daniela/0000-0003-0676-3749</t>
  </si>
  <si>
    <t>PNRA (Progetto Nazionale di Ricerche in Antartide)</t>
  </si>
  <si>
    <t>This work was supported by PNRA (Progetto Nazionale di Ricerche in Antartide). We would like to acknowledge the collaboration with the Marche Region, and in particular the Environmental assessments and authorizations, air quality and natural protection section. We thank Dr. Karl Lapo and the three anonymous reviewers for their constructive comments that contributed to improve the quality of this manuscript.</t>
  </si>
  <si>
    <t>SPRINGER</t>
  </si>
  <si>
    <t>DORDRECHT</t>
  </si>
  <si>
    <t>VAN GODEWIJCKSTRAAT 30, 3311 GZ DORDRECHT, NETHERLANDS</t>
  </si>
  <si>
    <t>0006-8314</t>
  </si>
  <si>
    <t>1573-1472</t>
  </si>
  <si>
    <t>BOUND-LAY METEOROL</t>
  </si>
  <si>
    <t>Bound.-Layer Meteor.</t>
  </si>
  <si>
    <t>10.1007/s10546-019-00426-7</t>
  </si>
  <si>
    <t>HS2BF</t>
  </si>
  <si>
    <t>WOS:000463665400001</t>
  </si>
  <si>
    <t>Oldham, T; Nowak, B; Hvas, M; Oppedal, F</t>
  </si>
  <si>
    <t>Oldham, Tina; Nowak, Barbara; Hvas, Malthe; Oppedal, Frode</t>
  </si>
  <si>
    <t>Metabolic and functional impacts of hypoxia vary with size in Atlantic salmon</t>
  </si>
  <si>
    <t>COMPARATIVE BIOCHEMISTRY AND PHYSIOLOGY A-MOLECULAR &amp; INTEGRATIVE PHYSIOLOGY</t>
  </si>
  <si>
    <t>Article; Proceedings Paper</t>
  </si>
  <si>
    <t>3rd Aquaculture Conference</t>
  </si>
  <si>
    <t>SEP 25-28, 2018</t>
  </si>
  <si>
    <t>Qingdao, PEOPLES R CHINA</t>
  </si>
  <si>
    <t>Salmo salar; Aquaculture; Stress; Critical swimming speed; Oxygen; Swim tunnel respirometry; Metabolic scaling; Cortisol; Lactate</t>
  </si>
  <si>
    <t>CRITICAL SWIMMING SPEED; DISSOLVED-OXYGEN; SALAR L.; WATER TEMPERATURE; JUVENILE SALMON; AEROBIC SCOPE; SEA-CAGES; BODY-MASS; PERFORMANCE; BEHAVIOR</t>
  </si>
  <si>
    <t>The most capricious environmental variable in aquatic habitats, dissolved O-2, is fundamental to the fitness and survival of fish. Using swim tunnel respirometry we test how acute exposure to reduced O-2 levels, similar to those commonly encountered by fish in crowded streams and on commercial aquaculture farms, affect metabolic rate and swimming performance in Atlantic salmon of three size classes: 0.2, 1.0 and 3.5 kg. Exposure to 45-55% dissolved O-2 saturation substantially reduced the aerobic capacity and swimming performance of salmon of all sizes. While hypoxia did not affect standard metabolic rate, it caused a significant decrease in maximum metabolic rate, resulting in reduced absolute and factorial aerobic scope. The most pronounced changes were observed in the smallest fish, where critical swimming speed was reduced from 91 to 70 cm s(-1) and absolute aerobic scope dropped by 62% relative to the same measurement in normoxia. In normoxia, absolute critical swimming speed (U-crit) increased with size, while relative U-crit, measured in body lengths s(-1), was highest in the small fish (3.5) and decreased with larger size (medium = 2.2). Mass specific metabolic rate and cost of transport were inversely related to size, with calculated metabolic scaling exponents of 0.65 for b(SMR) and 0.78 for b(MMR). Metabolic O-2 demand increased exponentially with current speed irrespective of fish size (R-2 = 0.97-0.99). This work demonstrates that moderate hypoxia reduces the capacity for activity and locomotion in Atlantic salmon, with smaller salmon most vulnerable to hypoxic conditions. As warm and hypoxic conditions become more prevalent in aquatic environments worldwide, understanding local O-2 budgets is critical to maximizing the welfare and survival of farmed and wild salmon.</t>
  </si>
  <si>
    <t>[Oldham, Tina; Hvas, Malthe; Oppedal, Frode] Inst Marine Res, Matredal, Norway; [Oldham, Tina; Nowak, Barbara] Univ Tasmania, Aquat Anim Hlth Grp, Inst Marine &amp; Antarctic Studies, Hobart, Tas, Australia</t>
  </si>
  <si>
    <t>Institute of Marine Research - Norway; University of Tasmania</t>
  </si>
  <si>
    <t>Oldham, T (corresponding author), Inst Marine Res, Matredal, Norway.</t>
  </si>
  <si>
    <t>tina.oldham@hi.no</t>
  </si>
  <si>
    <t>Hvas, Malthe/AAH-7657-2019; Nowak, Barbara/J-7261-2014; Oldham, Tina Marie Weier/E-4779-2015</t>
  </si>
  <si>
    <t>Hvas, Malthe/0000-0002-2967-5525; Nowak, Barbara/0000-0002-0347-643X; Oppedal, Frode/0000-0001-8625-0331; Oldham, Tina Marie Weier/0000-0002-8994-0052</t>
  </si>
  <si>
    <t>Norwegian Research Council through the Centre for Research based Innovation in aquaculture technology, EXPOSED [237790]; Australian Government Research Training Scholarship</t>
  </si>
  <si>
    <t>Norwegian Research Council through the Centre for Research based Innovation in aquaculture technology, EXPOSED; Australian Government Research Training Scholarship(Australian Government)</t>
  </si>
  <si>
    <t>We thank the technical staff at Matre for rearing and taking excellent care of the fish. Tone Vhseth and Karen Anita Kvestad assisted with blood sampling and analysis. Funding was provided by the Norwegian Research Council through the Centre for Research based Innovation in aquaculture technology, EXPOSED (237790) to Frode Oppedal and an Australian Government Research Training Scholarship to Tina Oldham.</t>
  </si>
  <si>
    <t>ELSEVIER SCIENCE INC</t>
  </si>
  <si>
    <t>NEW YORK</t>
  </si>
  <si>
    <t>STE 800, 230 PARK AVE, NEW YORK, NY 10169 USA</t>
  </si>
  <si>
    <t>1095-6433</t>
  </si>
  <si>
    <t>1531-4332</t>
  </si>
  <si>
    <t>COMP BIOCHEM PHYS A</t>
  </si>
  <si>
    <t>Comp. Biochem. Physiol. A-Mol. Integr. Physiol.</t>
  </si>
  <si>
    <t>10.1016/j.cbpa.2019.01.012</t>
  </si>
  <si>
    <t>Biochemistry &amp; Molecular Biology; Physiology; Zoology</t>
  </si>
  <si>
    <t>Science Citation Index Expanded (SCI-EXPANDED); Conference Proceedings Citation Index - Science (CPCI-S)</t>
  </si>
  <si>
    <t>HR7DO</t>
  </si>
  <si>
    <t>WOS:000463312300004</t>
  </si>
  <si>
    <t>White-Gaynor, AL; Nyblade, AA; Aster, RC; Wiens, DA; Bromirski, PD; Gerstoft, P; Stephen, RA; Hansen, SE; Wilson, T; Dalziel, IW; Huerta, AD; Winberry, JP; Anandakrishnan, S</t>
  </si>
  <si>
    <t>White-Gaynor, Austin L.; Nyblade, Andrew A.; Aster, Richard C.; Wiens, Douglas A.; Bromirski, Peter D.; Gerstoft, Peter; Stephen, Ralph A.; Hansen, Samantha E.; Wilson, Terry; Dalziel, Ian W.; Huerta, Audrey D.; Winberry, J. Paul; Anandakrishnan, Sridhar</t>
  </si>
  <si>
    <t>Heterogeneous upper mantle structure beneath the Ross Sea Embayment and Marie Byrd Land, West Antarctica, revealed by P-wave tomography</t>
  </si>
  <si>
    <t>EARTH AND PLANETARY SCIENCE LETTERS</t>
  </si>
  <si>
    <t>Antarctica; Ross Sea Embayment; West Antarctic Rift System; mantle structure; seismic tomography; Marie Byrd Land</t>
  </si>
  <si>
    <t>TRANSANTARCTIC MOUNTAINS; SEISMIC EVIDENCE; GEOTHERMAL FLUX; RAYLEIGH-WAVE; VICTORIA LAND; RIFT SYSTEM; ANOMALIES; VELOCITY; PHASE; CRUSTAL</t>
  </si>
  <si>
    <t>We present an upper mantle P-wave velocity model for the Ross Sea Embayment (RSE) region of West Antarctica, constructed by inverting relative P-wave travel-times from 1881 teleseismic earthquakes recorded by two temporary broadband seismograph deployments on the Ross Ice Shelf, as well as by regional ice- and rock-sited seismic stations surrounding the RSE. Faster upper mantle P-wave velocities (similar to +1%) characterize the eastern part of the RSE, indicating that the lithosphere in this part of the RSE may not have been reheated by mid-to-late Cenozoic rifting that affected other parts of the Late Cretaceous West Antarctic Rift System. Slower upper mantle velocities (similar to -1%) characterize the western part of the RSE over a similar to 500 km-wide region, extending from the central RSE to the Transantarctic Mountains (TAM). Within this region, the model shows two areas of even slower velocities (similar to -1.5%) centered beneath Mt. Erebus and Mt. Melbourne along the TAM front. We attribute the broader region of slow velocities mainly to reheating of the lithospheric mantle by Paleogene rifting, while the slower velocities beneath the areas of recent volcanism may reflect a Neogene-present phase of rifting and/or plume activity associated with the formation of the Terror Rift. Beneath the Ford Ranges and King Edward VII Peninsula in western Marie Byrd Land, the P-wave model shows lateral variability in upper mantle velocities of +/- 0.5% over distances of a few hundred km. The heterogeneity in upper mantle velocities imaged beneath the RSE and western Marie Byrd Land, assuming no significant variation in mantle composition, indicates variations in upper mantle temperatures of at least 100 degrees C. These temperature variations could lead to differences in surface heat flow of similar to +/- 10 mW/m(2) and mantle viscosity of 10(2) Pa s regionally across the study area, possibly influencing the stability of the West Antarctic Ice Sheet by affecting basal ice conditions and glacial isostatic adjustment. (C) 2019 Elsevier B.V. All rights reserved.</t>
  </si>
  <si>
    <t>[White-Gaynor, Austin L.; Nyblade, Andrew A.; Anandakrishnan, Sridhar] Penn State Univ, Dept Geosci, University Pk, PA 16802 USA; [Aster, Richard C.] Colorado State Univ, Warner Coll Nat Resources, Dept Geosci, Ft Collins, CO 80523 USA; [Wiens, Douglas A.] Washington Univ, Dept Earth &amp; Planetary Sci, St Louis, MO 63130 USA; [Bromirski, Peter D.; Gerstoft, Peter] Univ Calif, Scripps Inst Oceanog, La Jolla, CA USA; [Stephen, Ralph A.] Woods Hole Oceanog Inst, Woods Hole, MA 02543 USA; [Hansen, Samantha E.] Univ Alabama, Dept Geol Sci, Tuscaloosa, AL 35487 USA; [Wilson, Terry] Ohio State Univ, Sch Earth Sci, Columbus, OH 43210 USA; [Dalziel, Ian W.] Univ Texas Austin, Jackson Sch Geosci, Austin, TX 78712 USA; [Huerta, Audrey D.; Winberry, J. Paul] Cent Washington Univ, Dept Geol Sci, Ellensburg, WA USA</t>
  </si>
  <si>
    <t>Pennsylvania Commonwealth System of Higher Education (PCSHE); Pennsylvania State University; Pennsylvania State University - University Park; Colorado State University; Washington University (WUSTL); University of California System; University of California San Diego; Scripps Institution of Oceanography; Woods Hole Oceanographic Institution; University of Alabama System; University of Alabama Tuscaloosa; University System of Ohio; Ohio State University; University of Texas System; University of Texas Austin; Central Washington University</t>
  </si>
  <si>
    <t>White-Gaynor, AL (corresponding author), Penn State Univ, Dept Geosci, University Pk, PA 16802 USA.</t>
  </si>
  <si>
    <t>alw361@psu.edu</t>
  </si>
  <si>
    <t>Dalziel, Ian W. D./G-5926-2010; Winberry, Paul/HLQ-2673-2023; Gerstoft, Peter/B-2842-2009; Anandakrishnan, Sridhar/JCN-5026-2023; Huerta, Audrey D/A-8680-2009; Wiens, Douglas/J-9259-2016</t>
  </si>
  <si>
    <t>Winberry, Paul/0000-0003-1205-0745; Gerstoft, Peter/0000-0002-0471-062X; Huerta, Audrey/0000-0002-0252-8496; Wiens, Douglas/0000-0002-5169-4386</t>
  </si>
  <si>
    <t>National Science Foundation (NSF) [1142126, 1142518, 1141916, 1148982, 1246416, 1246151, 1249631, 1249602, 1249513, 1246666, 1246712, 1246776, 1247518]</t>
  </si>
  <si>
    <t>National Science Foundation (NSF)(National Science Foundation (NSF))</t>
  </si>
  <si>
    <t>This work was supported by the National Science Foundation (NSF) (grants 1142126, 1142518, 1141916, 1148982, 1246416, 1246151, 1249631, 1249602, 1249513, 1246666, 1246712, 1246776, 1247518). The seismic deployments in this study benefited greatly from the technical support of the Incorporated Research Institutions for Seismology (IRIS) through the Portable Array Seismic Studies of the Continental Lithosphere (PASSCAL) Instrument Center at New Mexico Tech. Seismic data are freely available through the IRIS Data Management Center. We thank Patrick Shore for providing invaluable support in collecting and archiving data from all of the projects, as well as Anya Reading and two anonymous reviewers for constructive reviews. Many of the figures were made using the freely available Generic Mapping Tools software (Wessel et al., 2013).</t>
  </si>
  <si>
    <t>ELSEVIER</t>
  </si>
  <si>
    <t>AMSTERDAM</t>
  </si>
  <si>
    <t>RADARWEG 29, 1043 NX AMSTERDAM, NETHERLANDS</t>
  </si>
  <si>
    <t>0012-821X</t>
  </si>
  <si>
    <t>1385-013X</t>
  </si>
  <si>
    <t>EARTH PLANET SC LETT</t>
  </si>
  <si>
    <t>Earth Planet. Sci. Lett.</t>
  </si>
  <si>
    <t>MAY 1</t>
  </si>
  <si>
    <t>10.1016/j.epsl.2019.02.013</t>
  </si>
  <si>
    <t>Geochemistry &amp; Geophysics</t>
  </si>
  <si>
    <t>HR7BV</t>
  </si>
  <si>
    <t>hybrid, Green Published</t>
  </si>
  <si>
    <t>WOS:000463307800005</t>
  </si>
  <si>
    <t>Krause, CE; Gagan, MK; Dunbar, GB; Hantoro, WS; Hellstrom, JC; Cheng, H; Edwards, RL; Suwargadi, BW; Abram, NJ; Rifai, H</t>
  </si>
  <si>
    <t>Krause, Claire E.; Gagan, Michael K.; Dunbar, Gavin B.; Hantoro, Wahyoe S.; Hellstrom, John C.; Cheng, Hai; Edwards, R. Lawrence; Suwargadi, Bambang W.; Abram, Nerilie J.; Rifai, Hamdi</t>
  </si>
  <si>
    <t>Spatio-temporal evolution of Australasian monsoon hydroclimate over the last 40,000 years</t>
  </si>
  <si>
    <t>Indonesia; speleothem; oxygen isotopes; Australasian monsoon; Maritime Continent</t>
  </si>
  <si>
    <t>SEA-LEVEL; HIGH-RESOLUTION; WEST PACIFIC; ICE CORES; RAINFALL; DRIVEN; RECORD; OCEAN; CIRCULATION; HOLOCENE</t>
  </si>
  <si>
    <t>Maritime Continent (MC) convection drives zonal and meridional climate modes, including the Australasian monsoon system, but its role in past global climate change remains uncertain. Here we use speleothem oxygen isotope (delta O-18) records from a latitudinal transect across the MC, and a new critically located record for southwest Sulawesi, Indonesia, to reconstruct spatial hydroclimate variability in the Australasian monsoon domain over the last 40,000 yr. Our results show that atmospheric convection in the core MC region was reduced from similar to 40,000 to 12,000 yr ago and strengthened rapidly only after the inundation of shallow continental shelves in the region, well after the onset of deglaciation. Interestingly, the millennial-scale climatic impacts of North Atlantic Heinrich events are not evident in Sulawesi. Together with climate model simulations, we demonstrate that changes in deep atmospheric convection dominate glacial-interglacial hydroclimate over the MC, whereas latitudinal shifts in the mean location of the InterTropical Convergence Zone control rainfall patterns during abrupt climate changes. Crown Copyright (C) 2019 Published by Elsevier B.V. All rights reserved.</t>
  </si>
  <si>
    <t>[Krause, Claire E.; Gagan, Michael K.; Abram, Nerilie J.] Australian Natl Univ, Res Sch Earth Sci, Canberra, ACT 2601, Australia; [Gagan, Michael K.; Hantoro, Wahyoe S.] Univ Queensland, Sch Earth &amp; Environm Sci, Brisbane, Qld 4072, Australia; [Dunbar, Gavin B.] Victoria Univ Wellington, Antarctic Res Ctr, Wellington 6140, New Zealand; [Hantoro, Wahyoe S.; Suwargadi, Bambang W.] Indonesian Inst Sci, Res Ctr Geotechnol, Bandung 40135, Indonesia; [Hellstrom, John C.] Univ Melbourne, Sch Earth Sci, Parkville, Vic 3010, Australia; [Cheng, Hai; Edwards, R. Lawrence] Univ Minnesota, Dept Earth Sci, Minneapolis, MN 55455 USA; [Cheng, Hai] Xian Jiatong Univ, Inst Global Environm Change, Xian 710049, Shaanxi, Peoples R China; [Abram, Nerilie J.] Australian Natl Univ, ARC Ctr Excellence Climate Extremes, Canberra, ACT 2601, Australia; [Rifai, Hamdi] State Univ Padang, Dept Phys, Padang 25131, Indonesia; [Krause, Claire E.] Geosci Australia, Canberra, ACT 2601, Australia</t>
  </si>
  <si>
    <t>Australian National University; University of Queensland; Victoria University Wellington; National Research &amp; Innovation Agency of Indonesia (BRIN); Indonesian Institute of Sciences (LIPI); University of Melbourne; University of Minnesota System; University of Minnesota Twin Cities; Xi'an Jiaotong University; Australian National University; Universitas Negeri Padang; Geoscience Australia</t>
  </si>
  <si>
    <t>Krause, CE (corresponding author), Australian Natl Univ, Res Sch Earth Sci, Canberra, ACT 2601, Australia.;Krause, CE (corresponding author), Geosci Australia, Canberra, ACT 2601, Australia.</t>
  </si>
  <si>
    <t>claire.krause@ga.gov.au</t>
  </si>
  <si>
    <t>Edwards, R. Lawrence/I-3124-2014; Abram, Nerilie/AAT-5171-2021; CHENG, HAI/H-3413-2017; Gagan, Michael K/L-5014-2018; Hellstrom, John C/B-1770-2008; Rifai, Hamdi/AGN-3777-2022; Edwards, Richard/JAX-3732-2023</t>
  </si>
  <si>
    <t>CHENG, HAI/0000-0002-5305-9458; Rifai, Hamdi/0000-0002-3967-5019; Krause, Claire/0000-0002-6794-196X; Hellstrom, John/0000-0001-9427-3525; Abram, Nerilie/0000-0003-1246-2344</t>
  </si>
  <si>
    <t>Australian Research Council (ARC) [DP0663274, DP1095673]; Australian Postgraduate Award; ARC Future Fellowship [FT130100801]; ARC Queen Elizabeth II fellowship [DP110101161]; U.S. NSF [1103402, 1702816]; National Natural Science Foundation of China [NSFC 41731174, 41888101]; Div Of Biological Infrastructure; Direct For Biological Sciences [1103402] Funding Source: National Science Foundation; Australian Research Council [DP1095673] Funding Source: Australian Research Council</t>
  </si>
  <si>
    <t>Australian Research Council (ARC)(Australian Research Council); Australian Postgraduate Award(Australian Government); ARC Future Fellowship(Australian Research Council); ARC Queen Elizabeth II fellowship(Australian Research Council); U.S. NSF(National Science Foundation (NSF)); National Natural Science Foundation of China(National Natural Science Foundation of China (NSFC)); Div Of Biological Infrastructure; Direct For Biological Sciences(National Science Foundation (NSF)NSF - Directorate for Biological Sciences (BIO)); Australian Research Council(Australian Research Council)</t>
  </si>
  <si>
    <t>This study was supported by Australian Research Council (ARC) Discovery grants DP0663274 and DP1095673 to M.K.G., J.C.H., W.S.H., R.L.E, and H.C.; an Australian Postgraduate Award to C.E.K.; an ARC Future Fellowship to J.C.H. (FT130100801); an ARC Queen Elizabeth II fellowship to N.J.A. (DP110101161); U.S. NSF grants (1103402) and (1702816) to R.L.E. and H.C.; and National Natural Science Foundation of China grants to H.C. (NSFC 41731174 and 41888101).</t>
  </si>
  <si>
    <t>ELSEVIER SCIENCE BV</t>
  </si>
  <si>
    <t>PO BOX 211, 1000 AE AMSTERDAM, NETHERLANDS</t>
  </si>
  <si>
    <t>10.1016/j.epsl.2019.01.045</t>
  </si>
  <si>
    <t>WOS:000463307800011</t>
  </si>
  <si>
    <t>Li, FM; Liang, YJ; Cai, JL; Shi, YJ; Ma, LY; Lu, YZ</t>
  </si>
  <si>
    <t>Li, Fengmei; Liang, Yanjiao; Cai, Jinling; Shi, Yanjing; Ma, Liyan; Lu, Yongzhong</t>
  </si>
  <si>
    <t>EsTrx-2, the mitochondrial thioredoxin from Antarctic microcrustacean (Euphausia superba): Cloning and functional characterization</t>
  </si>
  <si>
    <t>COMPARATIVE BIOCHEMISTRY AND PHYSIOLOGY B-BIOCHEMISTRY &amp; MOLECULAR BIOLOGY</t>
  </si>
  <si>
    <t>Microcrustacean; Euphausia superba; Mitochondrial thioredoxin 2; Redox activity; Oxidative stress</t>
  </si>
  <si>
    <t>DNA PROTECTION ACTIVITY; OXIDATIVE STRESS; MOLECULAR CHARACTERIZATION; RUDITAPES-PHILIPPINARUM; CRYSTAL-STRUCTURES; REDOX HOMEOSTASIS; EXPRESSION; PROTEIN; SYSTEM; DEFICIENCY</t>
  </si>
  <si>
    <t>Thioredoxin system plays an important role in antioxidative stress, thioredoxin 2 (Trx2) being one of the most important components in the thioredoxin system. The full-length cDNA sequence of thioredoxin 2 from Euphausia superba (EsTrx2) is 1276 bp and contain a 5' untranslated region (UTR) of 94 bp, a 3' UTR of 741 bp and an open reading frame (ORF) of 441 bp, encoding a putative protein of 146 amino acids. Multiple sequence alignments have indicated that EsTrx2 possesses a conserved (-Cys-Gly-Pro-Cys-) CGPC redox-active site. EsTrx2 shares 62.3% identity with the swimming crab (Portunus trituberculatus) Trx2. The predicted three-dimensional structure of EsTrx2 consists of a thioredoxin fold. The high similarity and phylogenetic analysis have indicated that EsTrx2 is a member of the mitochondrial Trx2 sub-family. The recombinant EsTrx2 (rEsTrx2) was constructed and expressed in Escherichia coli BL21 (DE3). The rEsTrx2 protein showed high redox activity and antioxidant capacity at temperature from 4 to 37 degrees C. All results indicated that EsTrx2 was involved in the oxidative stress response of E. superba.</t>
  </si>
  <si>
    <t>[Li, Fengmei; Liang, Yanjiao; Shi, Yanjing; Lu, Yongzhong] Qingdao Univ Sci &amp; Technol, Coll Marine Sci &amp; Biol Engn, Shandong Prov Key Lab Biochem Engn, Qingdao 266042, Shandong, Peoples R China; [Cai, Jinling] Tianjin Univ Sci &amp; Technol, Coll Chem Engn &amp; Mat Sci, Tianjin Key Lab Marine Resources &amp; Chem, Tianjin 300457, Peoples R China; [Ma, Liyan] Chinese Acad Fishery Sci, East China Sea Fisheries Res Inst, Shanghai 200090, Peoples R China</t>
  </si>
  <si>
    <t>Qingdao University of Science &amp; Technology; Tianjin University Science &amp; Technology; Chinese Academy of Fishery Sciences; East China Sea Fisheries Research Institute, CAFS</t>
  </si>
  <si>
    <t>Li, FM (corresponding author), Qingdao Univ Sci &amp; Technol, 53 Zhengzhou Rd, Qingdao 266042, Shandong, Peoples R China.</t>
  </si>
  <si>
    <t>lifengmei@qust.edu.cn</t>
  </si>
  <si>
    <t>Cai, Jinling/M-3943-2013</t>
  </si>
  <si>
    <t>Cai, Jinling/0000-0003-0588-6456</t>
  </si>
  <si>
    <t>project of Shandong Provincial Science Foundation, China [ZR2016CM25]; Key Laboratory of East China Sea &amp; Oceanic Fishery Resources Exploitation and Utilization, Ministry of Agriculture, P.R. China [2013 No09]; Key Laboratory of Experimental Marine Biology, Institute of Oceanology, Chinese Academy of Sciences [KF2015No02]</t>
  </si>
  <si>
    <t>project of Shandong Provincial Science Foundation, China; Key Laboratory of East China Sea &amp; Oceanic Fishery Resources Exploitation and Utilization, Ministry of Agriculture, P.R. China; Key Laboratory of Experimental Marine Biology, Institute of Oceanology, Chinese Academy of Sciences(Chinese Academy of Sciences)</t>
  </si>
  <si>
    <t>The authors are grateful to other laboratory members for technical advices and helpful discussions. This research was supported by the project of Shandong Provincial Science Foundation, China (ZR2016CM25), Key Laboratory of East China Sea &amp; Oceanic Fishery Resources Exploitation and Utilization, Ministry of Agriculture, P.R. China (2013 No09) and the Key Laboratory of Experimental Marine Biology, Institute of Oceanology, Chinese Academy of Sciences (KF2015No02).</t>
  </si>
  <si>
    <t>1096-4959</t>
  </si>
  <si>
    <t>1879-1107</t>
  </si>
  <si>
    <t>COMP BIOCHEM PHYS B</t>
  </si>
  <si>
    <t>Comp. Biochem. Physiol. B-Biochem. Mol. Biol.</t>
  </si>
  <si>
    <t>10.1016/j.cbpb.2019.01.014</t>
  </si>
  <si>
    <t>Biochemistry &amp; Molecular Biology; Zoology</t>
  </si>
  <si>
    <t>HR7AP</t>
  </si>
  <si>
    <t>WOS:000463304600007</t>
  </si>
  <si>
    <t>Drew, M; Rogers, P; Lloyd, M; Huveneers, C</t>
  </si>
  <si>
    <t>Drew, Michael; Rogers, Paul; Lloyd, Matthew; Huveneers, Charlie</t>
  </si>
  <si>
    <t>Seasonal occurrence and site fidelity of juvenile bronze whalers (Carcharhinus brachyurus) in a temperate inverse estuary</t>
  </si>
  <si>
    <t>REEF-ASSOCIATED SHARKS; ACOUSTIC TELEMETRY; PELAGIC SHARKS; COASTAL SHARK; COPPER SHARK; SOUTH-AFRICA; BODY-SIZE; POPULATION; FISHERIES; CONNECTIVITY</t>
  </si>
  <si>
    <t>Assessing the movements and habitat use of wide-ranging predators is critical for understanding their role within an ecosystem and vulnerability to anthropogenic threats. The bronze whaler (Carcharhinus brachyurus) is a large-bodied, slow-growing shark species that is widely distributed throughout temperate Australian waters. Currently, habitat use, spatio-temporal presence and fine-scale movement information is unknown for Southern Australian waters. This study investigated the spatio-temporal patterns of occurrence, habitat use, and residency of bronze whalers in Gulf St. Vincent, South Australia. Forty-seven predominately small juvenile bronze whalers (83% of tagged sharks&lt;150cm TL) were tagged with acoustic transmitters from 2009 to 2014 and monitored for periods of up to 55months (range 516-1634days; mean +/- standard error 825 +/- 47). The seasonal presence of bronze whalers peaked in spring-early autumn (September-April). Site fidelity was high, with 77% of tagged sharks detected over multiple years and 36% detected over 3years. Low estimates of mean residency index (R-i=0.05 +/- 0.01) indicated that time spent within the array was limited. Shark occurrence was driven by a combination of factors, which included water temperature, season, moon illumination, and wind speed. Manly-Chesson's Electivity Index showed bronze whalers exhibited the highest affinity to seagrass (Posidonia spp.), suggesting that this habitat plays an important role in the early life history stages. The slow growth and low productivity of bronze whalers combined with its predictable nearshore occurrence result in this species having an increased susceptibility to anthropogenic threats, which highlights the need for continued monitoring and vulnerability assessments.</t>
  </si>
  <si>
    <t>[Drew, Michael; Rogers, Paul] South Australia Res &amp; Dev Inst Aquat Sci, Finfish Subprogram, Adelaide, SA 5024, Australia; [Drew, Michael; Lloyd, Matthew; Huveneers, Charlie] Flinders Univ S Australia, Coll Sci &amp; Engn, Biol Sci, Southern Shark Ecol Grp, Adelaide, SA 5043, Australia</t>
  </si>
  <si>
    <t>Flinders University South Australia</t>
  </si>
  <si>
    <t>Drew, M (corresponding author), South Australia Res &amp; Dev Inst Aquat Sci, Finfish Subprogram, Adelaide, SA 5024, Australia.;Drew, M (corresponding author), Flinders Univ S Australia, Coll Sci &amp; Engn, Biol Sci, Southern Shark Ecol Grp, Adelaide, SA 5043, Australia.</t>
  </si>
  <si>
    <t>michael.drew@sa.gov.au</t>
  </si>
  <si>
    <t>Huveneers, Charlie/0000-0001-8937-1358</t>
  </si>
  <si>
    <t>Australian Postgraduate Award; Adelaide &amp; Mount Lofty Ranges Natural Resources Management Board; Neiser Foundation; Nature Foundation of South Australia Inc; Tracking Research for Animal Conservation Society (TRACS); Australian Government through the National Collaborative Research Infrastructure Strategy; Super Science Initiative</t>
  </si>
  <si>
    <t>Australian Postgraduate Award(Australian Government); Adelaide &amp; Mount Lofty Ranges Natural Resources Management Board; Neiser Foundation; Nature Foundation of South Australia Inc; Tracking Research for Animal Conservation Society (TRACS); Australian Government through the National Collaborative Research Infrastructure Strategy(Australian GovernmentDepartment of Industry, Innovation and Science); Super Science Initiative</t>
  </si>
  <si>
    <t>This project was jointly funded by the Australian Postgraduate Award to MD, the Adelaide &amp; Mount Lofty Ranges Natural Resources Management Board, the Neiser Foundation, the Nature Foundation of South Australia Inc, and the Tracking Research for Animal Conservation Society (TRACS). Some of the acoustic receivers were provided by the Institute of Marine and Antarctic Studies, the University of Adelaide, the Department of the Environment, Water and Natural Resources, and the Integrated Marine Observing System (IMOS) Animal Tracking Facility. IMOS is supported by the Australian Government through the National Collaborative Research Infrastructure Strategy and the Super Science Initiative</t>
  </si>
  <si>
    <t>10.1007/s00227-019-3500-x</t>
  </si>
  <si>
    <t>HR1ZL</t>
  </si>
  <si>
    <t>WOS:000462935100002</t>
  </si>
  <si>
    <t>Wang, Y; Sun, L; Li, JQ; Wang, ZM; Jiao, WW; Xiao, J; Shen, C; Xu, F; Qi, H; Wang, YH; Guo, YJ; Shen, AD</t>
  </si>
  <si>
    <t>Wang, Yi; Sun, Lin; Li, Jie-Qiong; Wang, Ze-Ming; Jiao, Wei-Wei; Xiao, Jing; Shen, Chen; Xu, Fang; Qi, Hui; Wang, Yong-Hong; Guo, Ya-Jie; Shen, A-Dong</t>
  </si>
  <si>
    <t>Detection of Nucleic Acids and Prevention of Carryover Contamination Using Cross-Priming Amplification Combined with Nanoparticles-Based Biosensor and Antarctic Thermal Sensitive Uracil-DNA-Glycosylase</t>
  </si>
  <si>
    <t>JOURNAL OF BIOMEDICAL NANOTECHNOLOGY</t>
  </si>
  <si>
    <t>Cross-Priming Amplification; Antarctic Thermal Sensitive Uracil-DNA-Glycosylase; Lateral Flow Biosensor; K. pneumoniae; Detection Limit</t>
  </si>
  <si>
    <t>MEDIATED ISOTHERMAL AMPLIFICATION; RAPID DETECTION</t>
  </si>
  <si>
    <t>The current study reports on a cross-priming amplification (CPA) scheme that utilizes antarctic thermal sensitive uracil-DNA-glycosylase (AUDG) for simultaneous detection of nucleic acids and prevention of carryover contamination. Amplification products were applied in a nanoparticle-based lateral flow biosensor (LFB). The method shows attractive features in that it only requires the use of a labeled primer, eliminating the use of labeled probes. Thus, it is able to remove false-positive results yielded by undesired hybridization between two labeled primers or between a probe and labeled primer. CPA amplification and AUDG cleavage are carried out in a single pot, and the use of a closed-vessel reaction eliminates unwanted results due to carryover contamination. Then, the assay devised in this report was applied to the detection of the hospital-acquired pathogen Klebsiella pneumoniae in pure cultures and artificial sputum samples. This biosensor can detect K. pneumoniae in pure cultures with a 100 fg . L-1 detection limit, and in artificial sputum samples with a 520 cfu . mL(-1) detection limit. The whole procedure, including specimen processing (20-min), CPA amplification (60-min), AUDG digestion (5-min) and result indicating (within 2-min), can be completed within 1.5 h. As a proof-of-concept technique, this method can be used for detecting a wide variety of other targets if the specific CPA primer set is available.</t>
  </si>
  <si>
    <t>[Wang, Yi; Sun, Lin; Li, Jie-Qiong; Wang, Ze-Ming; Jiao, Wei-Wei; Xiao, Jing; Shen, Chen; Xu, Fang; Qi, Hui; Wang, Yong-Hong; Guo, Ya-Jie; Shen, A-Dong] Capital Med Univ, Beijing Key Lab Pediat Resp Infect Dis,Beijing Ch, Natl Clin Res Ctr Resp Dis,Beijing Pediat Res Ins, Key Lab Major Dis Children,Minist Educ,Natl Key D, Beijing 10045, Peoples R China</t>
  </si>
  <si>
    <t>Capital Medical University</t>
  </si>
  <si>
    <t>Shen, AD (corresponding author), Capital Med Univ, Beijing Key Lab Pediat Resp Infect Dis,Beijing Ch, Natl Clin Res Ctr Resp Dis,Beijing Pediat Res Ins, Key Lab Major Dis Children,Minist Educ,Natl Key D, Beijing 10045, Peoples R China.</t>
  </si>
  <si>
    <t>shenad18@126.com</t>
  </si>
  <si>
    <t>Wang, Yonghong/AAN-4845-2020; SUN, YANLING/JTT-9082-2023; 孙, 琳/HGE-6966-2022; xiao, jing/HRB-7391-2023</t>
  </si>
  <si>
    <t>Capital Health Research and Development of Special Grant [2016-1-2092]; Beijing Talents Foundation [2016000021223ZK38]</t>
  </si>
  <si>
    <t>Capital Health Research and Development of Special Grant; Beijing Talents Foundation</t>
  </si>
  <si>
    <t>This work was funded by the Capital Health Research and Development of Special Grant (No. 2016-1-2092) and the Beijing Talents Foundation (2016000021223ZK38). We would like to express our sincere gratitude to Dong-Xu Li from Changping District Center for Disease Control and Prevention, Professor Shi-Jun Li from Guizhou Center for Disease Control and Prevention and Professor Shou-Kui Hu from Clinical Laboratory of Peking University Shougang Hospital, who provided us with genomic templates of non-K. lebsiella and clinical sputum samples.</t>
  </si>
  <si>
    <t>AMER SCIENTIFIC PUBLISHERS</t>
  </si>
  <si>
    <t>VALENCIA</t>
  </si>
  <si>
    <t>26650 THE OLD RD, STE 208, VALENCIA, CA 91381-0751 USA</t>
  </si>
  <si>
    <t>1550-7033</t>
  </si>
  <si>
    <t>1550-7041</t>
  </si>
  <si>
    <t>J BIOMED NANOTECHNOL</t>
  </si>
  <si>
    <t>J. Biomed. Nanotechnol.</t>
  </si>
  <si>
    <t>10.1166/jbn.2019.2733</t>
  </si>
  <si>
    <t>Nanoscience &amp; Nanotechnology; Materials Science, Biomaterials</t>
  </si>
  <si>
    <t>Science &amp; Technology - Other Topics; Materials Science</t>
  </si>
  <si>
    <t>HP5ZH</t>
  </si>
  <si>
    <t>WOS:000461761600002</t>
  </si>
  <si>
    <t>Punt, AE</t>
  </si>
  <si>
    <t>Punt, Andre E.</t>
  </si>
  <si>
    <t>Spatial stock assessment methods: A viewpoint on current issues and assumptions</t>
  </si>
  <si>
    <t>FISHERIES RESEARCH</t>
  </si>
  <si>
    <t>Spatial assessment; Parameter estimation; Integrated tagging model; Stock structure; Uncertainty</t>
  </si>
  <si>
    <t>MARINE PROTECTED AREAS; AGE-STRUCTURED MODEL; POPULATION-STRUCTURE; ANTARCTIC TOOTHFISH; NATURAL MORTALITY; FISHING MORTALITY; JASUS-EDWARDSII; TAG RECOVERIES; ATLANTIC COD; MOVEMENT</t>
  </si>
  <si>
    <t>Spatial stock assessments have been developed to address violations of the dynamic pool assumption that the region to be assessed contains a single homogeneous stock. The possibility of such violation is often evident in data that suggest different trends in abundance or catch / survey age- / size-structure among areas that cannot be explained simply by the fishing history among areas. Currently, most stock assessments account for spatial structure using the 'areas-as-fleets' approach in which fishery or survey selectivity and catchability are assumed to differ spatially. However, several simulation studies suggest that adopting spatial approaches to stock assessment will improve estimation performance compared to the areas-as-fleets approach or ignoring spatial structure when conducting stock assessments, although at the cost of a larger number of estimable parameters. Spatial approaches to stock assessment and the provision of management advice have been available since the 1950s. However, spatial stock assessments only became adopted for management purposes in the 1990s, with the widespread adoption of the integrated approach to stock assessment, which allowed the use of multiple data sets for parameter estimation. The number of spatial stock assessments is now increasing rapidly. This paper outlines some of the key decisions that need to be made when conducting a spatial stock assessment (number of areas, how to model recruitment, movement, growth and dispersal, and model parameterization).</t>
  </si>
  <si>
    <t>[Punt, Andre E.] Univ Washington, Sch Aquat &amp; Fishery Sci, Box 355072, Seattle, WA 98195 USA; [Punt, Andre E.] CSIRO Oceans &amp; Atmosphere, GPO Box 7001, Hobart, Tas 7001, Australia</t>
  </si>
  <si>
    <t>University of Washington; University of Washington Seattle; Commonwealth Scientific &amp; Industrial Research Organisation (CSIRO)</t>
  </si>
  <si>
    <t>Punt, AE (corresponding author), Univ Washington, Sch Aquat &amp; Fishery Sci, Box 355072, Seattle, WA 98195 USA.</t>
  </si>
  <si>
    <t>aepunt@uw.edu</t>
  </si>
  <si>
    <t>Punt, Andre/0000-0001-8489-2488</t>
  </si>
  <si>
    <t>Joint Institute for the Study of the Atmosphere and Ocean (JISAO) under NOAA [NA15OAR4320063, 2018-0184]</t>
  </si>
  <si>
    <t>Joint Institute for the Study of the Atmosphere and Ocean (JISAO) under NOAA</t>
  </si>
  <si>
    <t>This work was partially funded by the Joint Institute for the Study of the Atmosphere and Ocean (JISAO) under NOAA Cooperative agreement No. NA15OAR4320063, Contribution No. 2018-0184. Mark Maunder (IATTC) is thanked for inviting me to write this paper and for some initial suggestions for topics to include. Mark, Malcolm Haddon (CSIRO), Daniel Goethel (NOAA) and an anonymous reviewer are thanked for their comments on an earlier version of this paper. Richard Methot (NOAA) is thanked for corresponding some of my errors related to modelling of growth patterns in Stock Synthesis. The ideas in this paper were updated, corrected and modified based on discussions during the CAPAM spatial modelling workshop.</t>
  </si>
  <si>
    <t>0165-7836</t>
  </si>
  <si>
    <t>1872-6763</t>
  </si>
  <si>
    <t>FISH RES</t>
  </si>
  <si>
    <t>Fish Res.</t>
  </si>
  <si>
    <t>10.1016/j.fishres.2019.01.014</t>
  </si>
  <si>
    <t>Fisheries</t>
  </si>
  <si>
    <t>HO3LR</t>
  </si>
  <si>
    <t>WOS:000460824700013</t>
  </si>
  <si>
    <t>Ronowicz, M; Cantero, ALP; Casares, BM; Kuklinski, P; Angel, JJS</t>
  </si>
  <si>
    <t>Ronowicz, Marta; Pena Cantero, Alvaro L.; Mercado Casares, Borja; Kuklinski, Piotr; Soto Angel, Joan J.</t>
  </si>
  <si>
    <t>Assessing patterns of diversity, bathymetry and distribution at the poles using Hydrozoa (Cnidaria) as a model group</t>
  </si>
  <si>
    <t>HYDROBIOLOGIA</t>
  </si>
  <si>
    <t>Hydroids; Hydromedusae; Arctic; Antarctic; Southern Ocean; Bipolarity; Life cycle; Checklist; Species richness</t>
  </si>
  <si>
    <t>BENTHIC HYDROIDS CNIDARIA; SPECIES RICHNESS; CLIMATE-CHANGE; BRITTLE STARS; SEA; BIODIVERSITY; BIOGEOGRAPHY; COMMUNITIES; OCEAN; IMPACT</t>
  </si>
  <si>
    <t>The Arctic and Antarctic share many oceanographical features but differ greatly in their geological histories. These divergent aspects lead to similarities and differences between the sets of species inhabiting the poles. However, the patterns are not unambiguously homogenous throughout the tree of life. For the first time, Hydrozoa (Leptothecata and Anthoathecata) is used as a model group to study patterns of diversity, distribution, bathymetry and life history strategies between the polar regions. The analyses are based on a comprehensive literature survey of hydrozoan records. Subtle differences in species richness and contrasting values of endemism are found between the Antarctic (252 species and 58% endemics) and Arctic (233 species and 20% endemics) regions. Shared trends include the lack of a medusa stage in most of the representatives, a high percentage of rarity (Arctic: 49%; Antarctic: 63%), and few common species (18% in both regions). A few species (Grammaria abietina, Obelia longissima and Paragotoea bathybia) and genera (Bouillonia and Gymnogonos) might be tentatively considered bipolar, but further molecular investigation is recommended. The bathymetric distribution mirrors the geomorphological characteristics of each region. The highest species richness occurred in the continental shelves of both polar regions. Updated inventories from each polar region are provided as supplementary material. The present work establishes a fundamental step towards an integrated bipolar framework for the study of diversity and ecology of polar regions, laying the foundation for future approaches on a wide array of topics, from origin and diversification, to changes in the distribution of polar biota.</t>
  </si>
  <si>
    <t>[Ronowicz, Marta; Kuklinski, Piotr; Soto Angel, Joan J.] Polish Acad Sci, Inst Oceanol, Sopot, Poland; [Pena Cantero, Alvaro L.; Mercado Casares, Borja; Soto Angel, Joan J.] Univ Valencia, Cavanilles Inst Biodivers &amp; Evolutionary Biol, Valencia, Spain; [Kuklinski, Piotr] Nat Hist Museum, London, England; [Soto Angel, Joan J.] Univ Valencia, Fac Ciencias Biol, Dept Zool, Lab Biol Marina, C Dr Moliner 50, E-46100 Valencia, Spain</t>
  </si>
  <si>
    <t>Polish Academy of Sciences; Institute of Oceanology of the Polish Academy of Sciences; University of Valencia; Natural History Museum London; University of Valencia</t>
  </si>
  <si>
    <t>Angel, JJS (corresponding author), Univ Valencia, Fac Ciencias Biol, Dept Zool, Lab Biol Marina, C Dr Moliner 50, E-46100 Valencia, Spain.</t>
  </si>
  <si>
    <t>joanjsoto@gmail.com</t>
  </si>
  <si>
    <t>Cantero, Álvaro Luis Peña/F-7888-2016; Mercado Casares, Borja/HJH-6251-2023; Àngel, Joan J. Soto/AAS-6133-2021; Ronowicz, Marta/ABA-4643-2022</t>
  </si>
  <si>
    <t>Àngel, Joan J. Soto/0000-0002-9132-4822; Pena Cantero, Alvaro/0000-0003-3056-6673; Ronowicz, Marta/0000-0001-8703-9132; Kuklinski, Piotr/0000-0002-1507-215X</t>
  </si>
  <si>
    <t>Polish National Science Center [UMO-2014/15/B/NZ8/00237]; Institute of Oceanology Polish Academy of Sciences</t>
  </si>
  <si>
    <t>Polish National Science Center; Institute of Oceanology Polish Academy of Sciences</t>
  </si>
  <si>
    <t>We want to express our gratitude to the anonymous reviewers for their insightful suggestions that led us to improve the quality of the manuscript. The study was completed thanks to the grant from the Polish National Science Center to MR (UMO-2014/15/B/NZ8/00237). The research was developed thanks to the postdoctoral Grant to JJSA funded by the Institute of Oceanology Polish Academy of Sciences.</t>
  </si>
  <si>
    <t>0018-8158</t>
  </si>
  <si>
    <t>1573-5117</t>
  </si>
  <si>
    <t>Hydrobiologia</t>
  </si>
  <si>
    <t>10.1007/s10750-018-3876-5</t>
  </si>
  <si>
    <t>HO1TR</t>
  </si>
  <si>
    <t>WOS:000460694400003</t>
  </si>
  <si>
    <t>Smith, NM; Dickerson, AK; Murphy, D</t>
  </si>
  <si>
    <t>Smith, Nicholas M.; Dickerson, Andrew K.; Murphy, David</t>
  </si>
  <si>
    <t>Organismal aggregations exhibit fluidic behaviors: a review</t>
  </si>
  <si>
    <t>BIOINSPIRATION &amp; BIOMIMETICS</t>
  </si>
  <si>
    <t>density; phase change; viscosity; surface tension; swarming; flocking; schooling</t>
  </si>
  <si>
    <t>MIXED-SPECIES GROUPS; SWARMING-BEHAVIOR; ANTARCTIC KRILL; PREDATION RISK; BLUEFIN TUNA; FISH SCHOOLS; MODEL; EVOLUTION; MOVEMENT; DYNAMICS</t>
  </si>
  <si>
    <t>Groups of organisms such as flocks, swarms, herds, and schools form for a variety of motivations linked to survival and proliferation. Their size, locomotive domain, population, and the environmental stimuli guiding motion make challenging the study of member interactions and global behaviors. In this review, we borrow principles and analogies from fluids to describe the characteristics of organismal aggregations, which may inspire new tools for the analysis of collective motion. Examples of fluid resemblance include open channel flow, droplet formation, and particle-laden flow. We show how the properties of density, viscosity, and surface tension have strong parallels in the structure and behavior of aggregations of contrasting scale and domain. In certain cases, aggregations are sufficiently fluid-like that values can be assigned to such properties. We highlight how organisms engaging in collective motion can flow, roll, and change phase. Finally, we present limitations and exceptions for the application of fluidic principles to the motion of living groups.</t>
  </si>
  <si>
    <t>[Smith, Nicholas M.; Dickerson, Andrew K.] Univ Cent Florida Orlando, Dept Mech &amp; Aerosp Engn, Orlando, FL 32816 USA; [Murphy, David] Univ South Florida Tampa, Dept Mech Engn, Tampa, FL USA</t>
  </si>
  <si>
    <t>State University System of Florida; University of Central Florida; State University System of Florida; University of South Florida</t>
  </si>
  <si>
    <t>Dickerson, AK (corresponding author), Univ Cent Florida Orlando, Dept Mech &amp; Aerosp Engn, Orlando, FL 32816 USA.</t>
  </si>
  <si>
    <t>dickerson@ucf.edu</t>
  </si>
  <si>
    <t>Dickerson, Andrew/AEW-4398-2022</t>
  </si>
  <si>
    <t>Dickerson, Andrew/0000-0003-1220-1048; Smith, Nicholas/0000-0003-2507-0358</t>
  </si>
  <si>
    <t>University of Central Florida; University of South Florida</t>
  </si>
  <si>
    <t>We would like to thank the University of Central Florida and the University of South Florida for funding this work. Certain images in this publication have been obtained by the author(s) from the Wikipedia/Wikimedia website, where they were made available under a Creative Commons licence or stated to be in the public domain. Please see individual figure captions in this publication for details. To the extent that the law allows, IOP Publishing disclaim any liability that any person may suffer as a result of accessing, using or forwarding the image(s). Any reuse rights should be checked and permission should be sought if necessary from Wikipedia/Wikimedia and/or the copyright owner (as appropriate) before using or forwarding the image(s).</t>
  </si>
  <si>
    <t>IOP PUBLISHING LTD</t>
  </si>
  <si>
    <t>BRISTOL</t>
  </si>
  <si>
    <t>TEMPLE CIRCUS, TEMPLE WAY, BRISTOL BS1 6BE, ENGLAND</t>
  </si>
  <si>
    <t>1748-3182</t>
  </si>
  <si>
    <t>1748-3190</t>
  </si>
  <si>
    <t>BIOINSPIR BIOMIM</t>
  </si>
  <si>
    <t>Bioinspir. Biomim.</t>
  </si>
  <si>
    <t>10.1088/1748-3190/ab0253</t>
  </si>
  <si>
    <t>Engineering, Multidisciplinary; Materials Science, Biomaterials; Robotics</t>
  </si>
  <si>
    <t>Engineering; Materials Science; Robotics</t>
  </si>
  <si>
    <t>HN0OH</t>
  </si>
  <si>
    <t>WOS:000459887800001</t>
  </si>
  <si>
    <t>Ardhuin, F; Brandt, P; Gaultier, L; Donlon, C; Battaglia, A; Boy, F; Casal, T; Chapron, B; Collard, F; Cravatte, S; Delouis, JM; De Witte, E; Dibarboure, G; Engen, G; Johnsen, H; Lique, C; Lopez-Dekker, P; Maes, C; Martin, A; Marié, L; Menemenlis, D; Nouguier, F; Peureux, C; Rampal, P; Ressler, G; Rio, MH; Rommen, B; Shutler, JD; Suess, M; Tsamados, M; Ubelmann, C; van Sebille, E; van den Oever, M; Stammer, D</t>
  </si>
  <si>
    <t>Ardhuin, Fabrice; Brandt, Peter; Gaultier, Lucile; Donlon, Craig; Battaglia, Alessandro; Boy, Francois; Casal, Tania; Chapron, Bertrand; Collard, Fabrice; Cravatte, Sophie; Delouis, Jean-Marc; De Witte, Erik; Dibarboure, Gerald; Engen, Geir; Johnsen, Harald; Lique, Camille; Lopez-Dekker, Paco; Maes, Christophe; Martin, Adrien; Marie, Louis; Menemenlis, Dimitris; Nouguier, Frederic; Peureux, Charles; Rampal, Pierre; Ressler, Gerhard; Rio, Marie-Helene; Rommen, Bjorn; Shutler, Jamie D.; Suess, Martin; Tsamados, Michel; Ubelmann, Clement; van Sebille, Erik; van den Oever, Martin; Stammer, Detlef</t>
  </si>
  <si>
    <t>SKIM, a Candidate Satellite Mission Exploring Global Ocean Currents and Waves</t>
  </si>
  <si>
    <t>FRONTIERS IN MARINE SCIENCE</t>
  </si>
  <si>
    <t>ocean current; tropics; Arctic; Doppler; altimetry; sea state; remote sensing; ocean waves</t>
  </si>
  <si>
    <t>SEA-SURFACE KINEMATICS; MIXED-LAYER HEAT; IN-SITU; CIRCULATION; SPACE; WATER; TOPOGRAPHY; TRANSPORT; VELOCITY; BUDGET</t>
  </si>
  <si>
    <t>The Sea surface Kinematics Multiscale monitoring (SKIM) satellite mission is designed to explore ocean surface current and waves. This includes tropical currents, notably the poorly known patterns of divergence and their impact on the ocean heat budget, and monitoring of the emerging Arctic up to 82.5 degrees N. SKIM will also make unprecedented direct measurements of strong currents, from boundary currents to the Antarctic circumpolar current, and their interaction with ocean waves with expected impacts on air-sea fluxes and extreme waves. For the first time, SKIM will directly measure the ocean surface current vector from space. The main instrument on SKIM is a Ka-band conically scanning, multi-beam Doppler radar altimeter/wave scatterometer that includes a state-of-the-art nadir beam comparable to the Poseidon-4 instrument on Sentinel 6. The well proven Doppler pulse-pair technique will give a surface drift velocity representative of the top meter of the ocean, after subtracting a large wave-induced contribution. Horizontal velocity components will be obtained with an accuracy better than 7 cm/s for horizontal wavelengths larger than 80 km and time resolutions larger than 15 days, with a mean revisit time of 4 days for of 99% of the global oceans. This will provide unique and innovative measurements that will further our understanding of the transports in the upper ocean layer, permanently distributing heat, carbon, plankton, and plastics. SKIM will also benefit from co-located measurements of water vapor, rain rate, sea ice concentration, and wind vectors provided by the European operational satellite MetOp-SG(B), allowing many joint analyses. SKIM is one of the two candidate satellite missions under development for ESA Earth Explorer 9. The other candidate is the Far infrared Radiation Understanding and Monitoring (FORUM). The final selection will be announced by September 2019, for a launch in the coming decade.</t>
  </si>
  <si>
    <t>[Ardhuin, Fabrice; Chapron, Bertrand; Delouis, Jean-Marc; Lique, Camille; Maes, Christophe; Marie, Louis; Nouguier, Frederic; Peureux, Charles; Rommen, Bjorn] Univ Brest, LOPS, Ifremer, CNRS,IRD,IUEM, Brest, France; [Brandt, Peter] GEOMAR Helmholtz Zentum Ozeanforsch Kiel, Kiel, Germany; [Brandt, Peter] Univ Kiel, Kiel, Germany; [Gaultier, Lucile; Collard, Fabrice] OceanDataLab, Brest, France; [Donlon, Craig; Casal, Tania; De Witte, Erik; Ressler, Gerhard; Suess, Martin] European Space Agcy, Noordwijk, Netherlands; [Battaglia, Alessandro; van den Oever, Martin] Univ Leicester, Natl Ctr Earth Observat, Leicester, Leics, England; [Boy, Francois; Dibarboure, Gerald] Ctr Natl Etud Spatiales, Toulouse, France; [Cravatte, Sophie] Univ Toulouse, CNES, CNRS, LEGOS,IRD,UPS, Toulouse, France; [Engen, Geir; Johnsen, Harald] Norut Informat Technol Ltd, Tromso, Norway; [Lopez-Dekker, Paco] Delft Univ Technol, Geosci &amp; Remote Sensing Dept, Delft, Netherlands; [Martin, Adrien] Natl Oceanog Ctr, Southampton, Hants, England; [Menemenlis, Dimitris] Jet Prop Lab, Pasadena, CA USA; [Rampal, Pierre] Nansen Environm &amp; Remote Sensing Ctr, Bergen, Norway; [Rio, Marie-Helene] European Space Agcy, Frascati, Italy; [Shutler, Jamie D.] Univ Exeter, Ctr Geog &amp; Environm Sci, Exeter, Devon, England; [Tsamados, Michel] UCL, Ctr Polar Observat &amp; Modelling, Earth Sci, London, England; [Ubelmann, Clement] Collecte Localisat Satellites, Ramonville St Agne, France; [van Sebille, Erik] Univ Utrecht, Inst Marine &amp; Atmospher Res, Utrecht, Netherlands; [Stammer, Detlef] Univ Hamburg, Ctr Erdsystemforsch &amp; Nachhaltigkeit, Hamburg, Germany</t>
  </si>
  <si>
    <t>Institut de Recherche pour le Developpement (IRD); Universite de Bretagne Occidentale; Institut Universitaire Europeen de la Mer (IUEM); Centre National de la Recherche Scientifique (CNRS); Ifremer; University of Kiel; European Space Agency; University of Leicester; Universite de Toulouse; Universite Toulouse III - Paul Sabatier; Centre National de la Recherche Scientifique (CNRS); Institut de Recherche pour le Developpement (IRD); Laboratoire d'Etudes en Geophysique et oceanographie spatiales; Delft University of Technology; NERC National Oceanography Centre; National Aeronautics &amp; Space Administration (NASA); NASA Jet Propulsion Laboratory (JPL); Nansen Environmental &amp; Remote Sensing Center (NERSC); European Space Agency; University of Exeter; University of London; University College London; Utrecht University; University of Hamburg</t>
  </si>
  <si>
    <t>Ardhuin, F (corresponding author), Univ Brest, LOPS, Ifremer, CNRS,IRD,IUEM, Brest, France.</t>
  </si>
  <si>
    <t>ardhuin@ifremer.fr</t>
  </si>
  <si>
    <t>Menemenlis, Dimitris/G-8091-2017; Lique, Camille/L-5543-2015; Suess, Martin/ABD-9869-2021; Tsamados, Michel/V-1962-2019; Dekker, Paco Lopez/AAB-4995-2021; Cravatte, Sophie/AAI-4635-2021; Brandt, Peter/C-8254-2013; van Sebille, Erik/F-6781-2010; Ardhuin, Fabrice/A-1364-2011</t>
  </si>
  <si>
    <t>Menemenlis, Dimitris/0000-0001-9940-8409; Lique, Camille/0000-0002-8357-4928; Tsamados, Michel/0000-0001-7034-5360; Cravatte, Sophie/0000-0002-2439-8952; Brandt, Peter/0000-0002-9235-955X; Ardhuin, Fabrice/0000-0002-9309-9681; Gil Duarte Casal, Tania/0000-0001-7119-3928; Battaglia, Alessandro/0000-0001-9243-3484; Delouis, Jean-Marc/0000-0002-0713-1658; chapron, bertrand/0000-0001-6088-8775; nouguier, frederic/0000-0002-7551-0158</t>
  </si>
  <si>
    <t>European Space Agency (ESA) through the Sea surface KInematics Multiscale monitoring (SKIM) Mission Science (SciSoc) Study [4000124734/18/NL/CT/gp]; SKIM-MPRC [4000124664/18/NL/NA]; SKIM-PE [4000124521/18/NL/CT]; CNES; ANR [ANR-17-EURE-0015, ANR-10-LABX-19]; NERC [NE/R000263/1, NE/M015238/1, cpom30001] Funding Source: UKRI</t>
  </si>
  <si>
    <t>European Space Agency (ESA) through the Sea surface KInematics Multiscale monitoring (SKIM) Mission Science (SciSoc) Study; SKIM-MPRC; SKIM-PE; CNES(Centre National D'etudes Spatiales); ANR(Agence Nationale de la Recherche (ANR)); NERC(UK Research &amp; Innovation (UKRI)Natural Environment Research Council (NERC))</t>
  </si>
  <si>
    <t>Part of this work was supported by the European Space Agency (ESA) through the Sea surface KInematics Multiscale monitoring (SKIM) Mission Science (SciSoc) Study (Contract 4000124734/18/NL/CT/gp), SKIM-MPRC (4000124664/18/NL/NA), and SKIM-PE (4000124521/18/NL/CT. Additional support was provided by CNES and ANR grants for ISblue (ANR-17-EURE-0015) LabexMER (ANR-10-LABX-19).</t>
  </si>
  <si>
    <t>FRONTIERS MEDIA SA</t>
  </si>
  <si>
    <t>LAUSANNE</t>
  </si>
  <si>
    <t>AVENUE DU TRIBUNAL FEDERAL 34, LAUSANNE, CH-1015, SWITZERLAND</t>
  </si>
  <si>
    <t>2296-7745</t>
  </si>
  <si>
    <t>FRONT MAR SCI</t>
  </si>
  <si>
    <t>Front. Mar. Sci.</t>
  </si>
  <si>
    <t>APR 30</t>
  </si>
  <si>
    <t>10.3389/fmars.2019.00209</t>
  </si>
  <si>
    <t>Environmental Sciences; Marine &amp; Freshwater Biology</t>
  </si>
  <si>
    <t>Environmental Sciences &amp; Ecology; Marine &amp; Freshwater Biology</t>
  </si>
  <si>
    <t>HW9LS</t>
  </si>
  <si>
    <t>Green Accepted, Green Published, gold</t>
  </si>
  <si>
    <t>WOS:000467012900001</t>
  </si>
  <si>
    <t>d'Ovidio, F; Pascual, A; Wang, JB; Doglioli, AM; Jing, Z; Moreau, S; Grégori, G; Swart, S; Speich, S; Cyr, F; Legresy, B; Chao, Y; Fu, L; Morrow, RA</t>
  </si>
  <si>
    <t>d'Ovidio, Francesco; Pascual, Ananda; Wang, Jinbo; Doglioli, Andrea M.; Jing, Zhao; Moreau, Sebastien; Gregori, Gerald; Swart, Sebastiaan; Speich, Sabrina; Cyr, Frederic; Legresy, Benoit; Chao, Yi; Fu, Lee; Morrow, Rosemary Anne</t>
  </si>
  <si>
    <t>Frontiers in Fine-Scale in situ Studies: Opportunities During the SWOT Fast Sampling Phase</t>
  </si>
  <si>
    <t>remote sensing; ocean dynamics; energy cascade; biogeochemial processes; submesoscale; mesoscale</t>
  </si>
  <si>
    <t>SUBMESOSCALE PROCESSES; SURFACE-WATER; PHYTOPLANKTON; MESOSCALE; PHYSICS; TRANSITION; CLIMATE; MOTIONS; BIOMASS; IMPACT</t>
  </si>
  <si>
    <t>Conceived as a major new tool for climate studies, the Surface Water and Ocean Topography (SWOT) satellite mission will launch in late 2021 and will retrieve the dynamics of the oceans upper layer at an unprecedented resolution of a few kilometers. During the calibration and validation (CalVal) phase in 2022, the satellite will be in a 1-day-repeat fast sampling orbit with enhanced temporal resolution, sacrificing the spatial coverage. This is an ideal opportunity - unique for many years to come - to coordinate in situ experiments during the same period for a focused study of fine scale dynamics and their broader roles in the Earth system. Key questions to be addressed include the role of fine scales on the ocean energy budget, the connection between their surface and internal dynamics, their impact on plankton diversity, and their biophysical dynamics at the ice margin.</t>
  </si>
  <si>
    <t>[d'Ovidio, Francesco] Sorbonne Univ, Lab Oeanog &amp; Climat Expt &amp; Approches Numer LOCEAN, MNHN, CNRS,IRD, Paris, France; [Pascual, Ananda] IMEDEA CSIC UIB, Inst Mediterraneo Estudios Avanzados, Esporles, Spain; [Wang, Jinbo; Fu, Lee] CALTECH, Jet Prop Lab, Pasadena, CA USA; [Doglioli, Andrea M.; Gregori, Gerald] Aix Marseille Univ, Univ Toulon, CNRS, IRD,MIO UM 110, Marseille, France; [Jing, Zhao] Ocean Univ China, Pilot Natl Lab Marine Sci &amp; Technol, Qingdao, Shandong, Peoples R China; [Moreau, Sebastien] Norwegian Polar Res Inst, Tromso, Norway; [Swart, Sebastiaan] Univ Gothenburg, Dept Marine Sci, Gothenburg, Sweden; [Swart, Sebastiaan] Univ Cape Town, Dept Oceanog, Rondebosch, South Africa; [Speich, Sabrina] Ecole Polytech, UMR 8539, Lab Meteorol Dynam, ENS,CNRS, Paris, France; [Cyr, Frederic] Fisheries &amp; Oceans Canada, Northwest Atlantic Fisheries Ctr, St John, NF, Canada; [Legresy, Benoit] CSIRO Oceans &amp; Atmosphere, Antarctic Climate &amp; Ecosyst Cooperat Res Ctr, Hobart, Tas, Australia; [Chao, Yi] Remote Sensing Solut Inc, Monrovia, CA USA; [Morrow, Rosemary Anne] Univ Toulouse 3, Lab Etud Geophys &amp; Oceanog Spatiale, CNRS CNES IRD, Toulouse, France</t>
  </si>
  <si>
    <t>Institut de Recherche pour le Developpement (IRD); Centre National de la Recherche Scientifique (CNRS); Sorbonne Universite; Museum National d'Histoire Naturelle (MNHN); Consejo Superior de Investigaciones Cientificas (CSIC); ATTITUS Educacao; Universitat de les Illes Balears; California Institute of Technology; National Aeronautics &amp; Space Administration (NASA); NASA Jet Propulsion Laboratory (JPL); Institut de Recherche pour le Developpement (IRD); Aix-Marseille Universite; Centre National de la Recherche Scientifique (CNRS); Laoshan Laboratory; Ocean University of China; Norwegian Polar Institute; University of Gothenburg; University of Cape Town; Sorbonne Universite; Universite PSL; Ecole Normale Superieure (ENS); Centre National de la Recherche Scientifique (CNRS); CNRS - National Institute for Earth Sciences &amp; Astronomy (INSU); Fisheries &amp; Oceans Canada; Commonwealth Scientific &amp; Industrial Research Organisation (CSIRO); Antarctic Climate &amp; Ecosystems Cooperative Research Centre (ACE CRC); Universite de Toulouse; Universite Toulouse III - Paul Sabatier; Centre National de la Recherche Scientifique (CNRS); Institut de Recherche pour le Developpement (IRD); Laboratoire d'Etudes en Geophysique et oceanographie spatiales</t>
  </si>
  <si>
    <t>d'Ovidio, F (corresponding author), Sorbonne Univ, Lab Oeanog &amp; Climat Expt &amp; Approches Numer LOCEAN, MNHN, CNRS,IRD, Paris, France.</t>
  </si>
  <si>
    <t>francesco.dovidio@locean-ipsl.upmc.fr</t>
  </si>
  <si>
    <t>Wang, Jinbo/H-1174-2015; Grégori, Gérald J/HJA-3378-2022; Speich, Sabrina/L-3780-2014; d'Ovidio, Francesco/ABA-8461-2021; Pascual, Ananda/H-8214-2013; Swart, Sebastiaan/U-5498-2017; legresy, benoit/K-6673-2018</t>
  </si>
  <si>
    <t>Wang, Jinbo/0000-0001-5034-5566; Grégori, Gérald J/0000-0003-1645-9468; Speich, Sabrina/0000-0002-5452-8287; Pascual, Ananda/0000-0001-9476-9272; Doglioli, Andrea/0000-0003-1309-9954; Swart, Sebastiaan/0000-0002-2251-8826; Moreau, Sebastien/0000-0001-9446-812X; d'Ovidio, Francesco/0000-0002-9664-7778; Cyr, Frederic/0000-0002-1581-7502; legresy, benoit/0000-0002-1909-1630</t>
  </si>
  <si>
    <t>Spanish Research Agency; European Regional Development Fund [CTM2016-78607-P/PRE-SWOT]; SWOT mission; Delegation Generale de l'Armement through the Programme d'Etudes Amont Protevs II the 2018 PROTEVS-BIOSWOT campaign</t>
  </si>
  <si>
    <t>Spanish Research Agency(Spanish Government); European Regional Development Fund(European Union (EU)); SWOT mission; Delegation Generale de l'Armement through the Programme d'Etudes Amont Protevs II the 2018 PROTEVS-BIOSWOT campaign</t>
  </si>
  <si>
    <t>AP acknowledges support from the Spanish Research Agency and the European Regional Development Fund (Award no. CTM2016-78607-P/PRE-SWOT). Part of the research for this paper was carried out at the Jet Propulsion Laboratory, California Institute of Technology, under a contract with the National Aeronautics and Space Administration. JW and L. L. Fu acknowledge the support from SWOT mission. We thank the Delegation Generale de l'Armement which funded through the  Programme d'Etudes Amont Protevs II the 2018 PROTEVS-BIOSWOT campaign (PI Franck Dumas from the Service hydrographique et oceanographique de la Marine) and makes a fruitful collaboration with the SWOT Science Team possible.</t>
  </si>
  <si>
    <t>10.3389/fmars.2019.00168</t>
  </si>
  <si>
    <t>HW9LQ</t>
  </si>
  <si>
    <t>Green Published, gold</t>
  </si>
  <si>
    <t>WOS:000467012700001</t>
  </si>
  <si>
    <t>Jeltsch-Thömmes, A; Battaglia, G; Cartapanis, O; Jaccard, SL; Joos, F</t>
  </si>
  <si>
    <t>Jeltsch-Thommes, Aurich; Battaglia, Gianna; Cartapanis, Olivier; Jaccard, Samuel L.; Joos, Fortunat</t>
  </si>
  <si>
    <t>Low terrestrial carbon storage at the Last Glacial Maximum: constraints from multi-proxy data</t>
  </si>
  <si>
    <t>CLIMATE OF THE PAST</t>
  </si>
  <si>
    <t>DISSOLVED ORGANIC-CARBON; DEEP SOUTHERN-OCEAN; ANTARCTIC SEA-ICE; ATMOSPHERIC CO2; ISOTOPE CONSTRAINTS; IRON FERTILIZATION; CALCIUM-CARBONATE; CYCLE CHANGES; WIND-SPEED; CLIMATE</t>
  </si>
  <si>
    <t>Past changes in the inventory of carbon stored in vegetation and soils remain uncertain. Earlier studies inferred the increase in the land carbon inventory (Delta land) between the Last Glacial Maximum (LGM) and the preindustrial period (PI) based on marine and atmospheric stable carbon isotope reconstructions, with recent estimates yielding 300-400 GtC. Surprisingly, however, earlier studies considered a mass balance for the ocean-atmosphere-land biosphere system only. Notably, these studies neglect carbon exchange with marine sediments, weathering-burial flux imbalances, and the influence of the transient deglacial reorganization on the isotopic budgets. We show this simplification to significantly reduce Delta land in simulations using the Bern3D Earth System Model of Intermediate Complexity v.2.0s. We constrain Delta land to similar to 850 GtC (median estimate; 450 to 1250 GtC +/- 1SD) by using reconstructed changes in atmospheric delta C-13, marine delta C-13, deep Pacific carbonate ion concentration, and atmospheric CO2 as observational targets in a Monte Carlo ensemble with half a million members. It is highly unlikely that the land carbon inventory was larger at LGM than PI. Sensitivities of the target variables to changes in individual deglacial carbon cycle processes are established from transient factorial simulations with the Bern3D model. These are used in the Monte Carlo ensemble and provide forcing-response relationships for future model-model and model-data comparisons. Our study demonstrates the importance of ocean-sediment interactions and burial as well as weathering fluxes involving marine organic matter to explain deglacial change and suggests a major upward revision of earlier isotope-based estimates of Delta land.</t>
  </si>
  <si>
    <t>[Jeltsch-Thommes, Aurich; Battaglia, Gianna; Joos, Fortunat] Univ Bern, Inst Phys, Climate &amp; Environm Phys, Bern, Switzerland; [Jeltsch-Thommes, Aurich; Battaglia, Gianna; Cartapanis, Olivier; Jaccard, Samuel L.; Joos, Fortunat] Univ Bern, Oeschger Ctr Climate Change Res, Bern, Switzerland; [Cartapanis, Olivier; Jaccard, Samuel L.] Univ Bern, Inst Geol Sci, Bern, Switzerland</t>
  </si>
  <si>
    <t>University of Bern; University of Bern; University of Bern</t>
  </si>
  <si>
    <t>Jeltsch-Thömmes, A (corresponding author), Univ Bern, Inst Phys, Climate &amp; Environm Phys, Bern, Switzerland.;Jeltsch-Thömmes, A (corresponding author), Univ Bern, Oeschger Ctr Climate Change Res, Bern, Switzerland.</t>
  </si>
  <si>
    <t>jeltsch@climate.unibe.ch</t>
  </si>
  <si>
    <t>Cartapanis, Olivier/AAM-9779-2021; Joos, Fortunat/B-4118-2018; Jaccard, Samuel/G-3447-2014</t>
  </si>
  <si>
    <t>Cartapanis, Olivier/0000-0001-8542-6884; Joos, Fortunat/0000-0002-9483-6030; Jeltsch-Thommes, Aurich/0000-0002-2050-1975; Jaccard, Samuel/0000-0002-5793-0896</t>
  </si>
  <si>
    <t>Oeschger Centre for Climate Change Research; Swiss National Science Foundation [200020-172476, PP00P2-144811, PP00P2-172915]</t>
  </si>
  <si>
    <t>Oeschger Centre for Climate Change Research; Swiss National Science Foundation(Swiss National Science Foundation (SNSF))</t>
  </si>
  <si>
    <t>Aurich Jeltsch-Thommes and Fortunat Joos acknowledge support by the Oeschger Centre for Climate Change Research and Gianna Battaglia and Fortunat Joos by the Swiss National Science Foundation (200020-172476). Olivier Cartapanis and Samuel L. Jaccard were funded by the Swiss National Science Foundation (grants PP00P2-144811 and PP00P2-172915).</t>
  </si>
  <si>
    <t>COPERNICUS GESELLSCHAFT MBH</t>
  </si>
  <si>
    <t>GOTTINGEN</t>
  </si>
  <si>
    <t>BAHNHOFSALLEE 1E, GOTTINGEN, 37081, GERMANY</t>
  </si>
  <si>
    <t>1814-9324</t>
  </si>
  <si>
    <t>1814-9332</t>
  </si>
  <si>
    <t>CLIM PAST</t>
  </si>
  <si>
    <t>Clim. Past.</t>
  </si>
  <si>
    <t>10.5194/cp-15-849-2019</t>
  </si>
  <si>
    <t>Geosciences, Multidisciplinary; Meteorology &amp; Atmospheric Sciences</t>
  </si>
  <si>
    <t>Geology; Meteorology &amp; Atmospheric Sciences</t>
  </si>
  <si>
    <t>HW3OA</t>
  </si>
  <si>
    <t>Green Submitted, Green Published, gold</t>
  </si>
  <si>
    <t>WOS:000466601300001</t>
  </si>
  <si>
    <t>Picazo, A; Rochera, C; Villaescusa, JA; Miralles-Lorenzo, J; Velázquez, D; Quesada, A; Camacho, A</t>
  </si>
  <si>
    <t>Picazo, Antonio; Rochera, Carlos; Antonio Villaescusa, Juan; Miralles-Lorenzo, Javier; Velazquez, David; Quesada, Antonio; Camacho, Antonio</t>
  </si>
  <si>
    <t>Bacterioplankton Community Composition Along Environmental Gradients in Lakes From Byers Peninsula (Maritime Antarctica) as Determined by Next-Generation Sequencing</t>
  </si>
  <si>
    <t>FRONTIERS IN MICROBIOLOGY</t>
  </si>
  <si>
    <t>next-generation sequencing; Byers Peninsula; bacterioplankton; Maritime Antarctic lakes; environmental gradients</t>
  </si>
  <si>
    <t>LIVINGSTON ISLAND; VERTICAL STRUCTURE; DIVERSITY; ASSEMBLAGES; BACTERIA</t>
  </si>
  <si>
    <t>This study comprises the first attempt to describe the planktonic bacterial communities of lakes from Byers Peninsula, one of the most significant limnological districts in the Maritime Antarctica, leveraging next-generation sequencing (NGS) technologies. For the survey, we selected 7 lakes covering the environmental gradient from inland to coastal lakes, some of them sampled both in surface and deep waters. Analysis provided just over 85,000 high quality sequences that were clustered into 864 unique Zero-radius Operational Taxonomic Units (ZOTUs) (i.e., 100% sequence similarity). Yet, several taxonomic uncertainties remained in the analysis likely suggesting the occurrence of local bacterial adaptations. The survey showed the dominance of the phyla Proteobacteria and Bacteroidetes. Among the former, the Gammaproteobacteria class, more specifically the order Betaproteobacteriales, was the dominant group, which seems to be a common trend in nutrient-limited Antarctic lakes. Most of the families and genera ubiquitously detected belonging to this class are indeed typical from ultra-oligotrophic environments, and commonly described as diazotrophs. On the other hand, among the members of the phylum Bacteroidetes, genera such as Flavobacterium were abundant in some of the shallowest lakes, thus demonstrating that also benthic and sediment-associated bacteria contributed to water bacterial assemblages. Ordination analyses sorted bacterial assemblages mainly based on the environmental gradients of nutrient availability and conductivity i.e., salinity. However, transient bacterial associations, that included the groups Clostridiaceae and Chloroflexi, also occurred as being forced by other drivers such as the influence of the nearby fauna and by the airborne microorganisms. As we intended, our NGS-based approach has provided a much greater resolution compared to the previous studies conducted in the area and confirmed to a large extent the previously obtained patterns, thus reinforcing the view of Byers as a hotspot of microbial biodiversity within Antarctica. This high microbial diversity allows the use of these aquatic ecosystems and their bacterial assemblages as sentinels for the monitoring of adaptive responses to climate change in this rapidly warming area.</t>
  </si>
  <si>
    <t>[Picazo, Antonio; Rochera, Carlos; Antonio Villaescusa, Juan; Miralles-Lorenzo, Javier; Camacho, Antonio] Univ Valencia, Cavanilles Inst Biodivers &amp; Evolutionary Biol, Valencia, Spain; [Velazquez, David; Quesada, Antonio] Univ Autonoma Madrid, Dept Biol, Fac Ciencias, Madrid, Spain</t>
  </si>
  <si>
    <t>University of Valencia; Autonomous University of Madrid</t>
  </si>
  <si>
    <t>Camacho, A (corresponding author), Univ Valencia, Cavanilles Inst Biodivers &amp; Evolutionary Biol, Valencia, Spain.</t>
  </si>
  <si>
    <t>antonio.camacho@uv.es</t>
  </si>
  <si>
    <t>Rochera, Carlos/M-2932-2014; Mozo, Antonio Picazo/AAE-3707-2020; Miralles-Lorenzo, Javier/AAB-4584-2019; Camacho, Antonio/I-3417-2015; Quesada, Antonio/L-2430-2013; Velazquez, David/M-2309-2017</t>
  </si>
  <si>
    <t>Rochera, Carlos/0000-0002-8294-4755; Mozo, Antonio Picazo/0000-0002-7572-9686; Miralles-Lorenzo, Javier/0000-0002-1690-9978; Camacho, Antonio/0000-0003-0841-2010; Quesada, Antonio/0000-0002-8913-5993; Velazquez, David/0000-0002-4127-8370</t>
  </si>
  <si>
    <t>Spanish Ministry of Education and Science [CGL2005-06549-C02-02/ANT, CTM2016-79741-R]; European FEDER funds, a way to make Europe</t>
  </si>
  <si>
    <t>Spanish Ministry of Education and Science(Spanish Government); European FEDER funds, a way to make Europe</t>
  </si>
  <si>
    <t>This study was supported by grants CGL2005-06549-C02-02/ANT to AC and CTM2016-79741-R to AQ, both funded by the Spanish Ministry of Education and Science, by European FEDER funds, a way to make Europe.</t>
  </si>
  <si>
    <t>1664-302X</t>
  </si>
  <si>
    <t>FRONT MICROBIOL</t>
  </si>
  <si>
    <t>Front. Microbiol.</t>
  </si>
  <si>
    <t>10.3389/fmicb.2019.00908</t>
  </si>
  <si>
    <t>Microbiology</t>
  </si>
  <si>
    <t>HW1RM</t>
  </si>
  <si>
    <t>WOS:000466460000001</t>
  </si>
  <si>
    <t>Stap, LB; Sutter, J; Knorr, G; Stärz, M; Lohmann, G</t>
  </si>
  <si>
    <t>Stap, L. B.; Sutter, J.; Knorr, G.; Staerz, M.; Lohmann, G.</t>
  </si>
  <si>
    <t>Transient Variability of the Miocene Antarctic Ice Sheet Smaller Than Differences</t>
  </si>
  <si>
    <t>GEOPHYSICAL RESEARCH LETTERS</t>
  </si>
  <si>
    <t>BASAL MELT RATES; CLIMATE; MODEL; SHELF; SENSITIVITY; MIDDLE; TOPOGRAPHY; INSOLATION; EVOLUTION; SURFACE</t>
  </si>
  <si>
    <t>During the early to mid-Miocene, benthic delta O-18 records indicate large ice volume fluctuations of the Antarctic ice sheet (AIS) on multiple timescales. Hitherto, research has mainly focused on how CO2 and insolation changes control an equilibrated AIS. However, transient AIS dynamics remain largely unexplored. Here, we study Miocene AIS variability, using an ice sheet-shelf model forced by climate model output with various CO2 levels and orbital conditions. Besides equilibrium simulations, we conduct transient experiments, gradually changing the forcing climate state over time. We show that transient AIS variability is substantially smaller than equilibrium differences. This reduces the contribution of the AIS to delta O-18 fluctuations by more than two thirds on a 40-kyr timescale, hence requiring a larger contribution by deep-sea-temperature variability. The growth rates are much slower than the decay rates, which ensures variability around a preferred small state. Finally, if the bedrock topography enlarges the West Antarctic land surface, AIS self-sustenance increases.</t>
  </si>
  <si>
    <t>[Stap, L. B.; Sutter, J.; Knorr, G.; Staerz, M.; Lohmann, G.] Helmholtz Zentrum Polar &amp; Meeresforsch, Alfred Wegener Inst, Bremerhaven, Germany; [Sutter, J.] Univ Bern, Climate &amp; Environm Phys, Phys Inst, Bern, Switzerland; [Sutter, J.] Univ Bern, Oeschger Ctr Climate Change Res, Bern, Switzerland</t>
  </si>
  <si>
    <t>Helmholtz Association; Alfred Wegener Institute, Helmholtz Centre for Polar &amp; Marine Research; University of Bern; University of Bern</t>
  </si>
  <si>
    <t>Stap, LB (corresponding author), Helmholtz Zentrum Polar &amp; Meeresforsch, Alfred Wegener Inst, Bremerhaven, Germany.</t>
  </si>
  <si>
    <t>lennert.stap@awi.de</t>
  </si>
  <si>
    <t>; Lohmann, Gerrit/M-7453-2016</t>
  </si>
  <si>
    <t>Sutter, Johannes/0000-0002-3357-2633; Stap, Lennert/0000-0002-2108-3533; Lohmann, Gerrit/0000-0003-2089-733X; Starz, Michael/0000-0003-0236-5305; Knorr, Gregor/0000-0002-8317-5046</t>
  </si>
  <si>
    <t>0094-8276</t>
  </si>
  <si>
    <t>1944-8007</t>
  </si>
  <si>
    <t>GEOPHYS RES LETT</t>
  </si>
  <si>
    <t>Geophys. Res. Lett.</t>
  </si>
  <si>
    <t>APR 28</t>
  </si>
  <si>
    <t>10.1029/2019GL082163</t>
  </si>
  <si>
    <t>Geosciences, Multidisciplinary</t>
  </si>
  <si>
    <t>Geology</t>
  </si>
  <si>
    <t>HY2KI</t>
  </si>
  <si>
    <t>Green Published</t>
  </si>
  <si>
    <t>WOS:000467949200025</t>
  </si>
  <si>
    <t>Holmes, CR; Holland, PR; Bracegirdle, TJ</t>
  </si>
  <si>
    <t>Holmes, C. R.; Holland, P. R.; Bracegirdle, T. J.</t>
  </si>
  <si>
    <t>Compensating Biases and a Noteworthy Success in the CMIP5 Representation of Antarctic Sea Ice Processes</t>
  </si>
  <si>
    <t>MODELS; CIRCULATION; IMPACT; EXTENT</t>
  </si>
  <si>
    <t>Coupled Model Intercomparison Project phase 5 (CMIP5) climate models simulate a wide range of historical sea ice areas. Even models with areas close to observed values may contain compensating errors, affecting reliability of their projections. This study focuses on the seasonal cycle of sea ice, including analysis of model concentration budgets. Many models have insufficient autumn ice growth, leading to large winter biases. A subset of models accurately represent sea ice evolution year-round. However, comparing their winter ice concentration budget to observations reveals a range of behaviors. At least one model has an accurate ice budget, which is only possible due to realistic ice drifts. The CMIP5 generation of model physics and resolution is therefore structurally capable of accurately representing processes in Antarctic sea ice. This implies that substantially improved projections of Antarctic dense ocean water formation and ice sheet melting are possible with appropriate subsetting of existing climate models. Plain Language Summary Antarctic sea ice simulated by numerical climate models generally exhibits large differences compared to satellite-based estimates. Therefore, attempts to use these models to understand how Antarctic sea ice-and as a result Antarctic climate, sea level rise, and ocean circulation-will change in the future are severely compromised. This study looks beyond standard measures of sea ice such as the area of ocean covered by ice. Instead, we calculate how much of the change in sea ice over the course of a year is caused by local melting and freezing on the one hand and ice transport (for example by winds and ocean currents) on the other. Of an already small number of models which do show a realistic amount of sea ice, we identify that some do so for the wrong reasons. However, there is one model using established model components which shows realistic behavior. This model is able to match observations of sea ice drift. This demonstrates that the existing climate models are capable of representing Antarctic sea ice without further increases in sophistication. Focusing on such models for climate projections may improve the reliability of projections of the future.</t>
  </si>
  <si>
    <t>[Holmes, C. R.; Holland, P. R.; Bracegirdle, T. J.] British Antarctic Survey, Cambridge, England</t>
  </si>
  <si>
    <t>UK Research &amp; Innovation (UKRI); Natural Environment Research Council (NERC); NERC British Antarctic Survey</t>
  </si>
  <si>
    <t>Holmes, CR (corresponding author), British Antarctic Survey, Cambridge, England.</t>
  </si>
  <si>
    <t>calmes@bas.ac.uk</t>
  </si>
  <si>
    <t>Bracegirdle, Tom/AAD-6060-2020; Holland, Paul R/G-2796-2012</t>
  </si>
  <si>
    <t>Bracegirdle, Thomas/0000-0002-8868-4739; Holmes, Caroline/0000-0002-3134-555X</t>
  </si>
  <si>
    <t>Natural Environment Research Council as part of the British Antarctic Survey Polar Science for Planet Earth Programme; Natural Environment Research Council [NE/N01829X/1]; NERC [NE/N01829X/1, bas0100032, bas0100033] Funding Source: UKRI</t>
  </si>
  <si>
    <t>Natural Environment Research Council as part of the British Antarctic Survey Polar Science for Planet Earth Programme; Natural Environment Research Council(UK Research &amp; Innovation (UKRI)Natural Environment Research Council (NERC)); NERC(UK Research &amp; Innovation (UKRI)Natural Environment Research Council (NERC))</t>
  </si>
  <si>
    <t>The World Climate Research Programme's Working Group on Coupled Modelling, which is responsible for CMIP, and the climate modeling groups (supporting information Table S1) are thanked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original CMIP5 data can be accessed through the ESGF data portals (see http://pcmdi-cmip.llnl.gov/cmip5/availability.html).ECMWF is thanked for providing the ERA-Interim data set. The budgets based on satellite observations are available at the website (https://data.bas.ac.uk/).The authors were funded by the Natural Environment Research Council as part of the British Antarctic Survey Polar Science for Planet Earth Programme and grant NE/N01829X/1.</t>
  </si>
  <si>
    <t>10.1029/2018GL081796</t>
  </si>
  <si>
    <t>hybrid, Green Accepted</t>
  </si>
  <si>
    <t>WOS:000467949200026</t>
  </si>
  <si>
    <t>Jena, B; Ravichandran, M; Turner, J</t>
  </si>
  <si>
    <t>Jena, B.; Ravichandran, M.; Turner, J.</t>
  </si>
  <si>
    <t>Recent Reoccurrence of Large Open-Ocean Polynya on the Maud Rise Seamount</t>
  </si>
  <si>
    <t>ANTARCTIC SEA-ICE; WEDDELL POLYNYA; SOUTHERN-OCEAN; SCATTEROMETER; VARIABILITY; TRENDS; MODEL</t>
  </si>
  <si>
    <t>Satellite observations have shown that the largest and most prolonged Maud Rise open-ocean polynya since the 1970s appeared on 14 September 2017 (similar to 9.3 x 10(3) km(2)) within the seasonal sea-ice cover which expanded maximum on 1 December 2017 (similar to 298.1 x 10(3) km(2)) and existed for 79 days. Record negative anomalies of sea-ice concentration were observed in and around the polynya. The occurrence of the polynya was associated with a large cyclonic eddy and negative wind stress curl that facilitated melting of sea-ice. Concurrently, a region of positive sea level pressure anomalies extended over the entire northern Weddell Sea accompanied by record low negative anomalies (deep depressions) over the southwest Weddell Sea and the Maud Rise. The atmospheric circulation anomalies advected moist-warm air from the midlatitudes, resulted a record atmospheric warming (similar to 11.5 degrees C) in the Maud Rise that favored this rare event as one of the largest open-ocean polynyas. Plain Language Summary The polynya plays an important role in the Earth's climate system by modulating the albedo, air-sea exchange of heat, fresh water, carbon, and ocean-atmospheric circulation. The occurrence of such feature is critical for assessing the role of high latitude ocean-atmospheric dynamics in the global climate and also for the Antarctic marine ecosystem. Satellite observations show that a large and most prolonged Maud Rise polynya (Lazarev Sea) reappeared on 14 September 2017 for the first time since its frequent appearance during the 1970s. On 14 September 2017, the areal extent of the polynya was similar to 9.3 x 10(3) km(2) which expanded maximum on 1 December 2017 up to similar to 298.1 x 10(3) km(2), lasting for 79 days. The formation of the polynya was due to the combined influence of the (i) existence of the geological feature such as a seamount (leads to local upliftment of thermocline), (ii) upwelling of warm water into the upper ocean from the thermocline (induced by a large cyclonic ocean eddy and negative wind stress curl), and (iii) the large-scale anomalous atmospheric warming.</t>
  </si>
  <si>
    <t>[Jena, B.; Ravichandran, M.] Govt India, Minist Earth Sci, ESSO Natl Ctr Polar &amp; Ocean Res, Vasco Da Gama, India; [Turner, J.] NERC, British Antarctic Survey, Cambridge, England</t>
  </si>
  <si>
    <t>Ministry of Earth Sciences (MoES) - India; National Centre for Polar and Ocean Research (NCPOR); UK Research &amp; Innovation (UKRI); Natural Environment Research Council (NERC); NERC British Antarctic Survey</t>
  </si>
  <si>
    <t>Jena, B (corresponding author), Govt India, Minist Earth Sci, ESSO Natl Ctr Polar &amp; Ocean Res, Vasco Da Gama, India.</t>
  </si>
  <si>
    <t>bjena@ncaor.gov.in</t>
  </si>
  <si>
    <t>Turner, John/0000-0002-6111-5122; Ravichandran, Muthalagu/0000-0002-4602-0731</t>
  </si>
  <si>
    <t>National Science Foundation, Division of Polar Programs [NSF PLR -1425989]; International Argo Program; NOAA programs; NERC [bas0100032] Funding Source: UKRI</t>
  </si>
  <si>
    <t>National Science Foundation, Division of Polar Programs(National Science Foundation (NSF)); International Argo Program; NOAA programs(National Oceanic Atmospheric Admin (NOAA) - USA); NERC(UK Research &amp; Innovation (UKRI)Natural Environment Research Council (NERC))</t>
  </si>
  <si>
    <t>Authors are thankful to A. J. Luis and M. Thamban of NCAOR for their encouragement and support. The authors greatly acknowledge various organizations such as National Snow and Ice Data Center (NSIDC), National Oceanic and Atmospheric Administration (NOAA), European Centre for Medium Range Weather Forecast (ECMWF), National Aeronautics and Space Administration (NASA), Asia-Pacific Data Research Center (APDRC), European Organization for the Exploitation of Meteorological Satellites (EUMETSAT), Copernicus Marine Environment Monitoring Service (CMEMS), and their data processing teams for making various data sets available in their portals. Argo data were available from the Southern Ocean Carbon and Climate Observations and Modeling (SOCCOM) Project funded by the National Science Foundation, Division of Polar Programs (NSF PLR -1425989), supplemented by NASA, and by the International Argo Program and the NOAA programs (http://www.argo.ucsd.edu, http://argo.jcommops.org). The authors would like to thank the anonymous reviewers for their insightful comments and suggestions that have contributed to improve this article. This is NCPOR contribution number 92/2018</t>
  </si>
  <si>
    <t>10.1029/2018GL081482</t>
  </si>
  <si>
    <t>WOS:000467949200028</t>
  </si>
  <si>
    <t>Doddridge, EW; Marshall, J; Song, H; Campin, JM; Kelley, M; Nazarenko, L</t>
  </si>
  <si>
    <t>Doddridge, Edward W.; Marshall, John; Song, Hajoon; Campin, Jean-Michel; Kelley, Maxwell; Nazarenko, Larissa</t>
  </si>
  <si>
    <t>Eddy Compensation Dampens Southern Ocean Sea Surface Temperature Response to Westerly Wind Trends</t>
  </si>
  <si>
    <t>MERIDIONAL OVERTURNING CIRCULATION; STRATOSPHERIC OZONE; TRANSIENT-RESPONSE; FINITE-VOLUME; ANNULAR MODE; ICE RESPONSE; EDDIES; CHEMISTRY; REPRESENTATION; CONFIGURATION</t>
  </si>
  <si>
    <t>Anthropogenic influences have led to a strengthening and poleward shift of westerly winds over the Southern Ocean, especially during austral summer. We use observations, an idealized eddy-resolving ocean sea ice channel model, and a global coupled model to explore the Southern Ocean response to a step change in westerly winds. Previous work hypothesized a two time scale response for sea surface temperature. Initially, Ekman transport cools the surface before sustained upwelling causes warming on decadal time scales. The fast response is robust across our models and the observations: We find Ekman-driven cooling in the mixed layer, mixing-driven warming below the mixed layer, and a small upwelling-driven warming at the temperature inversion. The long-term response is inaccessible from observations. Neither of our models shows a persistent upwelling anomaly, or long-term, upwelling-driven subsurface warming. Mesoscale eddies act to oppose the anomalous wind-driven upwelling, through a process known as eddy compensation, thereby preventing long-term warming.</t>
  </si>
  <si>
    <t>[Doddridge, Edward W.; Marshall, John; Campin, Jean-Michel] MIT, Earth Atmospher &amp; Planetary Sci, 77 Massachusetts Ave, Cambridge, MA 02139 USA; [Song, Hajoon] Yonsei Univ, Dept Atmospher Sci, Seoul, South Korea; [Kelley, Maxwell; Nazarenko, Larissa] NASA, Goddard Inst Space Studies, New York, NY 10025 USA</t>
  </si>
  <si>
    <t>Massachusetts Institute of Technology (MIT); Yonsei University; National Aeronautics &amp; Space Administration (NASA); NASA Goddard Space Flight Center; Goddard Institute for Space Studies</t>
  </si>
  <si>
    <t>Doddridge, EW (corresponding author), MIT, Earth Atmospher &amp; Planetary Sci, 77 Massachusetts Ave, Cambridge, MA 02139 USA.</t>
  </si>
  <si>
    <t>ewd@mit.edu</t>
  </si>
  <si>
    <t>Doddridge, Edward/GRJ-6149-2022</t>
  </si>
  <si>
    <t>Doddridge, Edward/0000-0002-6097-5729</t>
  </si>
  <si>
    <t>NSF's FESD program; NSF Polar Antarctic Program; Yonsei University Future-leading Research Initiative [2018-22-0053]; NASA Modeling, Analysis, and Prediction program; U.S. National Science Foundation (NSF); NSF; Office of Science of the U.S. Department of Energy; MIT-GISS collaborative agreement</t>
  </si>
  <si>
    <t>NSF's FESD program; NSF Polar Antarctic Program; Yonsei University Future-leading Research Initiative; NASA Modeling, Analysis, and Prediction program(National Aeronautics &amp; Space Administration (NASA)); U.S. National Science Foundation (NSF)(National Science Foundation (NSF)); NSF(National Science Foundation (NSF)); Office of Science of the U.S. Department of Energy(United States Department of Energy (DOE)); MIT-GISS collaborative agreement</t>
  </si>
  <si>
    <t>E.W.D. acknowledges support from the NSF's FESD program. J.M. acknowledges support from the MIT-GISS collaborative agreement and the NSF Polar Antarctic Program. H.S. was supported (in part) by the Yonsei University Future-leading Research Initiative of 2018 (2018-22-0053). We gratefully acknowledge Hannah Zanowski, David Ferreira, and an anonymous reviewer for their insightful comments that substantially improved this manuscript. Climate modeling at NASA-GISS is supported by the NASA Modeling, Analysis, and Prediction program. Computational resources for the E2.1 simulations in this study were provided by the NASA High-End Computing Program through the NASA Center for Climate Simulation (NCCS) at Goddard Space Flight Center. We are grateful to Douglas Kinnison for assistance with the ozone perturbation for the GISS simulations. The National Center for Atmospheric Research (NCAR) is sponsored by the U.S. National Science Foundation (NSF). WACCM is a component of NCAR's Community Earth System Model (CESM), which is supported by the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Systems Laboratory (CISL). The WACCM model output and data used in this paper are listed in the references or available from the NCAR Earth System Grid. The numerical simulations presented in this study relied on numerous contributions to the literature that are detailed in the supporting information (Adcroft et al., 1997; Dee et al., 2011; Garcia et al., 2007, 2017; Gaspar et al., 1990; Gent &amp; Mcwilliams, 1990; Gent et al., 1995; Hunke &amp; Dukowicz, 1997; Kinnison et al., 2007; Kunz et al., 2011; Lamarque et al., 2012; Large &amp; Pond, 1982; Large &amp; Yeager, 2009; Large et al., 1994; Lin, 2004; Locarnini et al., 2013; Losch et al., 2010; Marsh et al., 2013; Marshall, Hill, et al., 1997, 1998, Marshall, Adcroft, et al., 1997; Morgenstern et al., 2017; Neale et al., 2013; Redi, 1982; Rienecker et al., 2011; Schmidt et al., 2014; Solomon et al., 2015; Tilmes et al., 2016; Visbeck et al., 1997; Winton, 2000; Zweng et al., 2013).</t>
  </si>
  <si>
    <t>10.1029/2019GL082758</t>
  </si>
  <si>
    <t>WOS:000467949200033</t>
  </si>
  <si>
    <t>Mtshali, TN; van Horsten, NR; Thomalla, SJ; Ryan-Keogh, TJ; Nicholson, SA; Roychoudhury, AN; Bucciarelli, E; Sarthou, G; Tagliabue, A; Monteiro, PMS</t>
  </si>
  <si>
    <t>Mtshali, T. N.; van Horsten, N. R.; Thomalla, S. J.; Ryan-Keogh, T. J.; Nicholson, S-A; Roychoudhury, A. N.; Bucciarelli, E.; Sarthou, G.; Tagliabue, A.; Monteiro, P. M. S.</t>
  </si>
  <si>
    <t>Seasonal Depletion of the Dissolved Iron Reservoirs in the Sub-Antarctic zone of the Southern Atlantic Ocean</t>
  </si>
  <si>
    <t>FERTILIZATION EXPERIMENT; MIXED-LAYER; PHYTOPLANKTON; INTERMEDIATE; SECTOR; CYCLE; REMINERALIZATION; DISTRIBUTIONS; VARIABILITY; LIMITATION</t>
  </si>
  <si>
    <t>Seasonal progression of dissolved iron (DFe) concentrations in the upper water column was examined during four occupations in the Atlantic sector of the Southern Ocean. DFe inventories from euphotic and aphotic reservoirs decreased progressively from July to February, while dissolved inorganic nitrogen decreased from July to January with no significant change between January and February. Results suggest that between July and January, DFe loss from both euphotic and aphotic reservoirs was predominantly in support of phytoplankton growth (iron-to-carbon uptake ratio of 16 +/- 3 mu mol/mol), highlighting the importance of the winter DFe reservoir for biological uptake. During January to February, excess loss of DFe relative to dissolved inorganic nitrogen (iron-to-carbon uptake ratio of 44 +/- 8 mu mol/mol and aphotic DFe loss rate of 0.34 +/- 0.06 mu mol.m(-2).day(-1)) suggests that scavenging is the dominant removal mechanism of DFe from the aphotic, while continued production is likely supported by recycled nutrients. Plain Language Summary Trace metal iron is one of the limiting nutrients for primary productivity in the Southern Ocean; however, the relative importance of seasonal iron supply and sinks remains poorly understood, due to sparse data coverage across the seasonal cycle and lack of high-resolution dissolved iron (DFe) measurements. Here we present four snapshots of DFe measurements at a single station in the southeast Southern Atlantic Ocean (one in winter and three in late spring-summer), to address the seasonal evolution of DFe and dissolved inorganic nitrogen (DIN) concentrations within the biologically active sunlit and subsurface reservoirs. We observed a seasonal depletion of DFe inventories from July to February, while DIN inventories decrease from July to January with no concomitant changes between January and February. This suggests that in addition to biological uptake in the sunlit layer, the observed decrease in DFe inventories below this (relative to DIN) is driven by aggregation and incorporation of iron particles into larger marine snow sinking particles, while nutrient recycling is driving the observed continuation of primary productivity during late summer. Our results provide insight into seasonal change of DFe availability in different reservoirs where interplay between removal and supply processes are controlling its distributions and bioavailability to support upper surface primary production.</t>
  </si>
  <si>
    <t>[Mtshali, T. N.; van Horsten, N. R.; Thomalla, S. J.; Ryan-Keogh, T. J.; Nicholson, S-A; Monteiro, P. M. S.] CSIR, Southern Ocean Laroon &amp; Climate Observ, Nat Resources &amp; Environm, Cape Town, South Africa; [van Horsten, N. R.; Roychoudhury, A. N.] Stellenbosch Univ, Dept Earth Sci, Stellenbosch, South Africa; [van Horsten, N. R.; Bucciarelli, E.; Sarthou, G.] Univ Brest, Lab Sci &amp; Environm Marin, Ifremer, CNRS,IRD, Plouzane, France; [Tagliabue, A.] Univ Liverpool, Dept Earth Ocean &amp; Ecol Sci, Sch Environm Sci, Liverpool, Merseyside, England</t>
  </si>
  <si>
    <t>Council for Scientific &amp; Industrial Research (CSIR) - South Africa; Stellenbosch University; Centre National de la Recherche Scientifique (CNRS); Ifremer; Institut de Recherche pour le Developpement (IRD); Universite de Bretagne Occidentale; University of Liverpool</t>
  </si>
  <si>
    <t>Mtshali, TN (corresponding author), CSIR, Southern Ocean Laroon &amp; Climate Observ, Nat Resources &amp; Environm, Cape Town, South Africa.</t>
  </si>
  <si>
    <t>tmtshali@csir.co.za</t>
  </si>
  <si>
    <t>Thomalla, Sandy/AAS-4133-2021; Monteiro, Pedro/D-4995-2009; Nicholson, Sarah-Anne/AAN-2655-2021; Ryan-Keogh, Thomas/AAS-3716-2021</t>
  </si>
  <si>
    <t>Nicholson, Sarah-Anne/0000-0002-1226-1828; Ryan-Keogh, Thomas/0000-0001-5144-171X; Monteiro, Pedro M. S./0000-0003-0425-0552; Tagliabue, Alessandro/0000-0002-3572-3634; Thomalla, Sandy/0000-0002-6802-520X; Sarthou, Geraldine/0000-0001-6560-6669; Roychoudhury, Alakendra/0000-0002-5627-8891; Van Horsten, Natasha/0000-0001-8892-8679</t>
  </si>
  <si>
    <t>CSIR's Southern Ocean Carbon and Climate Observatory (SOCCO) Programme - Department of Science and Technology; CSIR's Parliamentary Grant [SNA2011112600001]; NRF SANAP [SNA14073184298, SNA14070974732]; ICEMASA Mixed International Laboratory; LabexMer [ANR-10-LABX-19-01]</t>
  </si>
  <si>
    <t>CSIR's Southern Ocean Carbon and Climate Observatory (SOCCO) Programme - Department of Science and Technology; CSIR's Parliamentary Grant; NRF SANAP; ICEMASA Mixed International Laboratory; LabexMer</t>
  </si>
  <si>
    <t>We would like to thank the South African National Antarctic Programme (SANAP) and the captain, crew of the SA Agulhas II, and all the students who helped us collect samples and for their professional support throughout the cruises. We would also like to thank the Editor and two anonymous reviewers for constructive criticism. This was undertaken and supported through CSIR's Southern Ocean Carbon and Climate Observatory (SOCCO) Programme (http://socco.org.za/) funded by the Department of Science and Technology. This work was supported by CSIR's Parliamentary Grant funding (SNA2011112600001) and the NRF SANAP grants SNA14073184298 to T. N. M. and SNA14070974732 to A. N. R. N. R. v. H. was funded by ICEMASA Mixed International Laboratory and LabexMer (ANR-10-LABX-19-01) during her stay at LEMAR for the analyses of DFe samples. Data sets used to generate figures in the manuscript are available at ftp://anonymous@soccochpc.ac.za/Mtshali_etal_2019/.</t>
  </si>
  <si>
    <t>10.1029/2018GL081355</t>
  </si>
  <si>
    <t>WOS:000467949200035</t>
  </si>
  <si>
    <t>Fortes, AD</t>
  </si>
  <si>
    <t>Fortes, A. D.</t>
  </si>
  <si>
    <t>Structural manifestation of partial proton ordering and defect mobility in ice</t>
  </si>
  <si>
    <t>PHYSICAL CHEMISTRY CHEMICAL PHYSICS</t>
  </si>
  <si>
    <t>NEUTRON POWDER DIFFRACTION; GLASS-TRANSITION TEMPERATURE; DIELECTRIC-RELAXATION; PHASE-TRANSITION; ENTHALPY RELAXATION; ANTARCTIC ICE; DOPED ICE; SCATTERING; IH; DYNAMICS</t>
  </si>
  <si>
    <t>Water ice is one of the most fundamental and well-studied molecular solids, which continues to provide surprising and useful insights into its emergent complexity as ever more precise experimental techniques are applied. Using one of the highest resolution neutron powder diffraction instruments in the world, I report a small but systematic distribution in the c/a axial ratios of D2O ice Ih below 160 K that depends upon both the preparation method and the thermal history of the sample. The general decrease in c/a on cooling is interpreted as a consequence of short-range partial ordering in the hydrogen-atom substructure: the synthesis-dependent variation then follows from there being a spectrum of relaxation times between samples formed by slow natural freezing, samples formed by very rapid quench-freezing and samples formed with a small amount of alkali hydroxide dopant, probably due to differences in the relative abundance of orientational versus ionic point defects.</t>
  </si>
  <si>
    <t>[Fortes, A. D.] Rutherford Appleton Lab, ISIS Neutron &amp; Muon Spallat Source, Harwell Sci &amp; Innovat Campus, Chilton OX11 0QX, Oxon, England; [Fortes, A. D.] UCL, Dept Earth Sci, Gower St, London WC1E 6BT, England</t>
  </si>
  <si>
    <t>UK Research &amp; Innovation (UKRI); Science &amp; Technology Facilities Council (STFC); STFC Rutherford Appleton Laboratory; University of London; University College London</t>
  </si>
  <si>
    <t>Fortes, AD (corresponding author), Rutherford Appleton Lab, ISIS Neutron &amp; Muon Spallat Source, Harwell Sci &amp; Innovat Campus, Chilton OX11 0QX, Oxon, England.;Fortes, AD (corresponding author), UCL, Dept Earth Sci, Gower St, London WC1E 6BT, England.</t>
  </si>
  <si>
    <t>dominic.fortes@stfc.ac.uk</t>
  </si>
  <si>
    <t>Fortes, A Dominic/C-1349-2011</t>
  </si>
  <si>
    <t>Fortes, A Dominic/0000-0001-5907-2285</t>
  </si>
  <si>
    <t>ROYAL SOC CHEMISTRY</t>
  </si>
  <si>
    <t>CAMBRIDGE</t>
  </si>
  <si>
    <t>THOMAS GRAHAM HOUSE, SCIENCE PARK, MILTON RD, CAMBRIDGE CB4 0WF, CAMBS, ENGLAND</t>
  </si>
  <si>
    <t>1463-9076</t>
  </si>
  <si>
    <t>1463-9084</t>
  </si>
  <si>
    <t>PHYS CHEM CHEM PHYS</t>
  </si>
  <si>
    <t>Phys. Chem. Chem. Phys.</t>
  </si>
  <si>
    <t>10.1039/c9cp01234f</t>
  </si>
  <si>
    <t>Chemistry, Physical; Physics, Atomic, Molecular &amp; Chemical</t>
  </si>
  <si>
    <t>Chemistry; Physics</t>
  </si>
  <si>
    <t>HU9GR</t>
  </si>
  <si>
    <t>Green Accepted</t>
  </si>
  <si>
    <t>WOS:000465603200005</t>
  </si>
  <si>
    <t>Maestri, T; Arosio, C; Rizzi, R; Palchetti, L; Bianchini, G; Del Guasta, M</t>
  </si>
  <si>
    <t>Maestri, Tiziano; Arosio, Carlo; Rizzi, Rolando; Palchetti, Luca; Bianchini, Giovanni; Del Guasta, Massimo</t>
  </si>
  <si>
    <t>Antarctic Ice Cloud Identification and Properties Using Downwelling Spectral Radiance From 100 to 1,400 cm-1</t>
  </si>
  <si>
    <t>JOURNAL OF GEOPHYSICAL RESEARCH-ATMOSPHERES</t>
  </si>
  <si>
    <t>OPTICAL-PROPERTIES; RADIATIVE PROPERTIES; WATER-VAPOR; SOUTH-POLE; DOME-C; PLATEAU; LIDAR; PRECIPITATION; SCATTERING; RETRIEVAL</t>
  </si>
  <si>
    <t>One year (2013) of high spectral resolution measurements of downwelling radiance in the 100-1,400 cm(-1) range, taken by the Fourier Transform Spectrometer REFIR-PAD at the research station Concordia (Antarctic Plateau), is analyzed. Optically thin ice clouds are identified by means of a new identification/classification tool based on a Support Vector Machine algorithm. The use of transparent microwindow channels in the Far InfraRed (FIR) spectral region (100-667 cm(-1)) is shown to be of great importance in the identification and classification of cloud type. In particular, the channels between 380 and 575 cm(-1) are key channels for the clear/cloud and phase identification due to their sensitivity to cloud properties; in addition, FIR channels down to 238 cm(-1) are exploited for the selection of precipitating or nonprecipitating cases because of their sensitivity also to water vapor content. A subset of 26 cases of nonprecipitating ice clouds is selected based on the presence of colocated LIDAR and radiosonde data. REFIR-PAD channel in the 800-1,000 cm(-1) are used to derived optical and microphysical properties for four different assumptions concerning the crystal habits. Results, showing a correlation between cloud base temperature, optical depth, and particle size distribution effective dimensions, are compared with what found in literature. Based on the retrievals, forward simulations are also run over the whole sensor spectral interval, and results are compared to data. The simulation-data residuals in the FIR are evaluated for selected window channels and analyzed in relation to crystal's habit assumption, cloud retrieved features, and atmospheric water vapor content.</t>
  </si>
  <si>
    <t>[Maestri, Tiziano; Rizzi, Rolando] Univ Bologna, Dept Phys &amp; Astron, DIFA, Bologna, Italy; [Arosio, Carlo] Univ Bremen, IUP Inst Environm Phys, Bremen, Germany; [Palchetti, Luca; Bianchini, Giovanni; Del Guasta, Massimo] INO Natl Res Council, Natl Inst Opt, Sesto Fiorentino, Italy</t>
  </si>
  <si>
    <t>University of Bologna; University of Bremen; Consiglio Nazionale delle Ricerche (CNR); Istituto Nazionale di Ottica (INO-CNR)</t>
  </si>
  <si>
    <t>Maestri, T (corresponding author), Univ Bologna, Dept Phys &amp; Astron, DIFA, Bologna, Italy.</t>
  </si>
  <si>
    <t>tiziano.maestri@unibo.it</t>
  </si>
  <si>
    <t>Rizzi, Rolando/L-3556-2013; Maestri, Tiziano/JFK-9151-2023; Bianchini, Giovanni/ABD-3585-2020; PALCHETTI, LUCA/O-1270-2015</t>
  </si>
  <si>
    <t>Maestri, Tiziano/0000-0001-9582-5029; Bianchini, Giovanni/0000-0002-5400-7721; PALCHETTI, LUCA/0000-0003-4022-8125; RIZZI, ROLANDO/0000-0001-7792-7806</t>
  </si>
  <si>
    <t>Italian Space Agency, ASI; SCIEF project; ESA</t>
  </si>
  <si>
    <t>Italian Space Agency, ASI(Agenzia Spaziale Italiana (ASI)); SCIEF project; ESA(European Space Agency)</t>
  </si>
  <si>
    <t>The present work is in preparation of the FORUM mission, which has recently been selected by the European Space Agency (ESA) as one of the two candidates for the Earth Explorer 9 mission programme. The mission will undergo the industrial and scientific Phase-A study in 2018-2019. FORUM related studies are supported by projects of the Italian Space Agency, ASI, SCIEF project, and of the ESA. Data are available online (http://refir.ino.cnr.it/refir-pad-domeC). Data and information on radiosounding measurements were obtained from IPEV/PNRA Project Routine Meteorological Observation at Station Concordia (www.climantartide.it).</t>
  </si>
  <si>
    <t>2169-897X</t>
  </si>
  <si>
    <t>2169-8996</t>
  </si>
  <si>
    <t>J GEOPHYS RES-ATMOS</t>
  </si>
  <si>
    <t>J. Geophys. Res.-Atmos.</t>
  </si>
  <si>
    <t>APR 27</t>
  </si>
  <si>
    <t>10.1029/2018JD029205</t>
  </si>
  <si>
    <t>HZ7ZA</t>
  </si>
  <si>
    <t>WOS:000469071400028</t>
  </si>
  <si>
    <t>Yang, H; Waugh, DW; Orbe, C; Zeng, G; Morgenstern, O; Kinnison, DE; Lamarque, JF; Tilmes, S; Plummer, DA; Jöckel, P; Strahan, SE; Stone, KA; Schofield, R</t>
  </si>
  <si>
    <t>Yang, Huang; Waugh, Darryn W.; Orbe, Clara; Zeng, Guang; Morgenstern, Olaf; Kinnison, Douglas E.; Lamarque, Jean-Francois; Tilmes, Simone; Plummer, David A.; Joeckel, Patrick; Strahan, Susan E.; Stone, Kane A.; Schofield, Robyn</t>
  </si>
  <si>
    <t>Large-scale transport into the Arctic: the roles of the midlatitude jet and the Hadley Cell</t>
  </si>
  <si>
    <t>ATMOSPHERIC CHEMISTRY AND PHYSICS</t>
  </si>
  <si>
    <t>POLLUTION TRANSPORT; TROPOSPHERIC TRANSPORT; ATMOSPHERIC TRANSPORT; MOIST CONVECTION; AIR-POLLUTION; PARAMETERIZATION; AEROSOL; CIRCULATION; SENSITIVITY; VARIABILITY</t>
  </si>
  <si>
    <t>Transport from the Northern Hemisphere (NH) midlatitudes to the Arctic plays a crucial role in determining the abundance of trace gases and aerosols that are important to Arctic climate via impacts on radiation and chemistry. Here we examine this transport using an idealized tracer with a fixed lifetime and predominantly midlatitude land-based sources in models participating in the Chemistry Climate Model Initiative (CCMI). We show that there is a 25 %-45 % difference in the Arctic concentrations of this tracer among the models. This spread is correlated with the spread in the location of the Pacific jet, as well as the spread in the location of the Hadley Cell (HC) edge, which varies consistently with jet latitude. Our results suggest that it is likely that the HC-related zonal-mean meridional transport rather than the jet-related eddy mixing is the major contributor to the inter-model spread in the transport of land-based tracers into the Arctic. Specifically, in models with a more northern jet, the HC generally extends further north and the tracer source region is mostly covered by surface southward flow associated with the lower branch of the HC, resulting in less efficient transport poleward to the Arctic. During boreal summer, there are poleward biases in jet location in free-running models, and these models likely underestimate the rate of transport into the Arctic. Models using specified dynamics do not have biases in the jet location, but do have biases in the surface meridional flow, which may result in differences in transport into the Arctic. In addition to the landbased tracer, the midlatitude-to-Arctic transport is further examined by another idealized tracer with zonally uniform sources. With equal sources from both land and ocean, the inter-model spread of this zonally uniform tracer is more related to variations in parameterized convection over oceans rather than variations in HC extent, particularly during boreal winter. This suggests that transport of land-based and oceanic tracers or aerosols towards the Arctic differs in pathways and therefore their corresponding inter-model variabilities result from different physical processes.</t>
  </si>
  <si>
    <t>[Yang, Huang; Waugh, Darryn W.] Johns Hopkins Univ, Dept Earth &amp; Planetary Sci, Baltimore, MD 21218 USA; [Waugh, Darryn W.] Univ New South Wales, Sch Math, Sydney, NSW, Australia; [Orbe, Clara] NASA, Goddard Inst Space Studies, New York, NY 10025 USA; [Zeng, Guang; Morgenstern, Olaf] Natl Inst Water &amp; Atmospher Res, Wellington, New Zealand; [Kinnison, Douglas E.; Lamarque, Jean-Francois; Tilmes, Simone] Natl Ctr Atmospher Res, Atmospher Chem Observat &amp; Modeling ACOM Lab, POB 3000, Boulder, CO 80307 USA; [Plummer, David A.] Environm &amp; Climate Change Canada, Climate Res Branch, Montreal, PQ, Canada; [Joeckel, Patrick] Deutsch Zentrum Luft &amp; Raumfahrt DLR, Inst Phys Atmosphare, Oberpfaffenhofen, Germany; [Strahan, Susan E.] NASA, Atmospher Chem &amp; Dynam Lab, Goddard Space Flight Ctr, Greenbelt, MD USA; [Strahan, Susan E.] Univ Space Res Assoc, Columbia, MD USA; [Stone, Kane A.; Schofield, Robyn] Univ Melbourne, Sch Earth Sci, Melbourne, Vic 3010, Australia; [Stone, Kane A.; Schofield, Robyn] Univ New South Wales, ARC Ctr Excellence Climate Syst Sci, Sydney, NSW 2052, Australia; [Stone, Kane A.] MIT, Dept Earth Atmospher &amp; Planetary Sci, Cambridge, MA 02139 USA</t>
  </si>
  <si>
    <t>Johns Hopkins University; University of New South Wales Sydney; National Aeronautics &amp; Space Administration (NASA); NASA Goddard Space Flight Center; Goddard Institute for Space Studies; National Institute of Water &amp; Atmospheric Research (NIWA) - New Zealand; National Center Atmospheric Research (NCAR) - USA; Environment &amp; Climate Change Canada; Helmholtz Association; German Aerospace Centre (DLR); National Aeronautics &amp; Space Administration (NASA); NASA Goddard Space Flight Center; Universities Space Research Association (USRA); University of Melbourne; Melbourne Bioinformatics; ARC Centre of Excellence for Climate System Science; University of New South Wales Sydney; Massachusetts Institute of Technology (MIT)</t>
  </si>
  <si>
    <t>Yang, H (corresponding author), Johns Hopkins Univ, Dept Earth &amp; Planetary Sci, Baltimore, MD 21218 USA.</t>
  </si>
  <si>
    <t>hyang61@jhu.edu</t>
  </si>
  <si>
    <t>Jöckel, Patrick/C-3687-2009; Strahan, Susan E/H-1965-2012; Tilmes, Simone/JUV-6618-2023; Schofield, Robyn/A-4062-2010; Waugh, Darryn/K-3688-2016; Lamarque, Jean-Francois/L-2313-2014</t>
  </si>
  <si>
    <t>Jöckel, Patrick/0000-0002-8964-1394; Tilmes, Simone/0000-0002-6557-3569; Schofield, Robyn/0000-0002-4230-717X; Waugh, Darryn/0000-0001-7692-2798; Lamarque, Jean-Francois/0000-0002-4225-5074; Yang, Huang/0000-0002-5693-0392; Plummer, David/0000-0001-8087-3976; Zeng, Guang/0000-0002-9356-5021; Morgenstern, Olaf/0000-0002-9967-9740</t>
  </si>
  <si>
    <t>NASA Modeling, Analysis and Prediction (MAP) program; New Zealand government's Strategic Science Investment Fund (SSIF) through the NIWA program CACV; New Zealand Royal Society Marsden Fund [12-NIW-006]; Deep South National Science Challenge; NeS's collaborator institutions; Ministry of Business, Innovation and Employment's Research Infrastructure program; NSF [AGS-1403676]; NASA [NNX14AP58G]; Bundesministerium fur Bildung und Forschung (BMBF); Australian Research Council's Centre of Excellence for Climate System Science [CE110001028]; Australian government's National Computational Merit Allocation Scheme [q90]; Australian Antarctic science [FoRCES 4012]; NASA [675055, NNX14AP58G] Funding Source: Federal RePORTER</t>
  </si>
  <si>
    <t>NASA Modeling, Analysis and Prediction (MAP) program(National Aeronautics &amp; Space Administration (NASA)); New Zealand government's Strategic Science Investment Fund (SSIF) through the NIWA program CACV; New Zealand Royal Society Marsden Fund(Royal Society of New ZealandMarsden Fund (NZ)); Deep South National Science Challenge; NeS's collaborator institutions; Ministry of Business, Innovation and Employment's Research Infrastructure program(New Zealand Ministry of Business, Innovation and Employment (MBIE)); NSF(National Science Foundation (NSF)); NASA(National Aeronautics &amp; Space Administration (NASA)); Bundesministerium fur Bildung und Forschung (BMBF)(Federal Ministry of Education &amp; Research (BMBF)); Australian Research Council's Centre of Excellence for Climate System Science(Australian Research Council); Australian government's National Computational Merit Allocation Scheme(Australian Government); Australian Antarctic science; NASA(National Aeronautics &amp; Space Administration (NASA))</t>
  </si>
  <si>
    <t>We thank the Centre for Environmental Data Analysis (CEDA) for hosting the CCMI data archive. We acknowledge the modeling groups for making their simulations available for this analysis and the joint WCRP SPARC/IGAC Chemistry-Climate Model Initiative (CCMI) for organizing and coordinating this model data analysis activity. In addition, Clara Orbe would like to acknowledge the high-performance computing resources provided by the NASA Center for Climate Simulation (NCCS) and support from the NASA Modeling, Analysis and Prediction (MAP) program. Olaf Morgenstern and Guang Zeng acknowledge the UK Met Office for use of the MetUM. Their research was supported by the New Zealand government's Strategic Science Investment Fund (SSIF) through the NIWA program CACV. Olaf Morgenstern acknowledges funding by the New Zealand Royal Society Marsden Fund (grant 12-NIW-006) and by the Deep South National Science Challenge (http://www.deepsouthchallenge.co.nz, last access: 13 April 2019). Olaf Morgenstern and Guang Zeng also wish to acknowledge the contribution of the NeSI high-performance computing facilities to the results of this research. New Zealand's national facilities are provided by the New Zealand eScience Infrastructure (NeSI) and funded jointly by NeS's collaborator institutions and through the Ministry of Business, Innovation and Employment's Research Infrastructure program (https://www.nesi.org.nz, last access: 13 April 2019). Huang Yang and Darryn W. Waugh acknowledge support from NSF grant AGS-1403676. Darryn W. Waugh acknowledges NASA grant NNX14AP58G. Huang Yang thanks discussions with Luke D. Oman and the co-editor Peter Hess. The EMAC model simulations have been performed at the German Climate Computing Centre (DKRZ) through support from the Bundesministerium fur Bildung und Forschung (BMBF). DKRZ and its scientific steering committee are gratefully acknowledged for providing the HPC and data archiving resources for the consortial project ESCiMo (Earth System Chemistry integrated Modeling). Robyn Schofield and Kane A. Stone acknowledge support from the Australian Research Council's Centre of Excellence for Climate System Science (CE110001028), the Australian government's National Computational Merit Allocation Scheme (q90), and the Australian Antarctic science grant program (FoRCES 4012).</t>
  </si>
  <si>
    <t>1680-7316</t>
  </si>
  <si>
    <t>1680-7324</t>
  </si>
  <si>
    <t>ATMOS CHEM PHYS</t>
  </si>
  <si>
    <t>Atmos. Chem. Phys.</t>
  </si>
  <si>
    <t>APR 26</t>
  </si>
  <si>
    <t>10.5194/acp-19-5511-2019</t>
  </si>
  <si>
    <t>Environmental Sciences; Meteorology &amp; Atmospheric Sciences</t>
  </si>
  <si>
    <t>HV6SU</t>
  </si>
  <si>
    <t>Green Accepted, gold, Green Submitted</t>
  </si>
  <si>
    <t>WOS:000466113900002</t>
  </si>
  <si>
    <t>Erhardt, T; Capron, E; Rasmussen, SO; Schüpbach, S; Bigler, M; Adolphi, F; Fischer, H</t>
  </si>
  <si>
    <t>Erhardt, Tobias; Capron, Emilie; Rasmussen, Sune Olander; Schupbach, Simon; Bigler, Matthias; Adolphi, Florian; Fischer, Hubertus</t>
  </si>
  <si>
    <t>Decadal-scale progression of the onset of Dansgaard-Oeschger warming events</t>
  </si>
  <si>
    <t>ABRUPT CLIMATE-CHANGE; GREENLAND ICE-CORE; SEA-SALT AEROSOL; MERIDIONAL OVERTURNING CIRCULATION; GLACIAL CLIMATE; NORTH-ATLANTIC; MILLENNIAL CHANGES; OCEAN CIRCULATION; DUST; VARIABILITY</t>
  </si>
  <si>
    <t>During the last glacial period, proxy records throughout the Northern Hemisphere document a succession of rapid millennial-scale warming events, called Dansgaard-Oeschger (DO) events. A range of different mechanisms has been proposed that can produce similar warming in model experiments; however, the progression and ultimate trigger of the events are still unknown. Because of their fast nature, the progression is challenging to reconstruct from paleoclimate data due to the limited temporal resolution achievable in many archives and cross-dating uncertainties between records. Here, we use new high-resolution multi-proxy records of sea-salt (derived from sea spray and sea ice over the North Atlantic) and terrestrial (derived from the central Asian deserts) aerosol concentrations over the period 10-60 ka from the North Greenland Ice Core Project (NGRIP) and North Greenland Eemian Ice Drilling (NEEM) ice cores in conjunction with local precipitation and temperature proxies from the NGRIP ice core to investigate the progression of environmental changes at the onset of the warming events at annual to multi-annual resolution. Our results show on average a small lead of the changes in both local precipitation and terrestrial dust aerosol concentrations over the change in sea-salt aerosol concentrations and local temperature of approximately one decade. This suggests that, connected to the reinvigoration of the Atlantic meridional overturning circulation and the warming in the North Atlantic, both synoptic and hemispheric atmospheric circulation changes at the on-set of the DO warming, affecting both the moisture transport to Greenland and the Asian monsoon systems. Taken at face value, this suggests that a collapse of the sea-ice cover may not have been the initial trigger for the DO warming.</t>
  </si>
  <si>
    <t>[Erhardt, Tobias; Schupbach, Simon; Bigler, Matthias; Adolphi, Florian; Fischer, Hubertus] Univ Bern, Inst Phys, Climate &amp; Environm Phys, Sidlerstr 5, CH-3012 Bern, Switzerland; [Erhardt, Tobias; Schupbach, Simon; Bigler, Matthias; Adolphi, Florian; Fischer, Hubertus] Univ Bern, Oeschger Ctr Climate Change Res, Sidlerstr 5, CH-3012 Bern, Switzerland; [Capron, Emilie; Rasmussen, Sune Olander] Univ Copenhagen, Niels Bohr Inst, Phys Ice Climate &amp; Earth, Tagensvej 16, DK-2200 Copenhagen, Denmark; [Capron, Emilie] British Antarctic Survey, Madingley Rd, Cambridge CB3 0ET, England; [Adolphi, Florian] Lund Univ, Dept Geol, Quaternary Sci, Solvegatan 12, S-22362 Lund, Sweden</t>
  </si>
  <si>
    <t>University of Bern; University of Bern; University of Copenhagen; Niels Bohr Institute; UK Research &amp; Innovation (UKRI); Natural Environment Research Council (NERC); NERC British Antarctic Survey; Lund University</t>
  </si>
  <si>
    <t>Erhardt, T (corresponding author), Univ Bern, Inst Phys, Climate &amp; Environm Phys, Sidlerstr 5, CH-3012 Bern, Switzerland.;Erhardt, T (corresponding author), Univ Bern, Oeschger Ctr Climate Change Res, Sidlerstr 5, CH-3012 Bern, Switzerland.</t>
  </si>
  <si>
    <t>erhardt@climate.unibe.ch</t>
  </si>
  <si>
    <t>Rasmussen, Sune/B-5560-2008; Erhardt, Tobias/C-4589-2019; Rasmussen, Sune Olander/AAA-3190-2021; Capron, Emilie/ITU-2672-2023; Bigler, Matthias/HTT-3872-2023; Fischer, Hubertus/A-1211-2014</t>
  </si>
  <si>
    <t>Erhardt, Tobias/0000-0002-6683-6746; Rasmussen, Sune Olander/0000-0002-4177-3611; Bigler, Matthias/0000-0003-0184-4013; Fischer, Hubertus/0000-0002-2787-4221; Adolphi, Florian/0000-0003-0014-8753</t>
  </si>
  <si>
    <t>Swiss National Science Foundation (SNSF) [200020_172506, 20FI20_137635, 10FI21_119612, 200020_159563, 20-063333.00]; Oeschger Center for Climate Change Research; European Union's Seventh Framework Programme for research and innovation under the Marie Sklodowska-Curie Actions [600207]; Carlsberg Foundation; Swedish Research Council (Vetenskapsradet) [2016-00218]; Denmark (SNF); Belgium (FNRS-CFB); France (IPEV); France (INSU/CNRS); Germany (AWI); Iceland (RannIs); Japan (MEXT); Sweden (SPRS); Switzerland (SNF); US (US NSF, Office of Polar Programs); Belgium (FWO); Canada (NRCan/GSC); China (CAS); Denmark (FIST); France (CNRS/INSU); France (CEA); France (ANR); Japan (NIPR); South Korea (KOPRI); Netherlands (NWO/ALW); Sweden (VR); United Kingdom (NERC); EU Seventh Framework Programmes Past 4 Future and Water under the Ice; NERC [bas0100034] Funding Source: UKRI; Forte [2016-00218] Funding Source: Forte; Swedish Research Council [2016-00218] Funding Source: Swedish Research Council; Swiss National Science Foundation (SNF) [200020_159563, 200020_172506, 20FI20_137635] Funding Source: Swiss National Science Foundation (SNF)</t>
  </si>
  <si>
    <t>Swiss National Science Foundation (SNSF)(Swiss National Science Foundation (SNSF)); Oeschger Center for Climate Change Research; European Union's Seventh Framework Programme for research and innovation under the Marie Sklodowska-Curie Actions(European Union (EU)Marie Curie Actions); Carlsberg Foundation(Carlsberg Foundation); Swedish Research Council (Vetenskapsradet)(Swedish Research Council); Denmark (SNF); Belgium (FNRS-CFB)(Fonds de la Recherche Scientifique - FNRS); France (IPEV); France (INSU/CNRS)(Centre National de la Recherche Scientifique (CNRS)); Germany (AWI); Iceland (RannIs); Japan (MEXT)(Ministry of Education, Culture, Sports, Science and Technology, Japan (MEXT)); Sweden (SPRS); Switzerland (SNF); US (US NSF, Office of Polar Programs); Belgium (FWO)(FWO); Canada (NRCan/GSC)(Natural Resources Canada); China (CAS)(Chinese Academy of Sciences); Denmark (FIST)(Department of Science &amp; Technology (India)); France (CNRS/INSU); France (CEA); France (ANR)(Agence Nationale de la Recherche (ANR)); Japan (NIPR); South Korea (KOPRI)(Korea Polar Research Institute of Marine Research Placement (KOPRI)); Netherlands (NWO/ALW)(Netherlands Organization for Scientific Research (NWO)Netherlands Government); Sweden (VR)(Swedish Research Council); United Kingdom (NERC)(UK Research &amp; Innovation (UKRI)Natural Environment Research Council (NERC)); EU Seventh Framework Programmes Past 4 Future and Water under the Ice; NERC(UK Research &amp; Innovation (UKRI)Natural Environment Research Council (NERC)); Forte(Swedish Research Council for Health Working Life &amp; Welfare (Forte)); Swedish Research Council(Swedish Research Council); Swiss National Science Foundation (SNF)(Swiss National Science Foundation (SNSF))</t>
  </si>
  <si>
    <t>The Division for Climate and Environmental Physics, Physics Institute, University of Bern acknowledges the long-term financial support of ice-core research by the Swiss National Science Foundation (SNSF) under project nos. 200020_172506, 20FI20_137635, 10FI21_119612, 200020_159563 and 20-063333.00, as well as by the Oeschger Center for Climate Change Research. Emilie Capron was funded by the European Union's Seventh Framework Programme for research and innovation under the Marie Sklodowska-Curie Actions (grant agreement no. 600207). Sune Olander Rasmussen and Emilie Capron gratefully acknowledge the Carlsberg Foundation for support to the project ChronoClimate. Florian Adolphi is supported through a grant by the Swedish Research Council (Vetenskapsradet no. 2016-00218). NGRIP is directed and organized by the Department of Geophysics at the Niels Bohr Institute for Astronomy, Physics and Geophysics, University of Copenhagen. It is supported by funding agencies in Denmark (SNF), Belgium (FNRS-CFB), France (IPEV and INSU/CNRS), Germany (AWI), Iceland (RannIs), Japan (MEXT), Sweden (SPRS), Switzerland (SNF) and the US (US NSF, Office of Polar Programs). NEEM is directed and organized by the Centre of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the United Kingdom (NERC) and the US (US NSF, Office of Polar Programs) and the EU Seventh Framework Programmes Past 4 Future and Water under the Ice. The authors also gratefully acknowledge the contributions of the countless people that facilitated and took part in both the ice-core drilling and processing as well as the CFA melting campaigns. The authors would further like to thank the reviewers for their useful comments that helped to improve the manuscript.</t>
  </si>
  <si>
    <t>APR 25</t>
  </si>
  <si>
    <t>10.5194/cp-15-811-2019</t>
  </si>
  <si>
    <t>HV4OM</t>
  </si>
  <si>
    <t>Green Submitted, Green Accepted, Green Published, gold</t>
  </si>
  <si>
    <t>WOS:000465965600001</t>
  </si>
  <si>
    <t>Lombard, F; Boss, E; Waite, AM; Vogt, M; Uitz, J; Stemmann, L; Sosik, HM; Schulz, J; Romagnan, JB; Picheral, M; Pearlman, J; Ohman, MD; Niehoff, B; Möller, KM; Miloslavich, P; Lara-Lpez, A; Kudela, R; Lopes, RM; Kiko, R; Karp-Boss, L; Jaffe, JS; Iversen, MH; Frisson, JO; Fennel, K; Hauss, H; Guidi, L; Gorsky, G; Giering, SLC; Gaube, P; Gallager, S; Dubelaar, G; Cowen, RK; Carlotti, F; Briseño-Avena, C; Berline, L; Benoit-Bird, K; Bax, N; Batten, S; Ayata, SD; Artigas, LF; Appeltans, W</t>
  </si>
  <si>
    <t>Lombard, Fabien; Boss, Emmanuel; Waite, Anya M.; Vogt, Meike; Uitz, Julia; Stemmann, Lars; Sosik, Heidi M.; Schulz, Jan; Romagnan, Jean-Baptiste; Picheral, Marc; Pearlman, Jay; Ohman, Mark D.; Niehoff, Barbara; Moeller, Klas M.; Miloslavich, Patricia; Lara-Lpez, Ana; Kudela, Raphael; Lopes, Rubens M.; Kiko, Rainer; Karp-Boss, Lee; Jaffe, Jules S.; Iversen, Morten H.; Frisson, Jean-Olivier; Fennel, Katja; Hauss, Helena; Guidi, Lionel; Gorsky, Gaby; Giering, Sarah L. C.; Gaube, Peter; Gallager, Scott; Dubelaar, George; Cowen, Robert K.; Carlotti, Francois; Briseno-Avena, Christian; Berline, Leo; Benoit-Bird, Kelly; Bax, Nicholas; Batten, Sonia; Ayata, Sakina Dorothee; Artigas, Luis Felipe; Appeltans, Ward</t>
  </si>
  <si>
    <t>Globally Consistent Quantitative Observations of Planktonic Ecosystems</t>
  </si>
  <si>
    <t>plankton; imaging; OceanObs; autonomous platforms; global observing; EOVs; ECVs</t>
  </si>
  <si>
    <t>UNDERWATER VISION PROFILER; FLOW-CYTOMETRY; SPRING BLOOM; MICROBIAL OCEANOGRAPHY; CALANUS-FINMARCHICUS; MEDITERRANEAN SEA; FUNCTIONAL-GROUPS; SIZE DISTRIBUTION; REFRACTIVE-INDEX; IMAGING-SYSTEM</t>
  </si>
  <si>
    <t>In this paper we review the technologies available to make globally quantitative observations of particles in general-and plankton in particular-in the world oceans, and for sizes varying from sub-microns to centimeters. Some of these technologies have been available for years while others have only recently emerged. Use of these technologies is critical to improve understanding of the processes that control abundances, distributions and composition of plankton, provide data necessary to constrain and improve ecosystem and biogeochemical models, and forecast changes in marine ecosystems in light of climate change. In this paper we begin by providing the motivation for plankton observations, quantification and diversity qualification on a global scale. We then expand on the state-of-the-art, detailing a variety of relevant and (mostly) mature technologies and measurements, including bulk measurements of plankton, pigment composition, uses of genomic, optical and acoustical methods as well as analysis using particle counters, flow cytometers and quantitative imaging devices. We follow by highlighting the requirements necessary for a plankton observing system, the approach to achieve it and associated challenges. We conclude with ranked action-item recommendations for the next 10 years to move toward our vision of a holistic ocean-wide plankton observing system. Particularly, we suggest to begin with a demonstration project on a GO-SHIP line and/or a long-term observation site and expand from there, ensuring that issues associated with methods, observation tools, data analysis, quality assessment and curation are addressed early in the implementation. Global coordination is key for the success of this vision and will bring new insights on processes associated with nutrient regeneration, ocean production, fisheries and carbon sequestration.</t>
  </si>
  <si>
    <t>[Lombard, Fabien; Uitz, Julia; Stemmann, Lars; Picheral, Marc; Frisson, Jean-Olivier; Guidi, Lionel; Gorsky, Gaby; Ayata, Sakina Dorothee] Sorbonne Univ, CNRS, Lab Oceanog Villefranche, Villefranche Sur Mer, France; [Lombard, Fabien] Inst Univ France, Paris, France; [Boss, Emmanuel; Karp-Boss, Lee] Univ Maine, Sch Marine Sci, Orono, ME 04469 USA; [Waite, Anya M.] Dalhousie Univ, Ocean Frontier Inst, Dept Oceanog, Halifax, NS, Canada; [Vogt, Meike] Swiss Fed Inst Technol, Inst Biogeochem &amp; Pollutant Dynam, Zurich, Switzerland; [Sosik, Heidi M.; Gallager, Scott] Woods Hole Oceanog Inst, Woods Hole, MA 02543 USA; [Schulz, Jan] Carl von Ossietzky Univ Oldenburg, Inst Chem &amp; Biol Marine Environm, Oldenburg, Germany; [Romagnan, Jean-Baptiste] Ifremer Ctr Atlantique, Unite Ecol &amp; Modeles Halieut EMH, Nantes, France; [Pearlman, Jay] IEEE, Port Angeles, WA USA; [Ohman, Mark D.; Jaffe, Jules S.] Univ Calif San Diego, Scripps Inst Oceanog, La Jolla, CA USA; [Niehoff, Barbara; Iversen, Morten H.] Helmholtz Ctr Polar &amp; Marine Res, Alfred Wegener Inst, Bremerhaven, Germany; [Moeller, Klas M.] Helmholt Zentrum Geesthacht, Inst Coastal Res, Geesthacht, Germany; [Miloslavich, Patricia; Lara-Lpez, Ana; Bax, Nicholas] Univ Tasmania, Inst Marine &amp; Antarctic Sci, Hobart, Tas, Australia; [Miloslavich, Patricia] Univ Simon Bolivar, Dept Estudios Ambientales, Caracas, Venezuela; [Kudela, Raphael] UC Santa Cruz, Dept Ocean Sci, Santa Cruz, CA USA; [Lopes, Rubens M.] Univ Sao Paulo, Oceanog Inst, Sao Paulo, Brazil; [Kiko, Rainer; Hauss, Helena] GEOMAR Helmholtz Ctr Ocean Res Kiel, Kiel, Germany; [Iversen, Morten H.] Univ Bremen, MARUM, Bremen, Germany; [Iversen, Morten H.] Univ Bremen, Fac Geosci, Bremen, Germany; [Fennel, Katja] Dalhousie Univ, Dept Oceanog, Halifax, NS, Canada; [Giering, Sarah L. C.] Natl Oceanog Ctr, Ocean Biogeochem &amp; Ecosyst, Southampton, Hants, England; [Gaube, Peter] Univ Washington, Appl Phys Lab, Seattle, WA 98105 USA; [Dubelaar, George] CytoBuoy Bv, Woerden, Netherlands; [Cowen, Robert K.; Briseno-Avena, Christian] Oregon State Univ, Hatfield Marine Sci Ctr, Newport, OR USA; [Carlotti, Francois; Berline, Leo] Univ Toulon &amp; Var, Aix Marseille Univ, CNRS, IRD,MIO UM 110, Marseille, France; [Benoit-Bird, Kelly] Monterey Bay Aquarium Res Inst, Moss Landing, CA USA; [Bax, Nicholas] CSIRO Oceans &amp; Atmosphere, Hobart, Tas, Australia; [Batten, Sonia] CPR Survey MBA, Nanaimo, BC, Canada; [Ayata, Sakina Dorothee] Univ Antilles, Sorbonne Univ, EPHE,CNRS, Inst Systemat Evolut,Biodiversite,Museum Natl His, Paris, France; [Artigas, Luis Felipe] Univ Littoral Cote dOpale, Univ Lille, UMR 8187, Lab Oceanol &amp; Geosci,CNRS, Wimereux, France; [Appeltans, Ward] UNESCO, IOC Project Off IODE, Intergovt Oceanog Commiss IOC, Oostende, Belgium</t>
  </si>
  <si>
    <t>Centre National de la Recherche Scientifique (CNRS); Sorbonne Universite; Institut Universitaire de France; University of Maine System; University of Maine Orono; Dalhousie University; Swiss Federal Institutes of Technology Domain; ETH Zurich; Woods Hole Oceanographic Institution; Carl von Ossietzky Universitat Oldenburg; Ifremer; University of California System; University of California San Diego; Scripps Institution of Oceanography; Helmholtz Association; Alfred Wegener Institute, Helmholtz Centre for Polar &amp; Marine Research; Helmholtz Association; Helmholtz-Zentrum Hereon; University of Tasmania; Simon Bolivar University; University of California System; University of California Santa Cruz; Universidade de Sao Paulo; Helmholtz Association; GEOMAR Helmholtz Center for Ocean Research Kiel; University of Bremen; University of Bremen; Dalhousie University; NERC National Oceanography Centre; University of Washington; University of Washington Seattle; Oregon State University; Centre National de la Recherche Scientifique (CNRS); Institut de Recherche pour le Developpement (IRD); Universite de Toulon; Aix-Marseille Universite; Monterey Bay Aquarium Research Institute; Commonwealth Scientific &amp; Industrial Research Organisation (CSIRO); Sorbonne Universite; Centre National de la Recherche Scientifique (CNRS); Museum National d'Histoire Naturelle (MNHN); Universite PSL; Ecole Pratique des Hautes Etudes (EPHE); Universite du Littoral-Cote-d'Opale; Centre National de la Recherche Scientifique (CNRS); CNRS - National Institute for Earth Sciences &amp; Astronomy (INSU); Universite de Lille</t>
  </si>
  <si>
    <t>Lombard, F (corresponding author), Sorbonne Univ, CNRS, Lab Oceanog Villefranche, Villefranche Sur Mer, France.;Lombard, F (corresponding author), Inst Univ France, Paris, France.;Boss, E (corresponding author), Univ Maine, Sch Marine Sci, Orono, ME 04469 USA.</t>
  </si>
  <si>
    <t>lombard@obs-vlfr.fr; emmanuel.boss@umaind.edu</t>
  </si>
  <si>
    <t>Hauss, Helena/S-1718-2018; Fennel, Katja/A-7470-2009; Boss, Emmanuel/C-5765-2009; Boss, Emmanuel/AAF-2336-2019; Iversen, Morten H/C-7741-2013; Berline, Leo/AAJ-5885-2021; Guidi, Lionel/B-3977-2012; stemmann, lars/ACE-2983-2022; Lombard, Fabien/H-6702-2012; Uitz, Julia/JTV-4579-2023; Artigas, Luis Felipe/L-1264-2016; stemmann, lars/E-6899-2011; Ohman, Mark D/C-8763-2009; ayata, sakina-dorothée/GYA-2451-2022; Briseño-Avena, Christian/ABD-8186-2020; Berline, Leo/AAM-8802-2021; Möller, Klas Ove/AAF-7107-2021; Ayata, Sakina-Dorothée/P-3868-2019; UITZ, Julia/Q-7487-2018; Bax, Nicholas/A-2321-2012; Lopes, Rubens/C-6335-2012; Waite, Anya/A-5492-2015; Iversen, Morten Hvitfeldt/Q-3774-2016</t>
  </si>
  <si>
    <t>Hauss, Helena/0000-0002-0754-3388; Boss, Emmanuel/0000-0002-8334-9595; Guidi, Lionel/0000-0002-6669-5744; Lombard, Fabien/0000-0002-8626-8782; Ohman, Mark D/0000-0001-8136-3695; Briseño-Avena, Christian/0000-0003-0806-1046; Ayata, Sakina-Dorothée/0000-0003-3226-9779; Moller, Klas Ove/0000-0003-3118-2161; Gorsky, Gabriel/0000-0002-1099-8711; Kiko, Rainer/0000-0002-7851-9107; Bax, Nicholas/0000-0002-9697-4963; Lara-Lopez, Ana/0000-0003-2896-1367; Berline, Leo/0000-0002-5831-7399; Schulz, Jan/0000-0001-8460-7114; Lopes, Rubens/0000-0002-9709-073X; Waite, Anya/0000-0003-2965-0296; Iversen, Morten Hvitfeldt/0000-0002-5287-1110; Benoit-Bird, Kelly J./0000-0002-5868-0390; Miloslavich, Patricia/0000-0001-5409-1401</t>
  </si>
  <si>
    <t>Institut Universitaire de France; NASA biology and biogeochemistry program; German Science Foundation through the Collaborative Research Center 754 'Climate-Biogeochemistry Interactions in the Tropical Ocean'; Simons Foundation; U.S. National Science Foundation; U.S. National Oceanic and Atmospheric Administration through the Cooperative Institute for the North Atlantic Region; NERC [noc010009] Funding Source: UKRI</t>
  </si>
  <si>
    <t>Institut Universitaire de France; NASA biology and biogeochemistry program; German Science Foundation through the Collaborative Research Center 754 'Climate-Biogeochemistry Interactions in the Tropical Ocean'; Simons Foundation; U.S. National Science Foundation(National Science Foundation (NSF)); U.S. National Oceanic and Atmospheric Administration through the Cooperative Institute for the North Atlantic Region; NERC(UK Research &amp; Innovation (UKRI)Natural Environment Research Council (NERC))</t>
  </si>
  <si>
    <t>Much of this manuscript flows from discussions of the authors with the members of SCOR working groups 150 (TOMCAT) and 154 (P-OBS) as well as discussions with the greater community in various GOOS workshops. We also thank Mike Sieracki, Cabell Davis, Daniele Iudicone, Eric Karsenti, Sebastien Colin, Colomban de Vargas, Ulf Riebesell, Fabrice Not, David Checkley, George Jackson, Cedric Guigand, Ed Urban, Frank Muller-Karger, Sanae Chiba and Daniel Dunn, who contributed to the initial abstracts to OceanObs' 19. FL is supported by the Institut Universitaire de France. EB is supported by the NASA biology and biogeochemistry program. RKi and HH were supported by the German Science Foundation through the Collaborative Research Center 754 'Climate-Biogeochemistry Interactions in the Tropical Ocean'. SDA acknowledges the CNRS for her sabbatical year as visiting researcher at ISYEB on the use of genomics and next generation sequencing for plankton studies. HS acknowledges support from the Simons Foundation, the U.S. National Science Foundation, and the U.S. National Oceanic and Atmospheric Administration through the Cooperative Institute for the North Atlantic Region. FL and EB contribution was also inspired by their years of work within the Tara Expeditions initiative.</t>
  </si>
  <si>
    <t>10.3389/fmars.2019.00196</t>
  </si>
  <si>
    <t>HW9KY</t>
  </si>
  <si>
    <t>Green Published, gold, Green Accepted</t>
  </si>
  <si>
    <t>WOS:000467010900001</t>
  </si>
  <si>
    <t>Zheng, HN; Beamer, SK; Matak, KE; Jaczynski, J</t>
  </si>
  <si>
    <t>Zheng, Huina; Beamer, Sarah K.; Matak, Kristen E.; Jaczynski, Jacek</t>
  </si>
  <si>
    <t>Effect of κ-carrageenan on gelation and gel characteristics of Antarctic krill (Euphausia superba) protein isolated with isoelectric solubilization/precipitation</t>
  </si>
  <si>
    <t>FOOD CHEMISTRY</t>
  </si>
  <si>
    <t>Antarctic krill; Krill protein; Protein isolates; Protein gelation; Gel properties; Isoelectric solubilization/precipitation; kappa-Carrageenan</t>
  </si>
  <si>
    <t>NUTRITIONAL-VALUE; BY-PRODUCTS; SALT; RECOVERY; QUALITY; SURIMI; FISH; TRANSGLUTAMINASE; EXTRACTION; BINDING</t>
  </si>
  <si>
    <t>Isoelectric solubilization/precipitation (ISP) was used to extract krill protein isolate (KPI). Due to krill endogenous proteases ISP-KPI barely forms gel which is a major hurdle in wide application of this tremendous protein source for direct human consumption. The objective was to improve gelation and elucidate interaction mechanism between kappa-carrageenan and KPI kappa-Carrageenan was added to KPI at 0.00, 0.75, 1.50, 2.25, and 3.00 g/150 g and heated at 90 degrees C for 15 min. Added' kappa-carrageenan improved texture of KPI gels. However, the level of addition had minimal effect. SDS-PAGE revealed severe proteolysis of KPI even during heating. Total and free sulfhydryl were not different, while surface hydrophobicity and water-holding-capacity slightly decreased and increased, respectively with added kappa-carrageenan. Fourier-transform-infrared-spectroscopy showed none-tominimal shift of beta-sheet and alpha-helical protein structure; while C-C and C-O stretching as well as C-H bending of kappa-carrageenan showed the greatest shift, indicating that kappa-carrageenan was mainly responsible for gel formation.</t>
  </si>
  <si>
    <t>[Zheng, Huina; Beamer, Sarah K.; Matak, Kristen E.; Jaczynski, Jacek] West Virginia Univ, Div Anim &amp; Nutr Sci, POB 6108, Morgantown, WV 26506 USA; [Zheng, Huina] Guangdong Ocean Univ, Coll Food Sci &amp; Technol, Zhanjiang 524088, Peoples R China; [Zheng, Huina] Guangdong Prov Key Lab Aquat Prod Proc &amp; Safety, Zhanjiang 524088, Peoples R China; [Zheng, Huina] Guangdong Higher Educ Inst, Key Lab Adv Proc Aquat Prod, Zhanjiang 524088, Peoples R China</t>
  </si>
  <si>
    <t>West Virginia University; Guangdong Ocean University</t>
  </si>
  <si>
    <t>Jaczynski, J (corresponding author), West Virginia Univ, Div Anim &amp; Nutr Sci, POB 6108, Morgantown, WV 26506 USA.</t>
  </si>
  <si>
    <t>jacek.jaczynski@mail.wvu.edu</t>
  </si>
  <si>
    <t>0308-8146</t>
  </si>
  <si>
    <t>1873-7072</t>
  </si>
  <si>
    <t>FOOD CHEM</t>
  </si>
  <si>
    <t>Food Chem.</t>
  </si>
  <si>
    <t>10.1016/j.foodchem.2018.11.080</t>
  </si>
  <si>
    <t>Chemistry, Applied; Food Science &amp; Technology; Nutrition &amp; Dietetics</t>
  </si>
  <si>
    <t>Chemistry; Food Science &amp; Technology; Nutrition &amp; Dietetics</t>
  </si>
  <si>
    <t>HE6OO</t>
  </si>
  <si>
    <t>WOS:000453529300081</t>
  </si>
  <si>
    <t>Goursaud, S; Masson-Delmotte, V; Favier, V; Preunkert, S; Legrand, M; Minster, B; Werner, M</t>
  </si>
  <si>
    <t>Goursaud, Sentia; Masson-Delmotte, Valerie; Favier, Vincent; Preunkert, Suzanne; Legrand, Michel; Minster, Benedicte; Werner, Martin</t>
  </si>
  <si>
    <t>Challenges associated with the climatic interpretation of water stable isotope records from a highly resolved firn core from Adelie Land, coastal Antarctica</t>
  </si>
  <si>
    <t>CRYOSPHERE</t>
  </si>
  <si>
    <t>SIZE-SEGREGATED AEROSOL; SURFACE MASS-BALANCE; DRONNING-MAUD-LAND; DEUTERIUM EXCESS SIGNAL; SEA-ICE VARIABILITY; DUMONT DURVILLE; SNOW ACCUMULATION; EAST ANTARCTICA; REGIONAL CLIMATE; ROUND RECORDS</t>
  </si>
  <si>
    <t>A new 21.3 m firn core was drilled in 2015 at a coastal Antarctic high-accumulation site in Adelie Land (66.78 degrees S; 139.56 degrees E, 602 m a.s.l.), named Terre Adelie 192A (TA192A). The mean isotopic values (-19.3 parts per thousand +/- 3.1 parts per thousand for delta O-18 and 5.4 parts per thousand +/- 2.2 parts per thousand for deuterium excess) are consistent with other coastal Antarctic values. No significant isotope-temperature relationship can be evidenced at any timescale. This rules out a simple interpretation in terms of local temperature. An observed asymmetry in the delta O-18 seasonal cycle may be explained by the precipitation of air masses coming from the eastern and western sectors in autumn and winter, recorded in the d-excess signal showing outstanding values in austral spring versus autumn. Significant positive trends are observed in the annual d-excess record and local sea ice extent (135-145 degrees E) over the period 1998-2014. However, process studies focusing on resulting isotopic compositions and particularly the deuterium excess-delta O-18 relationship, evidenced as a potential fingerprint of moisture origins, as well as the collection of more isotopic measurements in Adelie Land are needed for an accurate interpretation of our signals.</t>
  </si>
  <si>
    <t>[Goursaud, Sentia; Masson-Delmotte, Valerie; Minster, Benedicte] UVSQ, CEA, CNRS, UMR 8212,LSCE,IPSL, Gif Sur Yvette, France; [Goursaud, Sentia; Favier, Vincent; Preunkert, Suzanne; Legrand, Michel] Univ Grenoble Alpes, CNRS, IGE, F-38000 Grenoble, France; [Werner, Martin] Helmholtz Ctr Polar &amp; Marine Res, Alfred Wegener Inst, Bremerhaven, Germany</t>
  </si>
  <si>
    <t>Universite Paris Cite; Centre National de la Recherche Scientifique (CNRS); CNRS - National Institute for Earth Sciences &amp; Astronomy (INSU); Universite Paris Saclay; CEA; Centre National de la Recherche Scientifique (CNRS); Communaute Universite Grenoble Alpes; Universite Grenoble Alpes (UGA); Helmholtz Association; Alfred Wegener Institute, Helmholtz Centre for Polar &amp; Marine Research</t>
  </si>
  <si>
    <t>Goursaud, S (corresponding author), UVSQ, CEA, CNRS, UMR 8212,LSCE,IPSL, Gif Sur Yvette, France.;Goursaud, S (corresponding author), Univ Grenoble Alpes, CNRS, IGE, F-38000 Grenoble, France.</t>
  </si>
  <si>
    <t>sentia.goursaud@lsce.ipsl.fr</t>
  </si>
  <si>
    <t>Masson-Delmotte, Valerie L/G-1995-2011; Werner, Martin/C-8067-2014; Legrand, Michel/AAU-4678-2020; Favier, Vincent/T-1936-2017</t>
  </si>
  <si>
    <t>Masson-Delmotte, Valerie L/0000-0001-8296-381X; Werner, Martin/0000-0002-6473-0243; Goursaud Oger, Sentia/0000-0002-9990-4258; Favier, Vincent/0000-0001-6024-9498</t>
  </si>
  <si>
    <t>ASUMA project - ANR (Agence Nationale de la Recherche) [ANR-14-CE01-0001]; Investissements d'Avenir project EquipEX Equipement d'Excellence CLIMCOR [ANR-11-EQPX-0009-CLIMCOR]; Agence Nationale de la Recherche (ANR) [ANR-11-EQPX-0009] Funding Source: Agence Nationale de la Recherche (ANR)</t>
  </si>
  <si>
    <t>ASUMA project - ANR (Agence Nationale de la Recherche); Investissements d'Avenir project EquipEX Equipement d'Excellence CLIMCOR; Agence Nationale de la Recherche (ANR)(Agence Nationale de la Recherche (ANR))</t>
  </si>
  <si>
    <t>This study has been supported by the ASUMA project supported by the ANR (Agence Nationale de la Recherche, project no. ANR-14-CE01-0001), which funded the PhD grant of Sentia Goursaud and the publication costs of this paper. The authors also acknowledge the support from Institut Paul-Emile Victor (IPEV) for the surface mass balance observatory in Antarctica (GLACIOCLIM-SAMBA). This project also received support from the Investissements d'Avenir project EquipEX Equipement d'Excellence CLIMCOR (ANR-11-EQPX-0009-CLIMCOR).</t>
  </si>
  <si>
    <t>1994-0416</t>
  </si>
  <si>
    <t>1994-0424</t>
  </si>
  <si>
    <t>Cryosphere</t>
  </si>
  <si>
    <t>APR 24</t>
  </si>
  <si>
    <t>10.5194/tc-13-1297-2019</t>
  </si>
  <si>
    <t>Geography, Physical; Geosciences, Multidisciplinary</t>
  </si>
  <si>
    <t>Physical Geography; Geology</t>
  </si>
  <si>
    <t>HU9TC</t>
  </si>
  <si>
    <t>WOS:000465635800001</t>
  </si>
  <si>
    <t>Bulthuis, K; Arnst, M; Sun, S; Pattyn, F</t>
  </si>
  <si>
    <t>Bulthuis, Kevin; Arnst, Maarten; Sun, Sainan; Pattyn, Frank</t>
  </si>
  <si>
    <t>Uncertainty quantification of the multi-centennial response of the Antarctic ice sheet to climate change</t>
  </si>
  <si>
    <t>FUTURE SEA-LEVEL; MODEL INTERCOMPARISON PROJECT; POLYNOMIAL CHAOS EXPANSION; SURFACE MASS-BALANCE; PINE ISLAND; THWAITES GLACIER; WEST ANTARCTICA; BASAL CONDITIONS; MELT RATES; SHELF</t>
  </si>
  <si>
    <t>Ice loss from the Antarctic ice sheet (AIS) is expected to become the major contributor to sea level in the next centuries. Projections of the AIS response to climate change based on numerical ice-sheet models remain challenging due to the complexity of physical processes involved in ice-sheet dynamics, including instability mechanisms that can destabilise marine basins with retrograde slopes. Moreover, uncertainties in ice-sheet models limit the ability to provide accurate sea-level rise projections. Here, we apply probabilistic methods to a hybrid ice-sheet model to investigate the influence of several sources of uncertainty, namely sources of uncertainty in atmospheric forcing, basal sliding, grounding-line flux parameterisation, calving, sub-shelf melting, ice-shelf rheology and bedrock relaxation, on the continental response of the Antarctic ice sheet to climate change over the next millennium. We provide probabilistic projections of sea-level rise and grounding-line retreat, and we carry out stochastic sensitivity analysis to determine the most influential sources of uncertainty. We find that all investigated sources of uncertainty, except bedrock relaxation time, contribute to the uncertainty in the projections. We show that the sensitivity of the projections to uncertainties increases and the contribution of the uncertainty in sub-shelf melting to the uncertainty in the projections becomes more and more dominant as atmospheric and oceanic temperatures rise, with a contribution to the uncertainty in sea-level rise projections that goes from 5% to 25% in RCP 2.6 to more than 90% in RCP 8.5. We show that the significance of the AIS contribution to sea level is controlled by the marine ice-sheet instability (MISI) in marine basins, with the biggest contribution stemming from the more vulnerable West Antarctic ice sheet. We find that, irrespective of parametric uncertainty, the strongly mitigated RCP 2.6 scenario prevents the collapse of the West Antarctic ice sheet, that in both the RCP 4.5 and RCP 6.0 scenarios the occurrence of MISI in marine basins is more sensitive to parametric uncertainty, and that, almost irrespective of parametric uncertainty, RCP 8.5 triggers the collapse of the West Antarctic ice sheet.</t>
  </si>
  <si>
    <t>[Bulthuis, Kevin; Arnst, Maarten] Univ Liege, Quartier Polytech 1, Computat &amp; Stochast Modeling, Aerosp &amp; Mech Engn, Allee Decouverte 9, B-4000 Liege, Belgium; [Bulthuis, Kevin; Sun, Sainan; Pattyn, Frank] Univ Libre Bruxelles, Dept Geosci Environm &amp; Soc, Lab Glaciol, Av FD Roosevelt 50, B-1050 Brussels, Belgium</t>
  </si>
  <si>
    <t>University of Liege; Universite Libre de Bruxelles</t>
  </si>
  <si>
    <t>Bulthuis, K (corresponding author), Univ Liege, Quartier Polytech 1, Computat &amp; Stochast Modeling, Aerosp &amp; Mech Engn, Allee Decouverte 9, B-4000 Liege, Belgium.;Bulthuis, K (corresponding author), Univ Libre Bruxelles, Dept Geosci Environm &amp; Soc, Lab Glaciol, Av FD Roosevelt 50, B-1050 Brussels, Belgium.</t>
  </si>
  <si>
    <t>kevin.bulthuis@uliege.be</t>
  </si>
  <si>
    <t>Pattyn, Frank/AAA-9640-2019; Bulthuis, Kevin/HLQ-7042-2023</t>
  </si>
  <si>
    <t>Pattyn, Frank/0000-0003-4805-5636; Bulthuis, Kevin/0000-0001-8706-0062; Sun, Sainan/0000-0002-1614-2658</t>
  </si>
  <si>
    <t>Fonds de la Recherche Scientifique de Belgique (F.R.S.-FNRS) - Fonds de la Recherche Scientifique de Belgique (F.R.S-FNRS) [2.5020.11]</t>
  </si>
  <si>
    <t>Fonds de la Recherche Scientifique de Belgique (F.R.S.-FNRS) - Fonds de la Recherche Scientifique de Belgique (F.R.S-FNRS)(Fonds de la Recherche Scientifique - FNRS)</t>
  </si>
  <si>
    <t>We would like to thank Andy Aschwanden and one anonymous referee for their very helpful comments that helped improve the overall quality and readability of the manuscript. Kevin Bulthuis would like to acknowledge Andreas Wernecke for personal communication about the manuscript. Kevin Bulthuis would like to acknowledge the Fonds de la Recherche Scientifique de Belgique (F.R.S.-FNRS) for its financial support (F.R.S.-FNRS Research Fellowship). Computational resources have been provided by the Consortium des Equipements de Calcul Intensif (CECI), funded by the Fonds de la Recherche Scientifique de Belgique (F.R.S-FNRS) under grant no. 2.5020.11.</t>
  </si>
  <si>
    <t>10.5194/tc-13-1349-2019</t>
  </si>
  <si>
    <t>Green Submitted, Green Published, Green Accepted, gold</t>
  </si>
  <si>
    <t>WOS:000465635800003</t>
  </si>
  <si>
    <t>Holmes, TM; Wuttig, K; Chase, Z; van der Merwe, P; Townsend, AT; Schallenberg, C; Tonnard, M; Bowie, AR</t>
  </si>
  <si>
    <t>Holmes, Thomas M.; Wuttig, Kathrin; Chase, Zanna; van der Merwe, Pier; Townsend, Ashley T.; Schallenberg, Christina; Tonnard, Manon; Bowie, Andrew R.</t>
  </si>
  <si>
    <t>Iron availability influences nutrient drawdown in the Heard and McDonald Islands region, Southern Ocean</t>
  </si>
  <si>
    <t>MARINE CHEMISTRY</t>
  </si>
  <si>
    <t>Iron; Trace metals; Biogeochemistry; Nutrient drawdown; Heard and McDonald islands; HEOBI; GEOTRACES process study GIpr05</t>
  </si>
  <si>
    <t>KERGUELEN PLATEAU; PHYTOPLANKTON BLOOM; DISSOLVED IRON; NITROGEN-FIXATION; FERTILIZATION; CARBON; DIATOMS; CIRCULATION; LIMITATION; PATTERNS</t>
  </si>
  <si>
    <t>At the southern part of the northern Kerguelen Plateau (Southern Ocean) is an active volcanic hotspot, hosting volcanically active Heard Island and McDonald Islands (HIMI), the former of which is largely covered by glaciers. While offshore waters are persistently Fe limited, typical of the broader Southern Ocean, near shore waters over the Kerguelen plateau show variability in Fe distributions and support a high biomass of phytoplankton during austral spring-summer. This study investigates dissolved iron (DFe) and macronutrient distributions in waters surrounding HIMI during the Heard Earth-Ocean-Biosphere Interactions (HEOBI) voyage in January-February 2016. Comparison of surface DFe with macronutrient concentrations shows that the majority of the plateau is Fe limited in late summer and, based on comparison with previous voyages, also Fe limited in different years and earlier in the bloom season. The distribution of DFe drawdown from estimated winter inventories to observed late summer inventories shows that DFe availability drives macronutrient uptake on the plateau. The drawdown of silicic acid decreases relative to nitrate drawdown in proximity to HIMI, in agreement with classical diatom nutrient uptake behaviour under iron replete conditions. Comparison of Fe: nitrate and Fe: phosphate drawdown ratios with expected uptake stoichiometry suggest that recycling of Fe increases with distance from Fe sources on the plateau. Lastly, comparison with data from previous voyages shows that DFe distribution varies inter-annually due to complex oceanographic conditions on the plateau, with greatest variability observed over the rough bathymetry and strongly tidally influenced region closest to HIMI. Together these data highlight the central role of Fe in driving nutrient uptake and stoichiometry in the HIMI region of the Kerguelen Plateau.</t>
  </si>
  <si>
    <t>[Holmes, Thomas M.; Wuttig, Kathrin; van der Merwe, Pier; Schallenberg, Christina; Tonnard, Manon; Bowie, Andrew R.] ACE CRC, Private Bag 80, Hobart, Tas 7001, Australia; [Holmes, Thomas M.; Chase, Zanna; Tonnard, Manon; Bowie, Andrew R.] Univ Tasmania, IMAS, Private Bag 129, Hobart, Tas, Australia; [Townsend, Ashley T.] Univ Tasmania, CSL, Private Bag 74, Hobart, Tas 7001, Australia; [Tonnard, Manon] Univ Bretagne Occidentale, CNRS, UMR 6539, IUEM,Lab Sci Environm MARin LEMAR, Technopole Brest Iroise,Rue Dumont dUrville, F-29280 Plouzane, France</t>
  </si>
  <si>
    <t>Antarctic Climate &amp; Ecosystems Cooperative Research Centre (ACE CRC); University of Tasmania; University of Tasmania; Universite de Bretagne Occidentale; Institut Universitaire Europeen de la Mer (IUEM); Centre National de la Recherche Scientifique (CNRS); Ifremer; Institut de Recherche pour le Developpement (IRD); CNRS - Institute of Ecology &amp; Environment (INEE)</t>
  </si>
  <si>
    <t>Holmes, TM (corresponding author), ACE CRC, Private Bag 80, Hobart, Tas 7001, Australia.</t>
  </si>
  <si>
    <t>Thomas.holmes@utas.edu.au</t>
  </si>
  <si>
    <t>Holmes, Thomas M/J-4950-2015; Wuttig, Kathrin/O-2888-2019; Schallenberg, Christina/N-4187-2017; Holmes, Thomas M/JAC-5887-2023; Townsend, Ashley/J-7445-2014; Chase, Zanna/E-9232-2013; Bowie, Andrew/C-8677-2013; van der Merwe, Pier/C-9210-2015</t>
  </si>
  <si>
    <t>Holmes, Thomas M/0000-0001-8061-4325; Wuttig, Kathrin/0000-0003-4010-5918; Schallenberg, Christina/0000-0002-3073-7500; Townsend, Ashley/0000-0002-2972-2678; Chase, Zanna/0000-0001-5060-779X; Bowie, Andrew/0000-0002-5144-7799; van der Merwe, Pier/0000-0002-7428-8030</t>
  </si>
  <si>
    <t>Australian Research Council [DP150100345, LE0989539]; Australian Antarctic Science Program [AAS4338]; Australian Government Cooperative Research Centres Program through ACECRC; Australian Research Council [LE0989539] Funding Source: Australian Research Council</t>
  </si>
  <si>
    <t>Australian Research Council(Australian Research Council); Australian Antarctic Science Program; Australian Government Cooperative Research Centres Program through ACECRC; Australian Research Council(Australian Research Council)</t>
  </si>
  <si>
    <t>The authors would like to thank the three anonymous reviewers for their attention to detail and numerous improvements to the final manuscript. We thank Melanie East (Antarctic Climate and Ecosystems Cooperative Research Centre: ACECRC) and Tom Trull (Commonwealth Scientific and Industrial Research Organisation: CSIRO) for their invaluable advice while preparing the manuscript and Lavenia Ratnarajah (ACECRC and Institute for Marine and Antarctic Studies: IMAS) for her assistance in collecting and filtering samples collected on the HEOBI voyage. We would like to thank Mark Rayner (CSIRO) and Kendall Sherrin (CSIRO) for their excellent hydrochemical analyses. We thank Sophie Bestley (IMAS, CSIRO) for her valuable analysis of SST data. We also thank the captain, officers and crew of the RV Investigator (HEOBI voyage) and Chief Scientist Mike Coffin for their support during the 53-day mission. We wish to acknowledge the Australian Research Council (DP150100345 and LE0989539), the Australian Antarctic Science Program (AAS4338) and the Australian Government Cooperative Research Centres Program through ACECRC, who both provided project funding and PhD scholarship support.</t>
  </si>
  <si>
    <t>0304-4203</t>
  </si>
  <si>
    <t>1872-7581</t>
  </si>
  <si>
    <t>MAR CHEM</t>
  </si>
  <si>
    <t>Mar. Chem.</t>
  </si>
  <si>
    <t>APR 20</t>
  </si>
  <si>
    <t>10.1016/j.marchem.2019.03.002</t>
  </si>
  <si>
    <t>Chemistry, Multidisciplinary; Oceanography</t>
  </si>
  <si>
    <t>Chemistry; Oceanography</t>
  </si>
  <si>
    <t>HX8QE</t>
  </si>
  <si>
    <t>WOS:000467669600001</t>
  </si>
  <si>
    <t>Amakawa, H; Yu, TL; Tazoe, H; Obata, H; Gamo, T; Sano, Y; Shen, CC; Suzuki, K</t>
  </si>
  <si>
    <t>Amakawa, Hiroshi; Yu, Tsai-Luen; Tazoe, Hirofumi; Obata, Hajime; Gamo, Toshitaka; Sano, Yuji; Shen, Chuan-Chou; Suzuki, Katsuhiko</t>
  </si>
  <si>
    <t>Neodymium concentration and isotopic composition distributions in the southwestern Indian Ocean and the Indian sector of the Southern Ocean</t>
  </si>
  <si>
    <t>CHEMICAL GEOLOGY</t>
  </si>
  <si>
    <t>Nd isotopic composition; Nd concentration; Seawater; Southwestern Indian Ocean; Southern Ocean</t>
  </si>
  <si>
    <t>RARE-EARTH-ELEMENTS; ANTARCTIC INTERMEDIATE WATER; SURFACE WATERS; ND CONCENTRATION; DUST DEPOSITION; ATLANTIC SECTOR; PACIFIC-OCEAN; CIRCULATION; SEAWATER; IMPACT</t>
  </si>
  <si>
    <t>Neodymium concentration and isotopic composition profiles were determined for two stations in the Crozet Basin in the southwestern Indian Ocean and one station in the Indian sector of the Southern Ocean. The station located in the northern part of the Crozet Basin showed very similar Nd concentrations, SiO2, and dissolved oxygen profiles to those previously reported for the closest station in the Madagascar Basin. However, the station in the northern part of the Crozet Basin and the previously studied station in the Madagascar Basin exhibited clearly different Nd isotopic values at water depths of approximately 400 m, which was attributed to a strong influence of the Agulhas Return Current on the Crozet Basin station and/or a large contribution of the South Equatorial Current to the Madagascar Basin. The Nd isotopic profile at ER-14 in the Indian sector of the Southern Ocean was similar to those of stations in the Atlantic sector of the Southern Ocean at depths above 2000 m. Conversely, variable Nd isotopic compositions were observed in the Indian and Atlantic sectors of the Southern Ocean at depths below 2000 m, suggesting the importance of local Nd to determination of the Nd isotopic composition of deeper depths. The Pb isotopic compositions, which are strongly controlled by anthropogenic Pb, showed different features in vertical profile from Nd isotopic compositions at all stations. The Nd isotopic composition profiles of stations from the Crozet Basin showed a clear peak corresponding to Antarctic Intermediate Water, whereas a clear peak corresponding to Subantarctic Mode Water was observed for Pb isotopic vertical profiles. A combined Nd and Pb isotopic composition study of seawater may clarify the contribution of natural and anthropogenic sources to Pb in the ocean. This article is part of a special issue entitled: Cycles of trace elements and isotopes in the ocean GEOTRACES and beyond - edited by Tim M. Conway, Tristan Horner, Yves Plancherel, and Aridane G. Gonzalez.</t>
  </si>
  <si>
    <t>[Amakawa, Hiroshi; Suzuki, Katsuhiko] Japan Agcy Marine Earth Sci Technol JAMSTEC, Project Team Dev New Generat Res Protocol Submari, 2-15 Natsushima Cho, Yokosuka, Kanagawa 2370061, Japan; [Yu, Tsai-Luen; Shen, Chuan-Chou] Natl Taiwan Univ, Dept Geosci, High Precis Mass Spectrometry &amp; Environm Change L, 1,Sec 4,Roosevelt Rd, Taipei 10617, Taiwan; [Yu, Tsai-Luen; Shen, Chuan-Chou] Natl Taiwan Univ, Res Ctr Future Earth, 1,Sec 4,Roosevelt Rd, Taipei 10617, Taiwan; [Tazoe, Hirofumi] Hirosaki Univ, Inst Radiat Emergency Med, 66-1 Hon Cho, Hirosaki, Aomori 0368564, Japan; [Obata, Hajime; Gamo, Toshitaka; Sano, Yuji] Univ Tokyo, Atmosphere &amp; Ocean Res Inst, 5-1-5 Kashiwanoha, Kashiwa, Chiba 2778564, Japan</t>
  </si>
  <si>
    <t>Japan Agency for Marine-Earth Science &amp; Technology (JAMSTEC); National Taiwan University; National Taiwan University; Hirosaki University; University of Tokyo</t>
  </si>
  <si>
    <t>Amakawa, H (corresponding author), Japan Agcy Marine Earth Sci Technol JAMSTEC, Project Team Dev New Generat Res Protocol Submari, 2-15 Natsushima Cho, Yokosuka, Kanagawa 2370061, Japan.</t>
  </si>
  <si>
    <t>amakawa@jamstec.go.jp</t>
  </si>
  <si>
    <t>Shen, Chuan-Chou/JCE-1989-2023; Sano, Yuji/GPT-3454-2022; Suzuki, Katsuhiko/B-1143-2018; Shen, Chuan-Chou/H-9642-2013; lin, ke/GZM-8300-2022</t>
  </si>
  <si>
    <t>Shen, Chuan-Chou/0000-0003-2833-2771; Sano, Yuji/0000-0002-3305-5644; Suzuki, Katsuhiko/0000-0003-4266-5046; Shen, Chuan-Chou/0000-0003-2833-2771;</t>
  </si>
  <si>
    <t>Republic of China (ROC) Science Vanguard Research Program of the Ministry of Science and Technology [107-2119-M-002-051]; Higher Education Sprout Project of the Ministry of Education [107L901001]; Ministry of Education, Culture, Sports, Science and Technology (MEXT) [19253006, 23253001, 16H02701]; Scientific Research on Genesis of Marine Resources within the Next-generation Technology for Ocean Resources Exploration (Zipangu in the Ocean Program), an initiative that is part of the Cross-ministerial Strategic Innovation Promotion Program (SIP) of the</t>
  </si>
  <si>
    <t>Republic of China (ROC) Science Vanguard Research Program of the Ministry of Science and Technology; Higher Education Sprout Project of the Ministry of Education; Ministry of Education, Culture, Sports, Science and Technology (MEXT)(Ministry of Education, Culture, Sports, Science and Technology, Japan (MEXT)); Scientific Research on Genesis of Marine Resources within the Next-generation Technology for Ocean Resources Exploration (Zipangu in the Ocean Program), an initiative that is part of the Cross-ministerial Strategic Innovation Promotion Program (SIP) of the</t>
  </si>
  <si>
    <t>We thank the captain, officers, and crew of the R.V. Hakuho-Maru, as well as the scientific parties of the ER Expeditions for their collaboration in sampling. This work was supported in part by the Republic of China (ROC) Science Vanguard Research Program of the Ministry of Science and Technology (107-2119-M-002-051 to C.-C.S.) and the Higher Education Sprout Project of the Ministry of Education (107L901001 to C.-C.S.), as well as the Ministry of Education, Culture, Sports, Science and Technology (MEXT) Grant-in-Aid No. 19253006, No. 23253001, and No. 16H02701 (to G.T.) to the Atmosphere Ocean Research Institute (University of Tokyo, Japan). This work was also funded by the Scientific Research on Genesis of Marine Resources within the Next-generation Technology for Ocean Resources Exploration (Zipangu in the Ocean Program), an initiative that is part of the Cross-ministerial Strategic Innovation Promotion Program (SIP) of the Japanese government. We thank Guest editor Yves Plancherel and four anonymous reviewers for their useful and constructive comments. We also thank Kara Bogus, PhD, from Edanz Group (www.edanzediting.com/ac) for editing a draft of this manuscript.</t>
  </si>
  <si>
    <t>0009-2541</t>
  </si>
  <si>
    <t>1872-6836</t>
  </si>
  <si>
    <t>CHEM GEOL</t>
  </si>
  <si>
    <t>Chem. Geol.</t>
  </si>
  <si>
    <t>10.1016/j.chemgeo.2019.01.007</t>
  </si>
  <si>
    <t>HQ9UF</t>
  </si>
  <si>
    <t>WOS:000462772400015</t>
  </si>
  <si>
    <t>Zieringer, M; Frank, M; Stumpf, R; Hathorne, EC</t>
  </si>
  <si>
    <t>Zieringer, Moritz; Frank, Martin; Stumpf, Roland; Hathorne, Ed C.</t>
  </si>
  <si>
    <t>The distribution of neodymium isotopes and concentrations in the eastern tropical North Atlantic</t>
  </si>
  <si>
    <t>Neodymium isotopes; Neodymium concentrations; Eastern North Atlantic; GEOTRACES GA11; North Atlantic circulation</t>
  </si>
  <si>
    <t>EARTH-ELEMENT CONCENTRATIONS; SOUTH-ATLANTIC; WATER MASSES; ND-ISOTOPES; OCEAN CIRCULATION; SEAWATER; DEEP; TRANSPORTS; EXCHANGE; MODEL</t>
  </si>
  <si>
    <t>Dissolved neodymium (Nd) and its radiogenic isotope composition (Nd-143/Nd-144, expressed as epsilon Nd) belong to the key parameters of the international GEOTRACES program, which aims to investigate the processes controlling the distribution of trace elements and their isotopes in the global ocean. We present Nd isotope and concentration ([Nd]) data from eleven full depth water column profiles from the eastern (sub) tropical Atlantic Ocean between 2 degrees N and 29 degrees N and from the Romanche Fracture Zone sampled during Meteor cruise M81/1 (GEOTRACES cruise GA11) in February/March 2010. The epsilon Nd signatures range from - 12.9 in upper North Atlantic Deep Water (UNADW) at the equator to -8.1 in the mixed layer near the Canary Islands. Nd concentrations range from 11.9 pmol/kg observed within the Equatorial Undercurrent to 40.2 pmol/kg in Antarctic Bottom Water (AABW) in the Romanche Fracture Zone. Large variations in surface water Nd isotope compositions (-12.7 &lt;= epsilon Nd &lt;= -8.1) and concentrations (15.7 pmol/kg=[Nd]= 27.7 pmol/kg) are caused by partial dissolution of Saharan dust particles between 2 degrees N and 13 degrees N and volcanic island weathering (Canaries) between 25 degrees N and 29 degrees N. In contrast to dust inputs, which predominantly affect the Nd concentrations and isotope compositions of surface waters and underlying South Atlantic Central Water (SACW), contributions originating from the Canary Islands affect the Nd isotope composition of the entire surrounding water column without significantly altering Nd concentrations, thus confirming the concept of boundary exchange in its strictest sense. The results confirm that the composition of lower North Atlantic Deep Water (LNADW, epsilon Nd=-12.1) in the abyssal plains of the eastern North Atlantic is exclusively set by the mixing ratio of LNADW and Antarctic Bottom Water (AABW). Upper North Atlantic Deep Water (UNADW), in contrast, is characterized by eNd signatures between - 12.7 and - 12.0 between 2 degrees N and 10 degrees N, whereas further north it is clearly affected by admixture of Mediterranean Water (MW) and radiogenic inputs from the Canary Islands and likely also the Cape Verde Islands. This article is part of a special issue entitled: Cycles of trace elements and isotopes in the ocean - GEOTRACES and beyond - edited by Tim M. Conway, Tristan Horner, Yves Plancherel, and Aridane G. Gonzalez.</t>
  </si>
  <si>
    <t>[Zieringer, Moritz; Frank, Martin; Stumpf, Roland; Hathorne, Ed C.] GEOMAR Helmholtz Ctr Ocean Res Kiel, Wischhofstr 1-3, D-24148 Kiel, Germany</t>
  </si>
  <si>
    <t>Helmholtz Association; GEOMAR Helmholtz Center for Ocean Research Kiel</t>
  </si>
  <si>
    <t>Zieringer, M (corresponding author), GEOMAR Helmholtz Ctr Ocean Res Kiel, Wischhofstr 1-3, D-24148 Kiel, Germany.</t>
  </si>
  <si>
    <t>mziexinger@geomar.de; mfrank@geomar.de; ehathorne@geomar.de</t>
  </si>
  <si>
    <t>Hathorne, Ed/AAC-6315-2020</t>
  </si>
  <si>
    <t>Hathorne, Ed/0000-0002-7813-2455; Frank, Martin/0000-0002-8606-4421</t>
  </si>
  <si>
    <t>Deutsche Forschungsgemeinschaft (DFG) [FR1198/9-1]</t>
  </si>
  <si>
    <t>Deutsche Forschungsgemeinschaft (DFG)(German Research Foundation (DFG))</t>
  </si>
  <si>
    <t>This work was funded by Deutsche Forschungsgemeinschaft (DFG) grant FR1198/9-1. We thank F/S METEOR crew and scientists of Meteor cruise M81/1 (GEOTRACES cruise GA11) for their help and Jutta Heinze for laboratory support. Finally we would like to thank the two anonymous reviewers for their comments which helped to improve the quality of the manuscript.</t>
  </si>
  <si>
    <t>10.1016/j.chemgeo.2018.11.024</t>
  </si>
  <si>
    <t>WOS:000462772400021</t>
  </si>
  <si>
    <t>Cloete, R; Loock, JC; Mtshali, T; Fietz, S; Roychoudhury, AN</t>
  </si>
  <si>
    <t>Cloete, R.; Loock, J. C.; Mtshali, T.; Fietz, S.; Roychoudhury, A. N.</t>
  </si>
  <si>
    <t>Winter and summer distributions of Copper, Zinc and Nickel along the International GEOTRACES Section GIPY05: Insights into deep winter mixing</t>
  </si>
  <si>
    <t>Southern Ocean; Trace metals; Micronutrients; Winter deep mixing; Primary productivity</t>
  </si>
  <si>
    <t>ANTARCTIC CIRCUMPOLAR CURRENT; SOUTHERN-OCEAN SOUTH; ATLANTIC SECTOR; TRACE-METALS; SOUTHEASTERN ATLANTIC; NUTRIENT-LIMITATION; DISSOLVED ZINC; MIXED-LAYER; ICP-MS; IRON</t>
  </si>
  <si>
    <t>First measurements of labile dissolved copper (LdCu) and dissolved zinc (dZn) and nickel (dNi) in the Atlantic sector of the Southern Ocean in winter are compared with summer data at reoccupied stations in order to better understand the winter reset state and supply of these trace metals to support productivity. In summer, vertical profiles of zinc behaved similarly to silicate (Si) and increased from sub-nanomolar surface concentrations to 8 nmol kg(-1) in bottom waters. Copper profiles also resembled Si and were typically 1 nmol kg(-1) in surface waters and increased to 3 nmol kg(-)1 at depth. First summer nickel data reported from this transect displayed comparatively higher surface concentrations of similar to 4.6 nmol kg(-1) increasing more rapidly to local intermediate depth maximums between 6.5 and 7.0 nmol kg(-1), similar to phosphate (PO4). Trace metal seasonality was most apparent in the mixed layer where the average of winter concentrations within the mixed layer exceeded summer values by approximately 0.2 nmol kg(-1) for LdCu, 1.2 nmol kg(-1) for dZn and 0.3 nmol kg(-1) for dNi owing to low utilization under unfavourable growth conditions for phytoplankton. In an effort to estimate the winter reserve, two scenarios were considered. Scenario 1 accounted for in-situ mixed layer depths (MLD) where the winter reserve inventory was calculated by subtracting the summer depth integrated metal inventory (surface to summer MLD) from the winter equivalent (surface to winter MLD). Scenario 2 assumed a constant mixed layer (taken as the depth of the maximum winter mixed layer) where summer depth integrated metal inventories (surface to maximum winter MLD) were subtracted from the winter equivalents (surface to maximum winter MLD). Results for scenario 1 were predominantly dependent on the mixed layer depth which varied spatially and seasonally. Scenario 2 showed a southwards increase in the winter reserve inventory suggesting a greater role for entrainment at higher latitudes in this region. This is however heavily dependent on other physical processes controlling vertical trace metal supply e.g. diapycnal diffusion, Ekman upwelling/downwelling. Zinc (R-2 &gt; 0.75) and copper (R-2 &gt; 0.73) were strongly correlated with Si throughout the study implicating diatoms as strong controllers of their biogeochemical cycling. Nickel was more strongly correlated with PO4 in the upper water column (R-2 &gt; 0.75), as compared to the whole water column (R-2 &gt; 0.52), while in the deep ocean nickel appears to correlate with Si although more deep ocean data is needed to confirm this. Trace metal to major nutrient ratios were higher in winter suggesting reduced micronutrient requirement relative to macronutrients under stressed but low productivity conditions. This article is part of a special issue entitled:  Cycles of trace elements and isotopes in the ocean - GEOTRACES and beyond - edited by Tim M. Conway, Tristan Horner, Yves Plancherel, and Aridane G. Gonzalez.</t>
  </si>
  <si>
    <t>[Cloete, R.; Loock, J. C.; Mtshali, T.; Fietz, S.; Roychoudhury, A. N.] Stellenbosch Univ, Dept Earth Sci, Ctr Trace Met &amp; Expt Biogeochem TracEx, ZA-7600 Stellenbosch, South Africa; [Mtshali, T.] CSIR, Southern Ocean Carbon &amp; Climate Observ, Nat Resources &amp; Environm, ZA-7600 Stellenbosch, South Africa</t>
  </si>
  <si>
    <t>Stellenbosch University; Council for Scientific &amp; Industrial Research (CSIR) - South Africa</t>
  </si>
  <si>
    <t>Roychoudhury, AN (corresponding author), Stellenbosch Univ, Dept Earth Sci, Ctr Trace Met &amp; Expt Biogeochem TracEx, ZA-7600 Stellenbosch, South Africa.</t>
  </si>
  <si>
    <t>roy@sun.ac.za</t>
  </si>
  <si>
    <t>Fietz, Susanne/A-8695-2012</t>
  </si>
  <si>
    <t>Fietz, Susanne/0000-0003-0896-8385; Roychoudhury, Alakendra/0000-0002-5627-8891</t>
  </si>
  <si>
    <t>South African National Research Foundation (NRF) Innovation PhD studentship; NRF [93069, 105826, 110715]</t>
  </si>
  <si>
    <t>South African National Research Foundation (NRF) Innovation PhD studentship; NRF</t>
  </si>
  <si>
    <t>We would like to thank the South African National Antarctic Programme (SANAP) and the captain and crew of the R/V SA Agulhas II for their professionalism and support during the cruises. The Iron team is acknowledged for their help in collecting trace-clean samples. The authors would like to thank Rob Middag and Peter Croot for their constructive reviews, the results of which improved this manuscript. Ryan Cloete was supported through the South African National Research Foundation (NRF) Innovation PhD studentship. This research was supported by NRF grants (UID#93069, 105826 and 110715) to AR. This is TracEx publication #1.</t>
  </si>
  <si>
    <t>10.1016/j.chemgeo.2018.10.023</t>
  </si>
  <si>
    <t>WOS:000462772400024</t>
  </si>
  <si>
    <t>Laukert, G; Makhotin, M; Petrova, MV; Frank, M; Hathorne, EC; Bauch, D; Böning, P; Kassens, H</t>
  </si>
  <si>
    <t>Laukert, Georgi; Makhotin, Mikhail; Petrova, Mariia, V; Frank, Martin; Hathorne, Ed C.; Bauch, Dorothea; Boening, Philipp; Kassens, Heidemarie</t>
  </si>
  <si>
    <t>Water mass transformation in the Barents Sea inferred from radiogenic neodymium isotopes, rare earth elements and stable oxygen isotopes</t>
  </si>
  <si>
    <t>Arctic Ocean; Barents Sea; Neodymium isotopes; Rare earth elements; Water masses; Scavenging</t>
  </si>
  <si>
    <t>WEST SPITSBERGEN CURRENT; ARCTIC-OCEAN; FRESH-WATER; FRAM STRAIT; NORDIC SEAS; ND ISOTOPE; ATLANTIC INFLOWS; ICE LOSS; CIRCULATION; SEAWATER</t>
  </si>
  <si>
    <t>Nearly half the inflow of warm and saline Atlantic Water (AW) to the Arctic Ocean is substantially cooled and freshened in the Barents Sea, which is therefore considered a key region for water mass transformation in the Arctic Mediterranean (AM). Numerous studies have focused on this transformation and the increasing influence of AW on Arctic climate and biodiversity, yet geochemical investigations of these processes have been scarce. Using the first comprehensive data set of the distributions of dissolved radiogenic neodymium (Nd) isotopes (expressed as epsilon(Nd)), rare earth elements (REE) and stable oxygen isotope (delta O-18) compositions from this region we are able to constrain the transport and transformation of AW in the Barents Sea and to investigate which processes change the chemical composition of the water masses beyond what is expected from circulation and mixing. Inflowing AW and Norwegian Coastal Water (NCW) both exhibit distinctly unradiogenic epsilon(Nd) signatures of - 12.4 and - 14.5, respectively, whereas cold and dense Polar Water (PW) has considerably more radiogenic epsilon(Nd) signatures reaching up to - 8.1. Locally formed Barents Sea Atlantic Water (BSAW) and Barents Sea Arctic Atlantic Water (BSAAW) are encountered in the northeastern Barents Sea and have intermediate epsilon(Nd) values resulting from admixture of PW containing small amounts of riverine freshwater from the Ob (&lt; similar to 1.1%) to AW and NCW. Similar to the Laptev Sea, the dissolved Nd isotope composition in the Barents Sea seems to be mainly controlled by water mass advection and mixing despite its shallow water depth. Strikingly, the BSAW and BSAAW are marked by the lowest dissolved REE concentrations reported to date for the AM reaching 11 pmol/ kg for Nd ([Nd]), which in contrast to the Nd isotopes, cannot be attributed to the admixture of REE-rich Ob freshwater to AW or NCW ([Nd] = 16.7, and 22 pmol/kg, respectively) and instead reflects REE removal from the dissolved phase with preferential removal of the light over the heavy REEs. The REE removal is, however, not explainable by estuarine REE behavior alone, suggesting that scavenging by (re)suspended (biogenic) particles occurs locally in the Barents Sea. Regardless of the exact cause of REE depletion, we show that AW transformation is accompanied by geochemical changes beyond those expected from water mass mixing. This article is part of a special issue entitled: Cycles of trace elements and isotopes in the ocean - GEOTRACES and beyond - edited by Tim M. Conway, Tristan Horner, Yves Plancherel, and Aridane G. Gonzalez.</t>
  </si>
  <si>
    <t>[Laukert, Georgi; Petrova, Mariia, V; Frank, Martin; Hathorne, Ed C.; Bauch, Dorothea; Kassens, Heidemarie] GEOMAR Helmholtz Ctr Ocean Res Kiel, Wischhofstr 1-3, D-24148 Kiel, Germany; [Makhotin, Mikhail] AARI, Ul Beringa 38, St Petersburg, Russia; [Petrova, Mariia, V] Aix Marseille Univ, CNRS INSU, Univ Toulon, IRD,MIO,UM 110, F-13288 Marseille, France; [Petrova, Mariia, V] St Petersburg State Univ, 7-9 Univ Skaya Emb, St Petersburg 199034, Russia; [Boening, Philipp] Carl von Ossietzky Univ Oldenburg, Max Planck Res Grp Marine Isotope Geochem, Inst Chem &amp; Biol Marine Environm ICBM, Carl von Ossietzky Str 9-11, D-26129 Oldenburg, Germany</t>
  </si>
  <si>
    <t>Helmholtz Association; GEOMAR Helmholtz Center for Ocean Research Kiel; Arctic &amp; Antarctic Research Institute; Institut de Recherche pour le Developpement (IRD); Aix-Marseille Universite; Centre National de la Recherche Scientifique (CNRS); CNRS - National Institute for Earth Sciences &amp; Astronomy (INSU); Saint Petersburg State University; Carl von Ossietzky Universitat Oldenburg</t>
  </si>
  <si>
    <t>Laukert, G (corresponding author), GEOMAR Helmholtz Ctr Ocean Res Kiel, Wischhofstr 1-3, D-24148 Kiel, Germany.</t>
  </si>
  <si>
    <t>glaukert@geomer.de</t>
  </si>
  <si>
    <t>Hathorne, Ed/AAC-6315-2020; Makhotin, Mikhail/K-8861-2016</t>
  </si>
  <si>
    <t>Hathorne, Ed/0000-0002-7813-2455; Frank, Martin/0000-0002-8606-4421; Boning, Philipp/0009-0003-7375-4567; Laukert, Georgi/0000-0002-8209-763X</t>
  </si>
  <si>
    <t>Arctic and Antarctic Research Institute (AARI); joint Russian-German Master Program for Polar and Marine Sciences (POMOR) - German Federal Ministry of Education and Research (BMBF) [03G0833, 03F0776]; St. Petersburg State University; Ministry of Education and Science of the Russian Federation; DFG [BA1689]; Ministry of Education and Science of the Russian Federation [RFMEFI61617X0076]</t>
  </si>
  <si>
    <t>Arctic and Antarctic Research Institute (AARI); joint Russian-German Master Program for Polar and Marine Sciences (POMOR) - German Federal Ministry of Education and Research (BMBF)(Federal Ministry of Education &amp; Research (BMBF)); St. Petersburg State University; Ministry of Education and Science of the Russian Federation(Ministry of Education and Science, Russian Federation); DFG(German Research Foundation (DFG)); Ministry of Education and Science of the Russian Federation(Ministry of Education and Science, Russian Federation)</t>
  </si>
  <si>
    <t>We would like to thank the Captain and Crew of the RV Professor Molchanov for help in collecting the seawater samples. We also thank Jutta Heinze (GEOMAR) for laboratory assistance. The expedition to the Barents Sea was funded by the Arctic and Antarctic Research Institute (AARI) within the frame of the project Arctic Floating University 2014 . This work is partly based on the Master of Science project of Mariia Petrova and was supported by the joint Russian-German Master Program for Polar and Marine Sciences (POMOR) funded by the German Federal Ministry of Education and Research (BMBF grants 03G0833 and 03F0776), the St. Petersburg State University and the Ministry of Education and Science of the Russian Federation. Dorothea Bauch also acknowledges financial support from DFG project BA1689, and Mikhail Makhotin acknowledges financial support from the Ministry of Education and Science of the Russian Federation project RFMEFI61617X0076.</t>
  </si>
  <si>
    <t>10.1016/j.chemgeo.2018.10.002</t>
  </si>
  <si>
    <t>WOS:000462772400029</t>
  </si>
  <si>
    <t>Wang, RM; Archer, C; Bowie, AR; Vance, D</t>
  </si>
  <si>
    <t>Wang, R-M; Archer, C.; Bowie, A. R.; Vance, D.</t>
  </si>
  <si>
    <t>Zinc and nickel isotopes in seawater from the Indian Sector of the Southern Ocean: The impact of natural iron fertilization versus Southern Ocean hydrography and biogeochemistry</t>
  </si>
  <si>
    <t>Zinc isotopes; Nickel isotopes; Southern Ocean; KEOPS-2; Kerguelen Island; Natural iron fertilization</t>
  </si>
  <si>
    <t>DISSOLVED ZINC; CARBON EXPORT; TRACE-METALS; KERGUELEN PLATEAU; MASS SPECTROMETRY; PACIFIC; COPPER; ZN; FRACTIONATION; FE</t>
  </si>
  <si>
    <t>The Southern Ocean is the site of 20% of global ocean carbon export, and the origin of water masses that significantly impact the chemistry of the global ocean. Much of the Southern Ocean is a high nutrient low chlorophyll (HNLC) region. Iron is the primary limiting nutrient for phytoplankton growth, and may also be an important control on the biogeochemistry of the water masses emanating from the Southern Ocean. Here we investigate the response of Zn and Ni and their isotopes to natural Fe fertilization from Southern Ocean islands, using samples collected during the KEOPS-2 (Oct-Nov 2011) program in the early austral spring near the Kerguelen plateau, Indian Sector of the Southern Ocean. Zinc and Ni concentrations show depth distributions and relationships to major nutrients that are very similar to published data from the Atlantic sector of the Southern Ocean, away from island fertilization. As in the Atlantic sector, and other regions outside the Southern Ocean, there is a slight minimum in delta Zn-66 at about 100-150 m depth and a slightly heavier value at the surface. At the KEOPS-2 sites, the light sub-surface Zn isotopes occur at the depth level where measured chl-a has declined to near zero. The heaviest Zn isotope values in either the Atlantic or Indian sectors occur in bottom waters, are associated with samples that show high dissolved Si relative to Zn. These latter represent possible evidence for a heavy input directly to deep water or from sediment, and the Zn-Si-delta Zn-66 systematics are consistent with a source in diatom opal. Nickel concentrations show much less variation than those of Zn, with the most depleted surface value only 15-20% lower than those in upwelled deep water in the Southern Ocean. These small variations in Ni concentration are associated with no significant variability in Ni isotopes, as also previously observed in the Atlantic sector. Overall, the key feature of the dataset is the apparent absence of any significant impact of natural Fe fertilization on the distribution of Zn and Ni, with the dominant control being the station location relative to the Polar Front in both the Atlantic and Indian sectors. Zinc and Ni isotopes are invariant in surface waters, whether inside or outside the fertilized zone and whether south or north of the Polar Front. This article is part of a special issue entitled: Cycles of trace elements and isotopes in the ocean - GEOTRACES and beyond - edited by Tim M. Conway, Tristan Horner, Yves Plancherel, and Aridane G. Gonzalez.</t>
  </si>
  <si>
    <t>[Wang, R-M; Archer, C.; Vance, D.] Swiss Fed Inst Technol, Inst Geochem &amp; Petrol, Dept Earth Sci, Clausiusstr 25, CH-8092 Zurich, Switzerland; [Bowie, A. R.] Univ Tasmania, Inst Marine &amp; Antarctic Studies, Antarctic Climate &amp; Ecosyst Cooperat Res Ctr, Hobart, Tas, Australia; [Wang, R-M] Acad Sinica, Inst Earth Sci, 128,Sec 2,Acad Rd, Taipei 11529, Taiwan</t>
  </si>
  <si>
    <t>Swiss Federal Institutes of Technology Domain; ETH Zurich; Antarctic Climate &amp; Ecosystems Cooperative Research Centre (ACE CRC); University of Tasmania; Academia Sinica - Taiwan</t>
  </si>
  <si>
    <t>Wang, RM (corresponding author), Swiss Fed Inst Technol, Inst Geochem &amp; Petrol, Dept Earth Sci, Clausiusstr 25, CH-8092 Zurich, Switzerland.;Wang, RM (corresponding author), Acad Sinica, Inst Earth Sci, 128,Sec 2,Acad Rd, Taipei 11529, Taiwan.</t>
  </si>
  <si>
    <t>rmwang4112@gmail.com</t>
  </si>
  <si>
    <t>Bowie, Andrew/C-8677-2013</t>
  </si>
  <si>
    <t>Bowie, Andrew/0000-0002-5144-7799</t>
  </si>
  <si>
    <t>Ministry of Science and Technology, Taiwan [105-2917-I-564-029]; ETH Zurich, Switzerland; Swiss National Science Foundation, Switzerland [200020_165904]; Swiss National Science Foundation (SNF) [200020_165904] Funding Source: Swiss National Science Foundation (SNF)</t>
  </si>
  <si>
    <t>Ministry of Science and Technology, Taiwan(Ministry of Science and Technology, Taiwan); ETH Zurich, Switzerland(ETH Zurich); Swiss National Science Foundation, Switzerland(Swiss National Science Foundation (SNSF)); Swiss National Science Foundation (SNF)(Swiss National Science Foundation (SNSF))</t>
  </si>
  <si>
    <t>The authors thank the chief scientists S. Blain and B. Queguiner; the captain and the crew of KEOPS-2 cruise, as well as the trace metal sampling group. We are grateful to three anonymous reviewers and guest editor Tristan Horner, whose comments significantly improved an earlier version of the paper. R.-M. Wang is grateful for the Ministry of Science and Technology, Taiwan for supporting her research abroad (Project number: 105-2917-I-564-029). This research was also supported by ETH Zurich, Switzerland and the Swiss National Science Foundation, Switzerland, through grant 200020_165904.</t>
  </si>
  <si>
    <t>10.1016/j.chemgeo.2018.09.010</t>
  </si>
  <si>
    <t>WOS:000462772400032</t>
  </si>
  <si>
    <t>Sieber, M; Conway, TM; de Souza, GF; Obata, H; Takano, S; Sohrin, Y; Vance, D</t>
  </si>
  <si>
    <t>Sieber, M.; Conway, T. M.; de Souza, G. F.; Obata, H.; Takano, S.; Sohrin, Y.; Vance, D.</t>
  </si>
  <si>
    <t>Physical and biogeochemical controls on the distribution of dissolved cadmium and its isotopes in the Southwest Pacific Ocean</t>
  </si>
  <si>
    <t>Trace metals; Biogeochemistry; GEOTRACES; GP19 section; Water mass mixing; Complete utilization</t>
  </si>
  <si>
    <t>SOUTHERN-OCEAN; PHOSPHATE RELATIONSHIP; PRECISE DETERMINATION; MASS-BALANCE; ZINC; CD; ZN; FRACTIONATION; IRON; ATLANTIC</t>
  </si>
  <si>
    <t>Cadmium stable isotope ratios (delta Cd-114) have become a useful tool for oceanographers investigating the bio-geochemical and physical processes that affect the nutrient-like distribution of the bioactive trace metal cadmium (Cd) throughout the oceans. Here, we present a meridional transect of dissolved Cd and delta Cd-114 from Japanese GEOTRACES section GP19 along 170 degrees W from 64 degrees S in the Southern Ocean to the equatorial Pacific. Along the GP19 section, the deep ocean (&gt; 1500 m) shows small variability in dissolved Cd (0.75-0.9 nmol kg(-1)) and a homogeneous delta Cd-114 signature (+0.26 +/- 0.06 parts per thousand, 2SD, n = 60; relative to NIST SRM-3108). Adding these data to previously published work allows us to calculate a deep Pacific and Southern Ocean (&gt; 1500 m) mean delta Cd-114 of +0.26 +/- 0.10 parts per thousand (2SD, n = 436). Higher in the water column, depth profiles of Cd along the GP19 section exhibit a strong vertical gradient from a maximum (up to 0.9 nmol kg(-1)) at 1500-2000 m up to depleted surface waters (&lt; 0.001 nmol kg(-1) in the equatorial Pacific). This gradient in dissolved Cd concentration is associated with changes in dissolved delta Cd-114, with values higher (+0.4 to +0.6%) than the deep ocean average at intermediate depths (300-1500 m), and then a further increase towards high delta Cd-114 values (up to +0.9%) in the surface ocean. Both patterns could be explained by one-dimensional biological cycling including preferential uptake of isotopically light Cd by phytoplankton, and such processes likely explain the surface patterns. At intermediate depths, however, the observed strong vertical Cd concentration and isotopic gradients instead result from the lateral isopycnal transport of Antarctic Intermediate Water (AAIW) and Subantarctic Mode Water (SAMW), both of which carry distinctly lower pre-formed Cd concentrations and higher delta Cd-114 values. These pre-formed signatures, which are imparted during water-mass formation in the Southern Ocean, are clearly conserved into the lower latitude Pacific as these water masses travel northward. Overall, the distribution of Cd and delta Cd-114 along the GP19 section is remarkably well explained by large scale mixing of water mass endmembers with defined delta Cd-114 signatures, emphasizing the importance of surface Southern Ocean processes for the distribution of trace metals such as Cd in the subsurface Southwest Pacific. At the regional scale, however, two other processes may overprint this mixing relationship. First, by comparison with the nearby Southeast Pacific GP16 section, we find that the delta Cd-114 signature of equatorial intermediate water masses shows little zonal variation across the equatorial Pacific, despite becoming enriched in dissolved Cd due to remineralization. We propose that this uniformity is explained by complete utilization of Cd in the surface tropical Pacific and remineralization of Cd with an isotopic signature similar to intermediate waters, therefore conserving the southern-sourced isotopic signature. Similarly, the observed increase of about 30% in deep ocean Cd concentrations from the South to the North Pacific is associated with a near-constant delta Cd-114 signal. These observations enable us to constrain the net delta Cd-114 of Cd added by remineralization to the deep ocean, with the caveat that such a signal is integrated over the entire Pacific, and that remineralization under different oceanic regimes such as HNLC areas may add Cd with different isotopic compositions to deep waters. Second, at GP19 stations close to the equator, subtle Cd depletion (relative to phosphate) is observed associated with low-oxygen subsurface waters, consistent with other studies from the North Pacific. Discerning the effects of such processes on Cd isotopic distributions is an important step to a more detailed understanding of the biogeochemical cycling of Cd in the modern ocean, and the application of delta Cd-114 as a tracer of past deep water circulation. This article is part of a special issue entitled: Cycles of trace elements and isotopes in the ocean - GEOTRACES and beyond - edited by Tim M. Conway, Tristan Horner, Yves Plancherel, and Aridane G. Gonzalez.</t>
  </si>
  <si>
    <t>[Sieber, M.; Conway, T. M.; de Souza, G. F.; Vance, D.] Swiss Fed Inst Technol, Dept Earth Sci, Inst Geochem &amp; Petrol, Zurich, Switzerland; [Conway, T. M.] Univ S Florida, Coll Marine Sci, Tampa, FL 33620 USA; [Conway, T. M.] Univ S Florida, Sch Geosci, Tampa, FL 33620 USA; [Obata, H.] Univ Tokyo, Atmosphere &amp; Ocean Res Inst, Tokyo, Japan; [Takano, S.; Sohrin, Y.] Kyoto Univ, Inst Chem Res, Kyoto, Japan</t>
  </si>
  <si>
    <t>Swiss Federal Institutes of Technology Domain; ETH Zurich; State University System of Florida; University of South Florida; State University System of Florida; University of South Florida; University of Tokyo; Kyoto University</t>
  </si>
  <si>
    <t>Sieber, M (corresponding author), Swiss Fed Inst Technol, Dept Earth Sci, Inst Geochem &amp; Petrol, Zurich, Switzerland.</t>
  </si>
  <si>
    <t>Matthias.sieber@erdw.ethz.ch</t>
  </si>
  <si>
    <t>Takano, Shotaro/AAT-7105-2021; Sohrin, Yoshiki/A-8133-2011</t>
  </si>
  <si>
    <t>Takano, Shotaro/0000-0002-6596-5327; Sohrin, Yoshiki/0000-0001-6744-6048; Sieber, Matthias/0000-0001-5510-6126</t>
  </si>
  <si>
    <t>ETH Zurich; European Union [708407]; University of South Florida; Monkasho (Ministry of Education, Culture, Sports, Science and Technology: MEXT) [23253001, 16H02701, JPH05820]; Marie Curie Actions (MSCA) [708407] Funding Source: Marie Curie Actions (MSCA)</t>
  </si>
  <si>
    <t>ETH Zurich(ETH Zurich); European Union(European Union (EU)); University of South Florida; Monkasho (Ministry of Education, Culture, Sports, Science and Technology: MEXT)(Ministry of Education, Culture, Sports, Science and Technology, Japan (MEXT)); Marie Curie Actions (MSCA)(Marie Curie Actions)</t>
  </si>
  <si>
    <t>We thank the captain, crew and GEOTRACES water sampling team aboard R/V Hakuho Maru on the GP19 cruise, and Corey Archer for assistance in the lab at ETH Zurich. We also thank two anonymous reveiwers and the guest editor for their constructive comments which helped improve this article. This work was funded by ETH Zurich. GFdS was supported by the European Union's Horizon 2020 research and innovation programme under Marie Sklodowska-Curie grant agreement #708407 and TMC is supported by the University of South Florida. This study was partially supported by Grants-in-Aid for Scientific Research (A) (Nos. 23253001 and 16H02701) and Grants-in-Aid for Scientific Research in Innovative Areas Ocean Mixing Processes (No. JPH05820) from Monkasho (Ministry of Education, Culture, Sports, Science and Technology: MEXT).</t>
  </si>
  <si>
    <t>10.1016/j.chemgeo.2018.07.021</t>
  </si>
  <si>
    <t>WOS:000462772400035</t>
  </si>
  <si>
    <t>Brainard, J</t>
  </si>
  <si>
    <t>Brainard, Jeffrey</t>
  </si>
  <si>
    <t>Ship recovers Antarctic clues</t>
  </si>
  <si>
    <t>SCIENCE</t>
  </si>
  <si>
    <t>News Item</t>
  </si>
  <si>
    <t>0036-8075</t>
  </si>
  <si>
    <t>1095-9203</t>
  </si>
  <si>
    <t>Science</t>
  </si>
  <si>
    <t>APR 19</t>
  </si>
  <si>
    <t>HU0JG</t>
  </si>
  <si>
    <t>WOS:000464956600007</t>
  </si>
  <si>
    <t>Foo, D; McMahon, C; Hindell, M; Goldsworthy, S; Bailleul, F</t>
  </si>
  <si>
    <t>Foo, Dahlia; McMahon, Clive; Hindell, Mark; Goldsworthy, Simon; Bailleul, Fred</t>
  </si>
  <si>
    <t>Influence of shelf oceanographic variability on alternate foraging strategies in long-nosed fur seals</t>
  </si>
  <si>
    <t>MARINE ECOLOGY PROGRESS SERIES</t>
  </si>
  <si>
    <t>Arctocephalus forsteri; Upwelling; Continental shelf; Foraging strategies; Foraging ecology; Timing; Marine top predators; Subtropical front</t>
  </si>
  <si>
    <t>CENTRAL-PLACE FORAGER; SOUTHERN-OCEAN; ARCTOCEPHALUS-GAZELLA; MATERNAL CHARACTERISTICS; INTERANNUAL VARIABILITY; SUBMESOSCALE FRONTS; SEASONAL-CHANGES; SITE FIDELITY; BEHAVIOR; HABITAT</t>
  </si>
  <si>
    <t>Central place foragers often change their foraging behaviour in response to changes in prey availability in the environment. Lactating long-nosed fur seals Arctocephalus forsteri (LNFS) at Cape Gantheaume in South Australia have been observed to display alternate foraging strategies, whereby they forage on the shelf in summer and switch to oceanic foraging in winter. We investigated the relationship between changes in shelf summertime upwelling and the timing and variability when females switch from predominantly shelf to oceanic foraging. Geolocation tags were deployed on females from summer to winter in 2016 and 2017, giving us longitudinal tracks over the transition period. The timing of switching from shelf to oceanic foraging was primarily driven by seasonal oceanographic changes on the shelf-specifically when the strength of the seasonal localised upwelling began to decline. The individual variability in the timing of the switch was driven by the strength of the coastal upwelling, with variability being greater in years when upwelling strength was weaker. By comparing our results to those of previous studies on the same colony, we found qualitative evidence that inter-annual environmental variability likely influences whether individuals display a single or multiple foraging strategies. This further highlights the flexibility in foraging strategies used by LNFS in response to environmental changes. The effect of inter-annual differences in foraging strategies on overall reproductive success warrants further investigation.</t>
  </si>
  <si>
    <t>[Foo, Dahlia; Hindell, Mark] Univ Tasmania, Inst Marine &amp; Antarctic Studies, Hobart, Tas 7004, Australia; [McMahon, Clive] Sydney Inst Marine Sci, Mosman, NSW 2088, Australia; [Goldsworthy, Simon; Bailleul, Fred] South Australian Res &amp; Dev Inst, Aquat Sci Ctr, West Beach, SA 5024, Australia</t>
  </si>
  <si>
    <t>University of Tasmania; Sydney Institute of Marine Science; South Australian Research &amp; Development Institute (SARDI)</t>
  </si>
  <si>
    <t>Foo, D (corresponding author), Univ Tasmania, Inst Marine &amp; Antarctic Studies, Hobart, Tas 7004, Australia.</t>
  </si>
  <si>
    <t>dahlia.foo@utas.edu.au</t>
  </si>
  <si>
    <t>McMahon, Clive R/D-5713-2013; Hindell, Mark A/K-1131-2013</t>
  </si>
  <si>
    <t>McMahon, Clive R/0000-0001-5241-8917; Hindell, Mark/0000-0002-7823-7185; Foo, Dahlia/0000-0002-4983-9208; Goldsworthy, Simon/0000-0003-4988-9085</t>
  </si>
  <si>
    <t>Sea World Research and Rescue Foundation; Holsworth Wildlife and Research Endowment; Lirabenda Endowment Fund</t>
  </si>
  <si>
    <t>This study was supported through grants from the Sea World Research and Rescue Foundation, the Holsworth Wildlife and Research Endowment, and the Lirabenda Endowment Fund (issued by the Field Naturalists Society of South Australia). We thank the Department of Environment, Water and Natural Resources, in particular A. Maguire for logistical support. We also thank the many people who assisted in fieldwork, especially the guides at Seal Slide, R. Boeren, A. Proctor, A. Doole, L. Stephens and K. Gilbert. All animal handling and experimentation were undertaken with approval from the Primary Industries and Regions South Australia animal ethics committee (application 32-12), Department of Environment, Water and Natural Resources (permit A24684) and the University of Tasmania animal ethics committee (permit A0015176). We thank the 2 reviewers who gave extensive feedback which helped to improve this manuscript.</t>
  </si>
  <si>
    <t>INTER-RESEARCH</t>
  </si>
  <si>
    <t>OLDENDORF LUHE</t>
  </si>
  <si>
    <t>NORDBUNTE 23, D-21385 OLDENDORF LUHE, GERMANY</t>
  </si>
  <si>
    <t>0171-8630</t>
  </si>
  <si>
    <t>1616-1599</t>
  </si>
  <si>
    <t>MAR ECOL PROG SER</t>
  </si>
  <si>
    <t>Mar. Ecol.-Prog. Ser.</t>
  </si>
  <si>
    <t>APR 18</t>
  </si>
  <si>
    <t>10.3354/meps12922</t>
  </si>
  <si>
    <t>Ecology; Marine &amp; Freshwater Biology; Oceanography</t>
  </si>
  <si>
    <t>Environmental Sciences &amp; Ecology; Marine &amp; Freshwater Biology; Oceanography</t>
  </si>
  <si>
    <t>IX5KN</t>
  </si>
  <si>
    <t>WOS:000485723200013</t>
  </si>
  <si>
    <t>O'Neill, CM; Hogg, AM; Ellwood, MJ; Eggins, SM; Opdyke, BN</t>
  </si>
  <si>
    <t>O'Neill, Cameron M.; Hogg, Andrew McC.; Ellwood, Michael J.; Eggins, Stephen M.; Opdyke, Bradley N.</t>
  </si>
  <si>
    <t>The [simple carbon project] model v1.0</t>
  </si>
  <si>
    <t>GEOSCIENTIFIC MODEL DEVELOPMENT</t>
  </si>
  <si>
    <t>LAST GLACIAL MAXIMUM; DEEP-OCEAN VENTILATION; ANTARCTIC SEA-ICE; ATMOSPHERIC CO2; SOUTHERN-OCEAN; OVERTURNING CIRCULATION; CALCIUM-CARBONATE; TERRESTRIAL BIOSPHERE; ISOTOPE FRACTIONATION; DISSOLUTION KINETICS</t>
  </si>
  <si>
    <t>We construct a carbon cycle box model to process observed or inferred geochemical evidence from modern and paleo settings. The [simple carbon project] model v1.0 (SCP-M) combines a modern understanding of the ocean circulation regime with the Earth's carbon cycle. SCP-M estimates the concentrations of a range of elements within the carbon cycle by simulating ocean circulation, biological, chemical, atmospheric and terrestrial carbon cycle processes. The model is capable of reproducing both paleo and modern observations and aligns with CMIP5 model projections. SCP-M's fast run time, simplified layout and matrix structure render it a flexible and easy-to-use tool for paleo and modern carbon cycle simulations. The ease of data integration also enables model-data optimisations. Limitations of the model include the prescription of many fluxes and an ocean-basin-averaged topology, which may not be applicable to more detailed simulations. In this paper we demonstrate SCP-M's application primarily with an analysis of the carbon cycle transition from the Last Glacial Maximum (LGM) to the Holocene and also with the modern carbon cycle under the influence of anthropogenic CO2 emissions. We conduct an atmospheric and ocean multi-proxy model-data parameter optimisation for the LGM and late Holocene periods using the growing pool of published paleo atmosphere and ocean data for CO2, delta C-13, Delta C-14 and the carbonate ion proxy. The results provide strong evidence for an ocean-wide physical mechanism to deliver the LGM-to-Holocene carbon cycle transition. Alongside ancillary changes in ocean temperature, volume, salinity, sea-ice cover and atmospheric radiocarbon production rate, changes in global overturning circulation and, to a lesser extent, Atlantic meridional overturning circulation can drive the observed LGM and late Holocene signals in atmospheric CO2, delta C-13, Delta C-14, and the oceanic distribution of delta C-13, Delta C-14 and the carbonate ion proxy. Further work is needed on the analysis and processing of ocean proxy data to improve confidence in these modelling results.</t>
  </si>
  <si>
    <t>[O'Neill, Cameron M.; Hogg, Andrew McC.; Ellwood, Michael J.; Eggins, Stephen M.; Opdyke, Bradley N.] Australian Natl Univ, Res Sch Earth Sci, Canberra, ACT, Australia</t>
  </si>
  <si>
    <t>Australian National University</t>
  </si>
  <si>
    <t>O'Neill, CM (corresponding author), Australian Natl Univ, Res Sch Earth Sci, Canberra, ACT, Australia.</t>
  </si>
  <si>
    <t>cameron.oneill@anu.edu.au</t>
  </si>
  <si>
    <t>Eggins, Stephen M/H-6943-2016; Hogg, Andy/AAZ-8733-2021; Ellwood, Michael J/G-7390-2011; Hogg, Andy McC./A-7553-2011</t>
  </si>
  <si>
    <t>Hogg, Andy/0000-0001-5898-7635; Hogg, Andy McC./0000-0001-5898-7635; Eggins, Stephen/0000-0002-0007-5753; Ellwood, Michael/0000-0003-4288-8530</t>
  </si>
  <si>
    <t>1991-959X</t>
  </si>
  <si>
    <t>1991-9603</t>
  </si>
  <si>
    <t>GEOSCI MODEL DEV</t>
  </si>
  <si>
    <t>Geosci. Model Dev.</t>
  </si>
  <si>
    <t>10.5194/gmd-12-1541-2019</t>
  </si>
  <si>
    <t>HU3YR</t>
  </si>
  <si>
    <t>WOS:000465211600002</t>
  </si>
  <si>
    <t>Boyd, PW; Claustre, H; Levy, M; Siegel, DA; Weber, T</t>
  </si>
  <si>
    <t>Boyd, Philip W.; Claustre, Herve; Levy, Marina; Siegel, David A.; Weber, Thomas</t>
  </si>
  <si>
    <t>Multi-faceted particle pumps drive carbon sequestration in the ocean</t>
  </si>
  <si>
    <t>NATURE</t>
  </si>
  <si>
    <t>PARTICULATE ORGANIC-CARBON; MIXED-LAYER; GRAVITATIONAL SINKING; VERTICAL-DISTRIBUTION; NET COMMUNITY; MARINE SNOW; EXPORT; FLUX; MATTER; ZOOPLANKTON</t>
  </si>
  <si>
    <t>The ocean's ability to sequester carbon away from the atmosphere exerts an important control on global climate. The biological pump drives carbon storage in the deep ocean and is thought to function via gravitational settling of organic particles from surface waters. However, the settling flux alone is often insufficient to balance mesopelagic carbon budgets or to meet the demands of subsurface biota. Here we review additional biological and physical mechanisms that inject suspended and sinking particles to depth. We propose that these 'particle injection pumps' probably sequester as much carbon as the gravitational pump, helping to close the carbon budget and motivating further investigation into their environmental control.</t>
  </si>
  <si>
    <t>[Boyd, Philip W.] Univ Tasmania, Inst Marine &amp; Antarctic Studies, Hobart, Tas, Australia; [Claustre, Herve] Sorbonne Univ, Villefranche Sur Mer, France; [Claustre, Herve] CNRS, LOV, Villefranche Sur Mer, France; [Levy, Marina] Sorbonne Univ, LOCEAN IPSL, CNRS IRD MNHN, Paris, France; [Siegel, David A.] Univ Calif Santa Barbara, Dept Geog, Santa Barbara, CA 93106 USA; [Siegel, David A.] Univ Calif Santa Barbara, Earth Res Inst, Santa Barbara, CA 93106 USA; [Weber, Thomas] Univ Rochester, Dept Earth &amp; Environm Sci, Rochester, NY USA</t>
  </si>
  <si>
    <t>University of Tasmania; Sorbonne Universite; Centre National de la Recherche Scientifique (CNRS); Institut de Recherche pour le Developpement (IRD); Sorbonne Universite; Museum National d'Histoire Naturelle (MNHN); University of California System; University of California Santa Barbara; University of California System; University of California Santa Barbara; University of Rochester</t>
  </si>
  <si>
    <t>Boyd, PW (corresponding author), Univ Tasmania, Inst Marine &amp; Antarctic Studies, Hobart, Tas, Australia.</t>
  </si>
  <si>
    <t>philip.boyd@utas.edu.au</t>
  </si>
  <si>
    <t>Claustre, Herve/JPL-2367-2023; CLAUSTRE, Herve/E-6877-2011; Levy, Marina/A-1315-2012; Boyd, Philip/J-7624-2014</t>
  </si>
  <si>
    <t>CLAUSTRE, Herve/0000-0001-6243-0258; Levy, Marina/0000-0003-2961-608X; Boyd, Philip/0000-0001-7850-1911</t>
  </si>
  <si>
    <t>Australian Research Council [FL160100131]; Australian Research Council's Special Research Initiative for Antarctic Gateway Partnership [SR140300001]; European Research Council (remOcean project) [246777]; Climate Initiative of the BNP Paribas foundation (SOCLIM project); CNES; ANR project SOBUMS [ANR-16-CE01-0014]; National Aeronautics and Space Administration (NASA) [NNX16AR50G]; NASA [80NSSC17K0692]; National Science Foundation [OCE-1635414]; Agence Nationale de la Recherche (ANR) [ANR-16-CE01-0014] Funding Source: Agence Nationale de la Recherche (ANR); European Research Council (ERC) [246777] Funding Source: European Research Council (ERC)</t>
  </si>
  <si>
    <t>Australian Research Council(Australian Research Council); Australian Research Council's Special Research Initiative for Antarctic Gateway Partnership(Australian Research Council); European Research Council (remOcean project); Climate Initiative of the BNP Paribas foundation (SOCLIM project); CNES(Centre National D'etudes Spatiales); ANR project SOBUMS(Agence Nationale de la Recherche (ANR)); National Aeronautics and Space Administration (NASA)(National Aeronautics &amp; Space Administration (NASA)); NASA(National Aeronautics &amp; Space Administration (NASA)); National Science Foundation(National Science Foundation (NSF)); Agence Nationale de la Recherche (ANR)(Agence Nationale de la Recherche (ANR)); European Research Council (ERC)(European Research Council (ERC)Spanish Government)</t>
  </si>
  <si>
    <t>P.W.B. was primarily supported by the Australian Research Council through a Laureate (FL160100131), and this research was also supported under the Australian Research Council's Special Research Initiative for Antarctic Gateway Partnership (project ID SR140300001). H.C. acknowledges the support of the European Research Council (remOcean project, grant agreement 246777) and of the Climate Initiative of the BNP Paribas foundation (SOCLIM project). M.L. was supported by CNES, by the ANR project SOBUMS (ANR-16-CE01-0014) and by the National Aeronautics and Space Administration (NASA) grant NNX16AR50G. D.A.S. acknowledges support from NASA as part of the EXport Processes in the global Ocean from RemoTe Sensing (EXPORTS) field campaign, grant 80NSSC17K0692. T.W. was supported by National Science Foundation grant OCE-1635414.</t>
  </si>
  <si>
    <t>NATURE RESEARCH</t>
  </si>
  <si>
    <t>BERLIN</t>
  </si>
  <si>
    <t>HEIDELBERGER PLATZ 3, BERLIN, 14197, GERMANY</t>
  </si>
  <si>
    <t>0028-0836</t>
  </si>
  <si>
    <t>1476-4687</t>
  </si>
  <si>
    <t>Nature</t>
  </si>
  <si>
    <t>10.1038/s41586-019-1098-2</t>
  </si>
  <si>
    <t>HU0GZ</t>
  </si>
  <si>
    <t>WOS:000464950700044</t>
  </si>
  <si>
    <t>Zemp, M; Huss, M; Thibert, E; Eckert, N; McNabb, R; Huber, J; Barandun, M; Machguth, H; Nussbaumer, SU; Gartner-Roer, I; Thomson, L; Paul, F; Maussion, F; Kutuzov, S; Cogley, JG</t>
  </si>
  <si>
    <t>Zemp, M.; Huss, M.; Thibert, E.; Eckert, N.; McNabb, R.; Huber, J.; Barandun, M.; Machguth, H.; Nussbaumer, S. U.; Gartner-Roer, I.; Thomson, L.; Paul, F.; Maussion, F.; Kutuzov, S.; Cogley, J. G.</t>
  </si>
  <si>
    <t>Global glacier mass changes and their contributions to sea-level rise from 1961 to 2016</t>
  </si>
  <si>
    <t>BALANCE MEASUREMENTS; COMPLETE INVENTORY; SURFACE ELEVATION; VOLUME CHANGE; SARENNES; SERIES; AREA</t>
  </si>
  <si>
    <t>Glaciers distinct from the Greenland and Antarctic ice sheets cover an area of approximately 706,000 square kilometres globally(1), with an estimated total volume of 170,000 cubic kilometres, or 0.4 metres of potential sea-level-rise equivalent(2). Retreating and thinning glaciers are icons of climate change(3) and affect regional runoff(4) as well as global sea level(5,6). In past reports from the Intergovernmental Panel on Climate Change, estimates of changes in glacier mass were based on the multiplication of averaged or interpolated results from available observations of a few hundred glaciers by defined regional glacier areas(7-10). For data-scarce regions, these results had to be complemented with estimates based on satellite altimetry and gravimetry(11). These past approaches were challenged by the small number and heterogeneous spatiotemporal distribution of in situ measurement series and their often unknown ability to represent their respective mountain ranges, as well as by the spatial limitations of satellite altimetry (for which only point data are available) and gravimetry (with its coarse resolution). Here we use an extrapolation of glaciological and geodetic observations to show that glaciers contributed 27 +/- 22 millimetres to global mean sea-level rise from 1961 to 2016. Regional specific-mass-change rates for 2006-2016 range from -0.1 metres to -1.2 metres of water equivalent per year, resulting in a global sea-level contribution of 335 +/- 144 gigatonnes, or 0.92 +/- 0.39 millimetres, per year. Although statistical uncertainty ranges overlap, our conclusions suggest that glacier mass loss may be larger than previously reported(11.) The present glacier mass loss is equivalent to the sea-level contribution of the Greenland Ice Sheet(12), clearly exceeds the loss from the Antarctic Ice Sheet(13), and accounts for 25 to 30 per cent of the total observed sea-level rise(14). Present mass-loss rates indicate that glaciers could almost disappear in some mountain ranges in this century, while heavily glacierized regions will continue to contribute to sea-level rise beyond 2100.</t>
  </si>
  <si>
    <t>[Zemp, M.; Huber, J.; Machguth, H.; Nussbaumer, S. U.; Gartner-Roer, I.; Paul, F.] Univ Zurich, Dept Geog, Zurich, Switzerland; [Huss, M.] Swiss Fed Inst Technol, Lab Hydraul Hydrol &amp; Glaciol VAW, Zurich, Switzerland; [Huss, M.; Barandun, M.; Machguth, H.; Nussbaumer, S. U.] Univ Fribourg, Dept Geosci, Fribourg, Switzerland; [Thibert, E.; Eckert, N.] Univ Grenoble Alpes, Irstea, UR ETGR, Grenoble, France; [McNabb, R.] Univ Oslo, Dept Geosci, Oslo, Norway; [Thomson, L.] Queens Univ, Dept Geog &amp; Planning, Kingston, ON, Canada; [Maussion, F.] Univ Innsbruck, Dept Atmospher &amp; Cryospher Sci, Innsbruck, Austria; [Kutuzov, S.] Russian Acad Sci, Inst Geog, Dept Glaciol, Moscow, Russia; [Cogley, J. G.] Trent Univ, Dept Geog, Peterborough, ON, Canada</t>
  </si>
  <si>
    <t>University of Zurich; Swiss Federal Institutes of Technology Domain; ETH Zurich; University of Fribourg; Communaute Universite Grenoble Alpes; Universite Grenoble Alpes (UGA); INRAE; University of Oslo; Queens University - Canada; University of Innsbruck; Russian Academy of Sciences; Institute of Geography, Russian Academy of Sciences; Trent University</t>
  </si>
  <si>
    <t>Zemp, M (corresponding author), Univ Zurich, Dept Geog, Zurich, Switzerland.</t>
  </si>
  <si>
    <t>michael.zemp@geo.uzh.ch</t>
  </si>
  <si>
    <t>Maussion, Fabien/B-9814-2013; Kutuzov, Stanislav/A-2775-2013; Huss, Matthias/JLL-6340-2023</t>
  </si>
  <si>
    <t>Maussion, Fabien/0000-0002-3211-506X; Kutuzov, Stanislav/0000-0003-2007-0922; THIBERT, Emmanuel/0000-0003-2843-5367; Machguth, Horst/0000-0001-5924-0998; McNabb, Robert/0000-0003-0016-493X; Barandun, Martina/0000-0003-1820-7600; Huss, Matthias/0000-0002-2377-6923</t>
  </si>
  <si>
    <t>Polar Geospatial Center under National Science Foundation (NSF) Office of Polar Programs (OPP) [1043681, 1559691, 1542736]; Federal Office of Meteorology and Climatology MeteoSwiss of the Global Climate Observing System (GCOS) Switzerland; Cryospheric Commission of the Swiss Academy of Science; Copernicus Climate Change Service (C3S); European Space Agency (ESA) project Glaciers_cci [4000109873/14/I-NB]; European Space Agency (ESA) project Sea-Level Budget Closure CCI [4000119910/17/I-NB]; Irstea Grenoble as part of LabEx OSUG@2020</t>
  </si>
  <si>
    <t>Polar Geospatial Center under National Science Foundation (NSF) Office of Polar Programs (OPP)(National Science Foundation (NSF)); Federal Office of Meteorology and Climatology MeteoSwiss of the Global Climate Observing System (GCOS) Switzerland; Cryospheric Commission of the Swiss Academy of Science; Copernicus Climate Change Service (C3S); European Space Agency (ESA) project Glaciers_cci; European Space Agency (ESA) project Sea-Level Budget Closure CCI; Irstea Grenoble as part of LabEx OSUG@2020</t>
  </si>
  <si>
    <t>We thank the national correspondents and principal investigators of the WGMS network as well as the Global Land Ice Measurements from Space (GLIMS) and RGI communities for free and open access to their data sets. We thank B. Armstrong for polishing the language. Arctic digital elevation model (DEM) strips were provided by the Polar Geospatial Center under National Science Foundation (NSF) Office of Polar Programs (OPP) awards 1043681, 1559691 and 1542736. This study was enabled by support from the Federal Office of Meteorology and Climatology MeteoSwiss within the framework of the Global Climate Observing System (GCOS) Switzerland, the Cryospheric Commission of the Swiss Academy of Science, the Copernicus Climate Change Service (C3S) implemented by the European Centre for Medium-range Weather Forecasts (ECMWF) on behalf of the European Commission, the European Space Agency (ESA) projects Glaciers_cci (4000109873/14/I-NB) and Sea-Level Budget Closure CCI (4000119910/17/I-NB), and Irstea Grenoble as part of LabEx OSUG@2020.</t>
  </si>
  <si>
    <t>NATURE PORTFOLIO</t>
  </si>
  <si>
    <t>+</t>
  </si>
  <si>
    <t>10.1038/s41586-019-1071-0</t>
  </si>
  <si>
    <t>WOS:000464950700054</t>
  </si>
  <si>
    <t>Trimborn, S; Thoms, S; Bischof, K; Beszteri, S</t>
  </si>
  <si>
    <t>Trimborn, Scarlett; Thoms, Silke; Bischof, Kai; Beszteri, Sara</t>
  </si>
  <si>
    <t>Susceptibility of Two Southern Ocean Phytoplankton Key Species to Iron Limitation and High Light</t>
  </si>
  <si>
    <t>climate change; growth; multiple stressors; photophysiology; photosynthesis; trace metals; Chaetoceros; Phaeocystis</t>
  </si>
  <si>
    <t>FRAGILARIOPSIS-CYLINDRUS BACILLARIOPHYCEAE; PHAEOCYSTIS-ANTARCTICA PRYMNESIOPHYCEAE; PHOTOSYNTHETIC ELECTRON-TRANSPORT; PHOTOSYSTEM-II; CO-LIMITATION; TAXA PHOTOSYNTHESIS; CHAETOCEROS-BREVIS; DIATOM; GROWTH; PHOTOPHYSIOLOGY</t>
  </si>
  <si>
    <t>Although iron (Fe) availability primarily sets the rate of phytoplankton growth and primary and export production in the Southern Ocean, other environmental factors, most significantly light, also affect productivity. As light availability strongly influences phytoplankton species distribution in low Fe-waters, we investigated the combined effects of increasing light (20, 200, and 500 mu mol photons m(-2) s(-1)) in conjunction with different Fe (0.4 and 2 nM) availability on the physiology of two ecologically relevant phytoplankton species in the Southern Ocean, Chaetoceros debilis (Bacillariophyceae) and Phaeocystis antarctica (Haptophyceae). Fe-deficient cells of P. antarctica displayed similar high growth rates at all irradiances. In comparison, Fe-deplete C. debilis cells grew much slower under low and medium irradiance and were unable to grow at the highest irradiance. Interestingly, Fe-deficient C. debilis cells were better protected against short-term excessive irradiances than P. antarctica. This tolerance was apparently counteracted by strongly lowered growth and particulate organic carbon production rates of the diatom relative to the prymnesiophyte. Overall, our results show that P. antarctica was the more tolerant species to changes in the availability of Fe and light, providing it a competitive advantage under a high light regime in Fe-deficient waters as projected for the future.</t>
  </si>
  <si>
    <t>[Trimborn, Scarlett; Thoms, Silke; Beszteri, Sara] Helmholtz Ctr Polar &amp; Marine Res, Alfred Wegener Inst, Biogeosci Sect, EcoTrace, Bremerhaven, Germany; [Trimborn, Scarlett; Bischof, Kai] Univ Bremen, Fac Biol Chem 2, Marine Bot Dept, Bremen, Germany</t>
  </si>
  <si>
    <t>Helmholtz Association; Alfred Wegener Institute, Helmholtz Centre for Polar &amp; Marine Research; University of Bremen</t>
  </si>
  <si>
    <t>Trimborn, S (corresponding author), Helmholtz Ctr Polar &amp; Marine Res, Alfred Wegener Inst, Biogeosci Sect, EcoTrace, Bremerhaven, Germany.;Trimborn, S (corresponding author), Univ Bremen, Fac Biol Chem 2, Marine Bot Dept, Bremen, Germany.</t>
  </si>
  <si>
    <t>scarlett.trimborn@awi.de</t>
  </si>
  <si>
    <t>Trimborn, Scarlett/AAM-1061-2021</t>
  </si>
  <si>
    <t>Trimborn, Scarlett/0000-0003-1434-9927; Bischof, Kai/0000-0002-4497-1920</t>
  </si>
  <si>
    <t>Helmholtz Impulse Fond (HGF Young Investigators Group EcoTrace) [VH-NG-901]; Deutsche Forschungsgemeinschaft (DFG) [BE5105/1-1]</t>
  </si>
  <si>
    <t>Helmholtz Impulse Fond (HGF Young Investigators Group EcoTrace); Deutsche Forschungsgemeinschaft (DFG)(German Research Foundation (DFG))</t>
  </si>
  <si>
    <t>ScT was funded by the Helmholtz Impulse Fond (HGF Young Investigators Group EcoTrace, VH-NG-901). SB was funded by the Deutsche Forschungsgemeinschaft (DFG) in the framework of the priority programme 'Antarctic Research with comparative investigations in Arctic ice areas', grant no. BE5105/1-1.</t>
  </si>
  <si>
    <t>APR 17</t>
  </si>
  <si>
    <t>10.3389/fmars.2019.00167</t>
  </si>
  <si>
    <t>HU7GC</t>
  </si>
  <si>
    <t>gold</t>
  </si>
  <si>
    <t>WOS:000465448200001</t>
  </si>
  <si>
    <t>Zeng, ZL; Mao, FY; Wang, ZM; Guo, JP; Gui, K; An, JC; Yim, SHL; Yang, YJ; Zhang, BJ; Jiang, H</t>
  </si>
  <si>
    <t>Zeng, Zhaoliang; Mao, Feiyue; Wang, Zemin; Guo, Jianping; Gui, Ke; An, Jiachun; Yim, Steve Hung Lam; Yang, Yuanjian; Zhang, Baojun; Jiang, Hu</t>
  </si>
  <si>
    <t>Preliminary Evaluation of the Atmospheric Infrared Sounder Water Vapor Over China Against High-Resolution Radiosonde Measurements</t>
  </si>
  <si>
    <t>BOUNDARY-LAYER HEIGHT; PRECIPITABLE WATER; TIBETAN PLATEAU; GPS MEASUREMENTS; TEMPERATURE; AEROSOL; CLOUD; AIRS/AMSU/HSB; VARIABILITY; RETRIEVAL</t>
  </si>
  <si>
    <t>The accuracy of the Atmospheric Infrared Sounder (AIRS) water vapor product in China is as yet unknown due to the lack of collocated in situ sounding observations. Based on high-resolution soundings at 1400 Beijing time from 113 radiosonde sites across China, along with the Moderate Resolution Imaging Spectroradiometer (MODIS) and the Global Positioning System (GPS) data sets, a preliminary assessment has been conducted of AIRS water vapor mixing ratio (q) and precipitable water vapor (PWV) products in June 2013 and June 2014. Comparison between AIRS and radiosonde data suggests that the correlation coefficient (R) and mean bias of these two q products in China exhibit a distinct geographical dependence (with the highest R values in northwest China). This suggests that the AIRS q product tends to be underestimated in southeast China where cloud cover prevails, but overestimated in northwest China where cloud cover is sparse. With regard to the height-resolved distribution, the q products from both AIRS and radiosondes tend to decrease with increasing altitude, irrespective of the particular region. The spatial distribution of AIRS PWV is consistent with that from radiosonde-derived PWV, except in south China where the AIRS PWV data set is considerably underestimated. The accuracy of the AIRS water vapor product tends to be impaired under highly cloudy conditions, corroborating the notion of clouds affecting the retrieval of AIRS PWV. Our findings highlight the importance of afternoon sounding measurements in validating AIRS data and call for the improved understanding of the role of water vapor in the context of global climate change.</t>
  </si>
  <si>
    <t>[Zeng, Zhaoliang; Wang, Zemin; An, Jiachun; Jiang, Hu] Wuhan Univ, Chinese Antarctic Ctr Surveying &amp; Mapping, Wuhan, Hubei, Peoples R China; [Mao, Feiyue] Wuhan Univ, Sch Remote Sensing &amp; Informat Engn, Wuhan, Hubei, Peoples R China; [Mao, Feiyue] Wuhan Univ, State Key Lab Informat Engn Surveying Mapping &amp; R, Wuhan, Hubei, Peoples R China; [Guo, Jianping; Zhang, Baojun] Chinese Acad Meteorol Sci, State Key Lab Severe Weather, Beijing, Peoples R China; [Gui, Ke] CAM, Chinese Acad Meteorol Sci, Inst Atmospher Composit, Beijing, Peoples R China; [An, Jiachun] Univ Politecn Cataluna, UPC IonSat, Barcelona, Spain; [Yim, Steve Hung Lam] Chinese Univ Hong Kong, Dept Geog &amp; Resource Management, Hong Kong, Peoples R China; [Yim, Steve Hung Lam; Yang, Yuanjian] Chinese Univ Hong Kong, Inst Environm Energy &amp; Sustainabil, Hong Kong, Peoples R China; [Yim, Steve Hung Lam] Chinese Univ Hong Kong, Stanley Ho Big Data Decis Analyt Res Ctr, Hong Kong, Peoples R China; [Yang, Yuanjian] Chinese Acad Sci, Inst Earth Environm, State Key Lab Loess &amp; Quaternary Geol, Xian, Shaanxi, Peoples R China</t>
  </si>
  <si>
    <t>Wuhan University; Wuhan University; Wuhan University; China Meteorological Administration; Chinese Academy of Meteorological Sciences (CAMS); China Meteorological Administration; Chinese Academy of Meteorological Sciences (CAMS); Universitat Politecnica de Catalunya; Chinese University of Hong Kong; Chinese University of Hong Kong; Chinese University of Hong Kong; Chinese Academy of Sciences; Institute of Earth Environment, CAS</t>
  </si>
  <si>
    <t>Wang, ZM (corresponding author), Wuhan Univ, Chinese Antarctic Ctr Surveying &amp; Mapping, Wuhan, Hubei, Peoples R China.;Guo, JP (corresponding author), Chinese Acad Meteorol Sci, State Key Lab Severe Weather, Beijing, Peoples R China.</t>
  </si>
  <si>
    <t>zmwang@whu.edu.cn; jpguocams@gmail.com</t>
  </si>
  <si>
    <t>Yim, Steve Hung Lam/KEI-0926-2024; Gui, Ke/F-6377-2016; ZeMin, Wang/AAU-3422-2020; yang, yang/HGT-7999-2022; yang, yang/GWB-9426-2022; Zeng, Zhaoliang/AAV-8359-2021; Guo, Jianping/A-2378-2019; Yang, Yuan-Jian/AAR-2465-2021; Guo, Jianping/K-1497-2017; An, Jiachun/ABG-4275-2020; Yang, Yuanjian/AAC-7494-2020</t>
  </si>
  <si>
    <t>Yim, Steve Hung Lam/0000-0002-2826-0950; Gui, Ke/0000-0002-8444-9547; Guo, Jianping/0000-0001-8530-8976; Yang, Yuan-Jian/0000-0003-3486-6286; Guo, Jianping/0000-0001-8530-8976; Zhang, Baojun/0000-0001-5438-8723; Zeng, Zhaoliang/0000-0002-9108-8575</t>
  </si>
  <si>
    <t>National Natural Science Foundation of China [41776195, 41531069, 41775139]; Ministry of Science and Technology [2017YFC1501701, 2017YFA0603501]; CAMS [2017Z005]; Li Jiancheng academician workstation [2015IC015]; open funding of State Key Laboratory of Loess and Quaternary Geology [SKLLQG1842]</t>
  </si>
  <si>
    <t>National Natural Science Foundation of China(National Natural Science Foundation of China (NSFC)); Ministry of Science and Technology(Spanish Government); CAMS; Li Jiancheng academician workstation; open funding of State Key Laboratory of Loess and Quaternary Geology</t>
  </si>
  <si>
    <t>This work was supported by the National Natural Science Foundation of China under grants 41776195, 41531069, and 41775139, the Ministry of Science and Technology under grants 2017YFC1501701 and 2017YFA0603501, the CAMS under grant 2017Z005, the Li Jiancheng academician workstation under grant 2015IC015 and the open funding of State Key Laboratory of Loess and Quaternary Geology (SKLLQG1842). The radiosonde data used in this study were acquired from CMA. The authors thank the NASA team for providing the AIRS and MODIS data. All the data used are listed in the references or archived in the following repositories: https://disc.gsfc.nasa.gov/datasets, http://data.cma.cn/site/index.html, https://rda.ucar.edu/datasets/ds721.1/, and https://search.earthdata.nasa.gov/.</t>
  </si>
  <si>
    <t>APR 16</t>
  </si>
  <si>
    <t>10.1029/2018JD029109</t>
  </si>
  <si>
    <t>HX1JQ</t>
  </si>
  <si>
    <t>WOS:000467147400014</t>
  </si>
  <si>
    <t>Datta, RT; Tedesco, M; Fettweis, X; Agosta, C; Lhermitte, S; Lenaerts, JTM; Wever, N</t>
  </si>
  <si>
    <t>Datta, Rajashree Tri; Tedesco, Marco; Fettweis, Xavier; Agosta, Cecile; Lhermitte, Stef; Lenaerts, Jan T. M.; Wever, Nander</t>
  </si>
  <si>
    <t>The Effect of Foehn-Induced Surface Melt on Firn Evolution Over the Northeast Antarctic Peninsula</t>
  </si>
  <si>
    <t>foehn effect; surface melt; Antarctic Peninsula; Larsen C ice shelf; firn densification</t>
  </si>
  <si>
    <t>C ICE-SHELF; MCMURDO DRY VALLEYS; LARSEN C; MASS-BALANCE; SHEET; MODEL; SNOW; DISINTEGRATION; TEMPERATURE; RESOLUTION</t>
  </si>
  <si>
    <t>Surface meltwater ponding has been implicated as a major driver for recent ice shelf collapse as well as the speedup of tributary glaciers in the northeast Antarctic Peninsula. Surface melt on the NAP is impacted by the strength and frequency of westerly winds, which result in sporadic foehn flow. We estimate changes in the frequency of foehn flow and the associated impact on snow melt, density, and the percolation depth of meltwater over the period 1982-2017 using a regional climate model and passive microwave data. The first of two methods extracts spatial patterns of melt occurrence using empirical orthogonal function analysis. The second method applies the Foehn Index, introduced here to capture foehn occurrence over the full study domain. Both methods show substantial foehn-induced melt late in the melt season since 2015, resulting in compounded densification of the near-surface snow, with potential implications for future ice shelf stability.</t>
  </si>
  <si>
    <t>[Datta, Rajashree Tri] Univ Maryland, Earth Syst Sci Interdisciplinary Ctr, College Pk, MD 20742 USA; [Datta, Rajashree Tri] NASA, Goddard Space Flight Ctr, Greenbelt, MD 20771 USA; [Datta, Rajashree Tri] CUNY, Grad Ctr, New York, NY 10016 USA; [Datta, Rajashree Tri; Tedesco, Marco] Columbia Univ, Lamont Doherty Earth Observ, Palisades, NY 10964 USA; [Tedesco, Marco] NASA, Goddard Inst Space Studies, New York, NY 10025 USA; [Fettweis, Xavier] Univ Liege, Dept Geog, Liege, Belgium; [Agosta, Cecile] Univ Grenoble Alpes, Inst Geosci Environm, CNRS, Grenoble, France; [Agosta, Cecile; Lhermitte, Stef] Delft Univ Technol, Dept Geosci &amp; Remote Sensing, Delft, Netherlands; [Lenaerts, Jan T. M.; Wever, Nander] Univ Colorado, Dept Atmospher &amp; Ocean Sci, Boulder, CO 80309 USA</t>
  </si>
  <si>
    <t>University System of Maryland; University of Maryland College Park; National Aeronautics &amp; Space Administration (NASA); NASA Goddard Space Flight Center; City University of New York (CUNY) System; Columbia University; National Aeronautics &amp; Space Administration (NASA); NASA Goddard Space Flight Center; Goddard Institute for Space Studies; University of Liege; Centre National de la Recherche Scientifique (CNRS); Communaute Universite Grenoble Alpes; Universite Grenoble Alpes (UGA); Delft University of Technology; University of Colorado System; University of Colorado Boulder</t>
  </si>
  <si>
    <t>Datta, RT (corresponding author), Univ Maryland, Earth Syst Sci Interdisciplinary Ctr, College Pk, MD 20742 USA.;Datta, RT (corresponding author), NASA, Goddard Space Flight Ctr, Greenbelt, MD 20771 USA.;Datta, RT (corresponding author), CUNY, Grad Ctr, New York, NY 10016 USA.;Datta, RT (corresponding author), Columbia Univ, Lamont Doherty Earth Observ, Palisades, NY 10964 USA.</t>
  </si>
  <si>
    <t>tri.datta@gmail.com</t>
  </si>
  <si>
    <t>Lenaerts, Jan/D-9423-2012; Agosta, Cécile/HLQ-5577-2023; Lhermitte, Stef (Stefaan)/A-3385-2013; Agosta, Cecile/B-9625-2013</t>
  </si>
  <si>
    <t>Lenaerts, Jan/0000-0003-4309-4011; Lhermitte, Stef (Stefaan)/0000-0002-1622-0177; Agosta, Cecile/0000-0003-4091-1653; Datta, Rajashree Tri/0000-0003-2241-0687; Wever, Nander/0000-0002-4829-8585; Tedesco, Marco/0000-0002-7549-9307; Fettweis, Xavier/0000-0002-4140-3813</t>
  </si>
  <si>
    <t>National Science Foundation [1131973]; Swiss National Science Foundation (SNSF) [172299]</t>
  </si>
  <si>
    <t>National Science Foundation(National Science Foundation (NSF)); Swiss National Science Foundation (SNSF)(Swiss National Science Foundation (SNSF))</t>
  </si>
  <si>
    <t>Special thanks to Peter Kuipers Munneke for valuable early feedback. Partial funding provided by National Science Foundation grant 1131973. N.W. was supported by the Swiss National Science Foundation (SNSF), grant 172299 MAR model output can be found at ftp://ftp.ldeo.columbia.edu/pub/MAR/MARv3.9_AntarcticPeninsula_7pt5km/. R.T.D. developed methods and analysis. M. T. provided mentorship. X. F. provided final MAR outputs. C. A. provided guidance on MAR over Antarctica. S. L. provided SAR data/analysis. J. T. M. L. provided substantial editing of later versions of the manuscript. N. W. provided expertise on firn processes.</t>
  </si>
  <si>
    <t>10.1029/2018GL080845</t>
  </si>
  <si>
    <t>HV2QX</t>
  </si>
  <si>
    <t>WOS:000465836200027</t>
  </si>
  <si>
    <t>Sévellec, F; Garabato, ACN; Vic, C; Ducousso, N</t>
  </si>
  <si>
    <t>Sevellec, F.; Garabato, A. C. Naveira; Vic, C.; Ducousso, N.</t>
  </si>
  <si>
    <t>Observing the Local Emergence of the Southern Ocean Residual-Mean Circulation</t>
  </si>
  <si>
    <t>Southern Ocean; meridional overturning; mesoscale turbulence; residual-mean circulation; Eulerian circulation; mooring measurements</t>
  </si>
  <si>
    <t>ANTARCTIC CIRCUMPOLAR CURRENT; VELOCITY</t>
  </si>
  <si>
    <t>The role of mesoscale turbulence in maintaining the mean buoyancy structure and overturning circulation of the Southern Ocean is investigated through a 2-year-long, single-mooring record of measurements in Drake Passage. The buoyancy budget of the area is successively assessed within the Eulerian and the Temporal-Residual-Mean frameworks. We find that a regime change occurs on time scales of 1 to 100 days, characteristic of mesoscale dynamics, whereby the eddy-induced turbulent horizontal advection balances the vertical buoyancy advection by the mean flow. We use these diagnostics to reconstruct the region's overturning circulation, which is found to entail an equatorward downwelling of Antarctic Intermediate and Bottom Waters and a poleward upwelling of Circumpolar Deep Water. The estimated eddy-induced flow can be accurately parameterized via the Gent-McWilliams closure by adopting a diffusivity of similar to 2,000 m(2) s(-1) with a middepth increase to 2,500 m(2) s(-1) at 2,100 m, immediately underneath the maximum interior stratification.</t>
  </si>
  <si>
    <t>[Sevellec, F.; Ducousso, N.] Univ Brest IRD Ifremer, CNRS, Lab Oceanog Phys &amp; Spatiale, Brest, France; [Sevellec, F.; Garabato, A. C. Naveira; Vic, C.] Univ Southampton, Ocean &amp; Earth Sci, Southampton, Hants, England</t>
  </si>
  <si>
    <t>Ifremer; Centre National de la Recherche Scientifique (CNRS); Universite de Bretagne Occidentale; University of Southampton</t>
  </si>
  <si>
    <t>Sévellec, F (corresponding author), Univ Brest IRD Ifremer, CNRS, Lab Oceanog Phys &amp; Spatiale, Brest, France.;Sévellec, F (corresponding author), Univ Southampton, Ocean &amp; Earth Sci, Southampton, Hants, England.</t>
  </si>
  <si>
    <t>florian.sevellec@univ-brest.fr</t>
  </si>
  <si>
    <t>Sevellec, Florian/L-3125-2015; Garabato, Alberto Naveira/AAQ-1114-2020</t>
  </si>
  <si>
    <t>Sevellec, Florian/0000-0002-8498-0004; Garabato, Alberto Naveira/0000-0001-6071-605X; Ducousso, Nicolas/0000-0003-4272-7171; Vic, Clement/0000-0003-1290-9353</t>
  </si>
  <si>
    <t>Natural Environment Research Council of the U.K. through the DIMES project [NE/F020252/1]; Natural Environment Research Council of the U.K. through SMURPHS project [NE/N005767/1]; Royal Society; Wolfson Foundation; French CNRS/INSU/LEFE program; NERC [NE/F020252/1, NE/N005767/1, NE/E005667/1] Funding Source: UKRI</t>
  </si>
  <si>
    <t>Natural Environment Research Council of the U.K. through the DIMES project; Natural Environment Research Council of the U.K. through SMURPHS project; Royal Society(Royal Society); Wolfson Foundation; French CNRS/INSU/LEFE program; NERC(UK Research &amp; Innovation (UKRI)Natural Environment Research Council (NERC))</t>
  </si>
  <si>
    <t>This research was supported by the Natural Environment Research Council of the U.K. through the DIMES (NE/F020252/1) and SMURPHS (NE/N005767/1) projects. A. C. N. G. acknowledges the support of the Royal Society and the Wolfson Foundation. F. S. acknowledges the DECLIC and Meso-Var-Clim projects funded through the French CNRS/INSU/LEFE program.</t>
  </si>
  <si>
    <t>10.1029/2018GL081382</t>
  </si>
  <si>
    <t>Green Accepted, Green Submitted, Green Published</t>
  </si>
  <si>
    <t>WOS:000465836200031</t>
  </si>
  <si>
    <t>King, ACF; Giorio, C; Wolff, E; Thomas, E; Roverso, M; Schwikowski, M; Tapparo, A; Bogialli, S; Kalberer, M</t>
  </si>
  <si>
    <t>King, Amy C. F.; Giorio, Chiara; Wolff, Eric; Thomas, Elizabeth; Roverso, Marco; Schwikowski, Margit; Tapparo, Andrea; Bogialli, Sara; Kalberer, Markus</t>
  </si>
  <si>
    <t>Direct Injection Liquid Chromatography High-Resolution Mass Spectrometry for Determination of Primary and Secondary Terrestrial and Marine Biomarkers in Ice Cores</t>
  </si>
  <si>
    <t>ANALYTICAL CHEMISTRY</t>
  </si>
  <si>
    <t>QUANTIFICATION; RECORDS</t>
  </si>
  <si>
    <t>Many atmospheric organic compounds are long-lived enough to be transported from their sources to polar regions and high mountain environments where they can be trapped in ice archives. While inorganic components in ice archives have been studied extensively to identify past climate changes, organic compounds have rarely been used to assess paleo-environmental changes, mainly due to the lack of suitable analytical methods. This study presents a new method of direct injection high performance liquid chromatography-mass spectrometry (HPLC-MS) analysis, without the need of preconcentrating the melted ice, for the determination of a series of novel biomarkers in ice core samples indicative of primary and secondary terrestrial and marine organic aerosol sources. Eliminating a preconcentration step reduces contamination potential and decreases the required sample volume thus allowing a higher time resolution in the archives. The method is characterized by limits of detection (LODs) in the range of 0.01-15 ppb, depending on the analyte, and accuracy evaluated through an interlaboratory comparison. We find that many components in secondary organic aerosols (SOAs) are clearly detectable at concentrations comparable to those previously observed in replicate preconcentrated ice samples from the Belukha glacier, Russian Altai Mountains. Some compounds with low recoveries in the preconcentration steps are now detectable in samples with this new direct injection method significantly increasing the range of environmental processes and sources that become accessible for paleo-climate studies.</t>
  </si>
  <si>
    <t>[King, Amy C. F.; Thomas, Elizabeth] British Antarctic Survey, Madingley Rd, Cambridge CB3 0ET, England; [King, Amy C. F.; Giorio, Chiara; Kalberer, Markus] Univ Cambridge, Dept Chem, Lensfield Rd, Cambridge CB2 1EW, England; [Giorio, Chiara; Roverso, Marco; Tapparo, Andrea; Bogialli, Sara] Univ Padua, Dipartimento Sci Chim, Via Marzolo 1, I-35131 Padua, Italy; [Wolff, Eric] Univ Cambridge, Dept Earth Sci, Downing St, Cambridge CB2 3EQ, England; [Schwikowski, Margit] Paul Scherrer Inst, OFLB 109, CH-5232 Villigen, Switzerland; [Kalberer, Markus] Univ Basel, Dept Environm Sci, Klingelbergstr 27, CH-4056 Basel, Switzerland</t>
  </si>
  <si>
    <t>UK Research &amp; Innovation (UKRI); Natural Environment Research Council (NERC); NERC British Antarctic Survey; University of Cambridge; University of Padua; University of Cambridge; Swiss Federal Institutes of Technology Domain; Paul Scherrer Institute; University of Basel</t>
  </si>
  <si>
    <t>King, ACF (corresponding author), British Antarctic Survey, Madingley Rd, Cambridge CB3 0ET, England.;King, ACF; Giorio, C (corresponding author), Univ Cambridge, Dept Chem, Lensfield Rd, Cambridge CB2 1EW, England.;Giorio, C (corresponding author), Univ Padua, Dipartimento Sci Chim, Via Marzolo 1, I-35131 Padua, Italy.</t>
  </si>
  <si>
    <t>acfk2@cam.ac.uk; chiara.giorio@unipd.it</t>
  </si>
  <si>
    <t>Giorio, Chiara/O-1707-2015; Tapparo, Andrea/AAX-9906-2020; Roverso, Marco/ABE-1580-2020; bogialli, sara/AAA-9818-2021; Wolff, Eric W/D-7925-2014; Thomas, Elizabeth Ruth/ADF-3660-2022; bogialli, sara/A-8677-2013</t>
  </si>
  <si>
    <t>Giorio, Chiara/0000-0001-7821-7398; Tapparo, Andrea/0000-0001-8928-705X; Wolff, Eric W/0000-0002-5914-8531; Thomas, Elizabeth Ruth/0000-0002-3010-6493; bogialli, sara/0000-0002-9152-3602; Kalberer, Markus/0000-0001-8885-6556; King, Amy/0000-0002-1285-7568; Roverso, Marco/0000-0003-1264-8878; Schwikowski, Margit/0000-0002-0856-5183</t>
  </si>
  <si>
    <t>Selwyn College, Cambridge [NE/L002507/1]; NERC Doctoral Training Programme [NE/L002507/1]; BAS-UCAM Innovation Centre Feasibility Studies program 2013-2015 [project Organics in Ice]; ERC Consolidator Grant COrANE [279405]; Royal Society Professorship; NERC [bas0100034] Funding Source: UKRI; European Research Council (ERC) [279405] Funding Source: European Research Council (ERC)</t>
  </si>
  <si>
    <t>Selwyn College, Cambridge; NERC Doctoral Training Programme; BAS-UCAM Innovation Centre Feasibility Studies program 2013-2015 [project Organics in Ice]; ERC Consolidator Grant COrANE(European Research Council (ERC)); Royal Society Professorship(Royal Society); NERC(UK Research &amp; Innovation (UKRI)Natural Environment Research Council (NERC)); European Research Council (ERC)(European Research Council (ERC)Spanish Government)</t>
  </si>
  <si>
    <t>Work by A.C.F.K. was jointly supported by Selwyn College, Cambridge, and the NERC Doctoral Training Programme [grant number NE/L002507/1]. Work by C.G. was supported by the BAS-UCAM Innovation Centre Feasibility Studies program 2013-2015 [project Organics in Ice] and by the ERC Consolidator Grant 279405 COrANE. E.W. was supported by a Royal Society Professorship. We acknowledge Magda Claeys (University of Antwerp) for providing the synthesized chemical standard of MBTCA, Thorsten Hoffman (University of Mainz) for providing the synthesized chemical standards of sesquiterpene SOAs, and Jean-Louis Clement (Aix -Marseille Universite) for providing the synthesized chemical standard of methyl tetrols. We acknowledge Alexander Vogel, Paul Scherrer Institut, for preparing the Belukha ice samples.</t>
  </si>
  <si>
    <t>AMER CHEMICAL SOC</t>
  </si>
  <si>
    <t>1155 16TH ST, NW, WASHINGTON, DC 20036 USA</t>
  </si>
  <si>
    <t>0003-2700</t>
  </si>
  <si>
    <t>1520-6882</t>
  </si>
  <si>
    <t>ANAL CHEM</t>
  </si>
  <si>
    <t>Anal. Chem.</t>
  </si>
  <si>
    <t>10.1021/acs.analchem.8b05224</t>
  </si>
  <si>
    <t>Chemistry, Analytical</t>
  </si>
  <si>
    <t>Chemistry</t>
  </si>
  <si>
    <t>HU3RC</t>
  </si>
  <si>
    <t>Green Submitted, Green Published, Green Accepted, hybrid</t>
  </si>
  <si>
    <t>WOS:000465189600021</t>
  </si>
  <si>
    <t>Strewe, C; Moser, D; Buchheim, JI; Gunga, HC; Stahn, A; Crucian, BE; Fiedel, B; Bauer, H; Goessmann-Lang, P; Thieme, D; Kohlberg, E; Chouker, A; Feuerecker, M</t>
  </si>
  <si>
    <t>Strewe, C.; Moser, D.; Buchheim, J. -I.; Gunga, H. -C.; Stahn, A.; Crucian, B. E.; Fiedel, B.; Bauer, H.; Goessmann-Lang, P.; Thieme, D.; Kohlberg, E.; Chouker, A.; Feuerecker, M.</t>
  </si>
  <si>
    <t>Sex differences in stress and immune responses during confinement in Antarctica</t>
  </si>
  <si>
    <t>BIOLOGY OF SEX DIFFERENCES</t>
  </si>
  <si>
    <t>Sex differences; Neuroendocrine response; Immunity; Extreme environment; Antarctica; Confinement</t>
  </si>
  <si>
    <t>HPA AXIS; CORTISOL-LEVELS; GENDER-DIFFERENCES; CUSHINGS-SYNDROME; HEMOGLOBIN LEVELS; SLEEP; NEUROENDOCRINE; IMPACT; AGE; GLUCOCORTICOIDS</t>
  </si>
  <si>
    <t>BackgroundAntarctica challenges human explorers by its extreme environment. The effects of these unique conditions on the human physiology need to be understood to best mitigate health problems in Antarctic expedition crews. Moreover, Antarctica is an adequate Earth-bound analogue for long-term space missions. To date, its effects on human physiology have been studied mainly in male cohorts though more female expeditioners and applicants in astronaut training programs are selected. Therefore, the identification of sex differences in stress and immune reactions are becoming an even more essential aim to provide a more individualized risk management.MethodsTen female and 16 male subjects participated in three 1-year expeditions to the German Antarctic Research Station Neumayer III. Blood, saliva, and urine samples were taken 1-2months prior to departure, subsequently every month during their expedition, and 3-4months after return from Antarctica. Analyses included cortisol, catecholamine and endocannabinoid measurements; psychological evaluation; differential blood count; and recall antigen- and mitogen-stimulated cytokine profiles.ResultsCortisol showed significantly higher concentrations in females than males during winter whereas no enhanced psychological stress was detected in both sexes. Catecholamine excretion was higher in males than females but never showed significant increases compared to baseline. Endocannabinoids and N-acylethanolamides increased significantly in both sexes and stayed consistently elevated during the confinement. Cytokine profiles after in vitro stimulation revealed no sex differences but resulted in significant time-dependent changes. Hemoglobin and hematocrit were significantly higher in males than females, and hemoglobin increased significantly in both sexes compared to baseline. Platelet counts were significantly higher in females than males. Leukocytes and granulocyte concentrations increased during confinement with a dip for both sexes in winter whereas lymphocytes were significantly elevated in both sexes during the confinement.ConclusionsThe extreme environment of Antarctica seems to trigger some distinct stress and immune responses butwith the exception of cortisol and blood cell countswithout any major relevant sex-specific differences. Stated sex differences were shown to be independent of enhanced psychological stress and seem to be related to the environmental conditions. However, sources and consequences of these sex differences have to be further elucidated.</t>
  </si>
  <si>
    <t>[Strewe, C.; Moser, D.; Buchheim, J. -I.; Chouker, A.; Feuerecker, M.] Ludwig Maximilians Univ Munchen, Univ Hosp, Dept Anaesthesiol, Lab Translat Res Stress &amp; Immun, Marchioninistr 15, D-81377 Munich, Germany; [Gunga, H. -C.; Stahn, A.] Charite Univ Med Berlin, Inst Physiol, Berlin, Germany; [Fiedel, B.; Bauer, H.; Goessmann-Lang, P.; Kohlberg, E.] Helmholtz Zentrum Polar &amp; Meeresforsch, Alfred Wegener Inst, Bremerhaven, Germany; [Thieme, D.] Inst Doping Anal &amp; Sports Biochem, Kreischa, Germany; [Crucian, B. E.] NASA Johnson Space Ctr, Houston, TX USA</t>
  </si>
  <si>
    <t>University of Munich; Free University of Berlin; Humboldt University of Berlin; Charite Universitatsmedizin Berlin; Helmholtz Association; Alfred Wegener Institute, Helmholtz Centre for Polar &amp; Marine Research; National Aeronautics &amp; Space Administration (NASA); NASA Johnson Space Center</t>
  </si>
  <si>
    <t>Chouker, A (corresponding author), Ludwig Maximilians Univ Munchen, Univ Hosp, Dept Anaesthesiol, Lab Translat Res Stress &amp; Immun, Marchioninistr 15, D-81377 Munich, Germany.</t>
  </si>
  <si>
    <t>alexander.chouker@med.uni-muenchen.de</t>
  </si>
  <si>
    <t>Stahn, Alexander/HJI-0059-2023</t>
  </si>
  <si>
    <t>Stahn, Alexander/0000-0002-4030-4944</t>
  </si>
  <si>
    <t>German National Space Program [50WB1317, 50WB1622]; Alfred Wegener Institute (AWI)</t>
  </si>
  <si>
    <t>German National Space Program; Alfred Wegener Institute (AWI)</t>
  </si>
  <si>
    <t>This study was financially supported by the German National Space Program (Funding Number DLR, 50WB1317, 50WB1622) and by the Alfred Wegener Institute (AWI).</t>
  </si>
  <si>
    <t>BMC</t>
  </si>
  <si>
    <t>CAMPUS, 4 CRINAN ST, LONDON N1 9XW, ENGLAND</t>
  </si>
  <si>
    <t>2042-6410</t>
  </si>
  <si>
    <t>BIOL SEX DIFFER</t>
  </si>
  <si>
    <t>Biol. Sex Differ.</t>
  </si>
  <si>
    <t>10.1186/s13293-019-0231-0</t>
  </si>
  <si>
    <t>Endocrinology &amp; Metabolism; Genetics &amp; Heredity</t>
  </si>
  <si>
    <t>HU0RJ</t>
  </si>
  <si>
    <t>WOS:000464978200001</t>
  </si>
  <si>
    <t>Thomson, RJ; McMorran, B; Hoy, W; Jose, M; Whittock, L; Thornton, T; Burgio, G; Mathews, JD; Foote, S</t>
  </si>
  <si>
    <t>Thomson, Russell J.; McMorran, Brendan; Hoy, Wendy; Jose, Matthew; Whittock, Lucy; Thornton, Tim; Burgio, Gaetan; Mathews, John Duncan; Foote, Simon</t>
  </si>
  <si>
    <t>New Genetic Loci Associated With Chronic Kidney Disease in an Indigenous Australian Population</t>
  </si>
  <si>
    <t>FRONTIERS IN GENETICS</t>
  </si>
  <si>
    <t>chronic kidney disease; genome-wide association study; Australian Aboriginal and Torres Strait Islanders; indigenous genetics; gene-environment interaction; urinary albumin creatinine ratio</t>
  </si>
  <si>
    <t>GLOMERULAR-FILTRATION-RATE; BODY-MASS INDEX; RENAL-DISEASE; POSTSTREPTOCOCCAL GLOMERULONEPHRITIS; HIGH-RATES; ALBUMINURIA; CRIM1; RISK; OLIGOMEGANEPHRONIA; HYPERTENSION</t>
  </si>
  <si>
    <t>The common occurrence of renal disease in Australian Aboriginal populations such as Tiwi Islanders may be determined by environmental and genetic factors. To explore genetic contributions, we performed a genome-wide association study (GWAS) of urinary albumin creatinine ratio (ACR) in a sample of 249 Tiwi individuals with genotype data from a 370K Affymetrix single nucleotide polymorphism (SNP) array. A principal component analysis (PCA) of the 249 individual Tiwi cohort and samples from 11 populations included in phase III of the HapMap Project indicated that Tiwi Islanders are a relatively distinct and unique population with no close genetic relationships to the other ethnic groups. After adjusting for age and sex, the proportion of ACR variance explained by the 370K SNPs was estimated to be 37% (using the software GCTA.31; likelihood ratio = 8.06, p-value = 0.002). The GWAS identified eight SNPs that were nominally significantly associated with ACR (p &lt; 0.0005). A replication study of these SNPs was performed in an independent cohort of 497 individuals on the eight SNPs. Four of these SNPs were significantly associated with ACR in the replication sample (p &lt; 0.05), rs4016189 located near the CFIM1 gene (p = 0.000751), rs443816 located in the gene encoding UGT2B11 (p = 0.022), rs6461901 located near the NFE2L3 gene, and rs1535656 located in the RAB14 gene. The SNP rs4016189 was still significant after adjusting for multiple testing. A structural equation model (SEM) demonstrated that the rs4016189 SNP was not associated with other phenotypes such as estimated glomerular filtration rate (eGFR), diabetes, and blood pressure.</t>
  </si>
  <si>
    <t>[Thomson, Russell J.] Western Sydney Univ, Sch Comp Engn &amp; Math, Ctr Res Math, Sydney, NSW, Australia; [McMorran, Brendan; Burgio, Gaetan; Foote, Simon] Australian Natl Univ, John Curtin Sch Med Res, Canberra, ACT, Australia; [Hoy, Wendy] Univ Queensland, Fac Hlth, Ctr Chron Dis, Brisbane, Qld, Australia; [Jose, Matthew] Univ Tasmania, Coll Hlth &amp; Med, Menzies Inst Med Res, Hobart, Tas, Australia; [Jose, Matthew] Univ Tasmania, Sch Med, Coll Hlth &amp; Med, Hobart, Tas, Australia; [Whittock, Lucy] Univ Tasmania, Coll Sci &amp; Engn, Inst Marine &amp; Antarctic Studies, Hobart, Tas, Australia; [Thornton, Tim] Univ Washington, Sch Publ Hlth, Dept Biostat, Seattle, WA 98195 USA; [Mathews, John Duncan] Univ Melbourne, Ctr Epidemiol &amp; Biostat, Melbourne Sch Populat &amp; Global Hlth, Melbourne, Vic, Australia</t>
  </si>
  <si>
    <t>Western Sydney University; Australian National University; John Curtin School of Medical Research; University of Queensland; University of Tasmania; Menzies Institute for Medical Research; University of Tasmania; University of Tasmania; University of Washington; University of Washington Seattle; Melbourne Genomics Health Alliance; University of Melbourne</t>
  </si>
  <si>
    <t>Thomson, RJ (corresponding author), Western Sydney Univ, Sch Comp Engn &amp; Math, Ctr Res Math, Sydney, NSW, Australia.</t>
  </si>
  <si>
    <t>russell.thomson@westernsydney.edu.au</t>
  </si>
  <si>
    <t>Hoy, Wendy E/A-7325-2010; Burgio, Gaetan/B-6722-2015; Jose, Matthew/A-9565-2012</t>
  </si>
  <si>
    <t>Burgio, Gaetan/0000-0002-7434-926X; McMorran, Brendan/0000-0003-1845-8872; Jose, Matthew/0000-0002-9589-0071; Mathews, John/0000-0001-9029-7140</t>
  </si>
  <si>
    <t>National Health and Medical Research Council of Australia [APP1024207]</t>
  </si>
  <si>
    <t>National Health and Medical Research Council of Australia(National Health &amp; Medical Research Council (NHMRC) of Australia)</t>
  </si>
  <si>
    <t>This research was funded by a National Health and Medical Research Council of Australia Project Grant, APP1024207, titled To Search For Genetic Causes Of Renal Disease In The Tiwi Island Aboriginal Population.</t>
  </si>
  <si>
    <t>1664-8021</t>
  </si>
  <si>
    <t>FRONT GENET</t>
  </si>
  <si>
    <t>Front. Genet.</t>
  </si>
  <si>
    <t>10.3389/fgene.2019.00330</t>
  </si>
  <si>
    <t>Genetics &amp; Heredity</t>
  </si>
  <si>
    <t>HU2KI</t>
  </si>
  <si>
    <t>WOS:000465099400001</t>
  </si>
  <si>
    <t>Allison, I; Fierz, C; Hock, R; Mackintosh, A; Kaser, G; Nussbaumer, SU</t>
  </si>
  <si>
    <t>Allison, Ian; Fierz, Charles; Hock, Regine; Mackintosh, Andrew; Kaser, Georg; Nussbaumer, Samuel U.</t>
  </si>
  <si>
    <t>IACS: past, present, and future of the International Association of Cryospheric Sciences</t>
  </si>
  <si>
    <t>HISTORY OF GEO- AND SPACE SCIENCES</t>
  </si>
  <si>
    <t>ICE ICSI; SNOW; COMMISSION</t>
  </si>
  <si>
    <t>The International Association of Cryospheric Sciences (IACS) became the eighth and most recent association of IUGG at the general assembly in Perugia, Italy, in July 2007. IACS was launched in recognition of the importance of the cryosphere within the Earth system, particularly at a time of significant global change. It was the first new association of the union to be formed in over 80 years and IACS celebrated its 10th anniversary only a year before the IUGG centennial The forbearers of IACS, however, stretch back even further than IUGG, starting with the formation of the Commission Internationale des Glaciers (CIG) by the International Geological Congress in 1894. Here we record the history of the transition from CIG to IACS, the scientific objectives that drove activities and changes, and some of the key events and individuals involved.</t>
  </si>
  <si>
    <t>[Allison, Ian] Antarctic Climate &amp; Ecosyst CRC, Hobart, Tas, Australia; [Fierz, Charles] WSL Inst Snow &amp; Avalanche Res SLF, Davos, Switzerland; [Hock, Regine] Univ Alaska, Inst Geophys, Fairbanks, AK USA; [Mackintosh, Andrew] Victoria Univ Wellington, Antarctic Res Ctr, Wellington, New Zealand; [Kaser, Georg] Univ Innsbruck, Inst Atmospher &amp; Cryospher Sci, Innsbruck, Austria; [Nussbaumer, Samuel U.] Univ Zurich, Dept Geog, World Glacier Monitoring Serv, Zurich, Switzerland</t>
  </si>
  <si>
    <t>University of Tasmania; Swiss Federal Institutes of Technology Domain; Swiss Federal Institute for Forest, Snow &amp; Landscape Research; University of Alaska System; University of Alaska Fairbanks; Victoria University Wellington; University of Innsbruck; University of Zurich</t>
  </si>
  <si>
    <t>Allison, I (corresponding author), Antarctic Climate &amp; Ecosyst CRC, Hobart, Tas, Australia.</t>
  </si>
  <si>
    <t>ian.allison@utas.edu.au</t>
  </si>
  <si>
    <t>Hock, Regine/C-6179-2013; Allison, Ian F/I-4477-2015; Fierz, Charles/D-3525-2012</t>
  </si>
  <si>
    <t>Allison, Ian F/0000-0001-9599-0251; Fierz, Charles/0000-0001-9490-6732; Mackintosh, Andrew/0000-0002-6430-4711; Nussbaumer, Samuel/0000-0002-5314-5815; Kaser, Georg/0000-0001-5916-6206</t>
  </si>
  <si>
    <t>2190-5010</t>
  </si>
  <si>
    <t>2190-5029</t>
  </si>
  <si>
    <t>HIST GEO- SPACE SCI</t>
  </si>
  <si>
    <t>Hist. Geo- Space Sci.</t>
  </si>
  <si>
    <t>10.5194/hgss-10-97-2019</t>
  </si>
  <si>
    <t>Geosciences, Multidisciplinary; History &amp; Philosophy Of Science</t>
  </si>
  <si>
    <t>Geology; History &amp; Philosophy of Science</t>
  </si>
  <si>
    <t>HT6RU</t>
  </si>
  <si>
    <t>gold, Green Accepted, Green Published</t>
  </si>
  <si>
    <t>WOS:000464692400005</t>
  </si>
  <si>
    <t>Buchanan, PJ; Matear, RJ; Chase, Z; Phipps, SJ; Bindoff, NL</t>
  </si>
  <si>
    <t>Buchanan, Pearse J.; Matear, Richard J.; Chase, Zanna; Phipps, Steven J.; Bindoff, Nathan L.</t>
  </si>
  <si>
    <t>Ocean carbon and nitrogen isotopes in CSIRO Mk3L-COAL version 1.0: a tool for palaeoceanographic research</t>
  </si>
  <si>
    <t>HALF-SATURATION CONSTANTS; EARTH SYSTEM MODEL; SOUTHERN-OCEAN; DATA ASSIMILATION; UPTAKE KINETICS; FIXED NITROGEN; GROWTH-RATES; MARINE; FIXATION; OXYGEN</t>
  </si>
  <si>
    <t>The isotopes of carbon (delta C-13) and nitrogen (delta N-15) are commonly used proxies for understanding the ocean. When used in tandem, they provide powerful insight into physical and biogeochemical processes. Here, we detail the implementation of delta C-13 and delta N-15 in the ocean component of an Earth system model. We evaluate our simulated delta C-13 and delta N-15 against contemporary measurements, place the model's performance alongside other isotope-enabled models and document the response of delta C-13 and delta N-15 to changes in ecosystem functioning. The model combines the Common-wealth Scientific and Industrial Research Organisation Mark 3L (CSIRO Mk3L) climate system model with the Carbon of the Ocean, Atmosphere and Land (COAL) biogeochemical model. The oceanic component of CSIRO Mk3L-COAL has a resolution of 1.6 degrees latitude x 2.8 degrees longitude and resolves multimillennial timescales, running at a rate of similar to 400 years per day. We show that this coarse-resolution, computationally efficient model adequately reproduces water column and core-top delta C-13 and delta N-15 measurements, making it a useful tool for palaeoceanographic research. Changes to ecosystem function involve varying phytoplankton stoichiometry, varying CaCO3 production based on calcite saturation state and varying N-2 fixation via iron limitation. We find that large changes in CaCO3 production have little effect on delta C-13 and delta N-15, while changes in N-2 fixation and phytoplankton stoichiometry have substantial and complex effects. Interpretations of palaeoceanographic records are therefore open to multiple lines of interpretation where multiple processes imprint on the isotopic signature, such as in the tropics, where denitrification, N-2 fixation and nutrient utilisation influence delta N-15. Hence, there is significant scope for isotope-enabled models to provide more robust interpretations of the proxy records.</t>
  </si>
  <si>
    <t>[Buchanan, Pearse J.; Chase, Zanna; Phipps, Steven J.; Bindoff, Nathan L.] Univ Tasmania, Inst Marine &amp; Antarctic Studies, Hobart, Tas, Australia; [Buchanan, Pearse J.; Matear, Richard J.; Bindoff, Nathan L.] CSIRO Oceans &amp; Atmosphere, CSIRO Marine Labs, GPO Box 1538, Hobart, Tas, Australia; [Buchanan, Pearse J.; Matear, Richard J.; Bindoff, Nathan L.] ARC Ctr Excellence Climate Syst Sci, Hobart, Tas, Australia; [Bindoff, Nathan L.] Antarctic Climate &amp; Ecosyst Cooperat Res Ctr, Hobart, Tas, Australia; [Buchanan, Pearse J.] Univ Liverpool, Dept Earth Ocean &amp; Ecol Sci, Liverpool, Merseyside, England</t>
  </si>
  <si>
    <t>University of Tasmania; Commonwealth Scientific &amp; Industrial Research Organisation (CSIRO); ARC Centre of Excellence for Climate System Science; Antarctic Climate &amp; Ecosystems Cooperative Research Centre (ACE CRC); University of Liverpool</t>
  </si>
  <si>
    <t>Buchanan, PJ (corresponding author), Univ Tasmania, Inst Marine &amp; Antarctic Studies, Hobart, Tas, Australia.;Buchanan, PJ (corresponding author), CSIRO Oceans &amp; Atmosphere, CSIRO Marine Labs, GPO Box 1538, Hobart, Tas, Australia.;Buchanan, PJ (corresponding author), ARC Ctr Excellence Climate Syst Sci, Hobart, Tas, Australia.;Buchanan, PJ (corresponding author), Univ Liverpool, Dept Earth Ocean &amp; Ecol Sci, Liverpool, Merseyside, England.</t>
  </si>
  <si>
    <t>pearse.buchanan@liverpool.ac.uk</t>
  </si>
  <si>
    <t>Bindoff, Nathaniel Lee/IVV-0333-2023; Bindoff, Nathaniel Lee/C-8050-2011; Buchanan, Pearse/JZE-1421-2024; Buchanan, Pearse/O-1242-2019; matear, richard/C-5133-2011; Chase, Zanna/E-9232-2013; Phipps, Steven/B-3135-2008</t>
  </si>
  <si>
    <t>Bindoff, Nathaniel Lee/0000-0001-5662-9519; Bindoff, Nathaniel Lee/0000-0001-5662-9519; Buchanan, Pearse/0000-0001-7142-882X; matear, richard/0000-0002-3225-0800; Chase, Zanna/0000-0001-5060-779X; Phipps, Steven/0000-0001-5657-8782</t>
  </si>
  <si>
    <t>Australian Research Council's Special Research Initiative for the Antarctic Gateway Partnership [SR140300001]; Australian Fulbright postgraduate scholarship</t>
  </si>
  <si>
    <t>Australian Research Council's Special Research Initiative for the Antarctic Gateway Partnership(Australian Research Council); Australian Fulbright postgraduate scholarship</t>
  </si>
  <si>
    <t>The Australian Research Council's Centre of Excellence for Climate System Science and the Tasmanian Partnership for Advanced Computing (TPAC) were instrumental for this research. This research was supported under the Australian Research Council's Special Research Initiative for the Antarctic Gateway Partnership (project ID SR140300001). The authors wish to acknowledge the use of the Ferret programme for the analysis undertaken in this work. Ferret is a product of NOAA's Pacific Marine Environmental Laboratory (information is available at http://ferret.pmel.noaa.gov/Ferret/, last access: 12 April 2019). The Matplotlib package (Hunter, 2007) and the cmocean package (Thyng et al., 2016) were used for producing the figures. We are indebted to Kristen Karsh, Daniel Sigman, Dario Marconi and Eric Raes for discussions that focussed this work. Special thanks are given to Christopher Somes for correspondence in some development steps and revisions that improved the manuscript. Finally, the lead author is indebted to an Australian Fulbright postgraduate scholarship, which supported him at the Princeton Geosciences department during the writing of the manuscript.</t>
  </si>
  <si>
    <t>10.5194/gmd-12-1491-2019</t>
  </si>
  <si>
    <t>HT6PR</t>
  </si>
  <si>
    <t>WOS:000464686700001</t>
  </si>
  <si>
    <t>Kochanski, K; Anderson, RS; Tucker, GE</t>
  </si>
  <si>
    <t>Kochanski, Kelly; Anderson, Robert S.; Tucker, Gregory E.</t>
  </si>
  <si>
    <t>The evolution of snow bedforms in the Colorado Front Range and the processes that shape them</t>
  </si>
  <si>
    <t>ANTARCTIC PLATEAU; SURFACE DRAG; TRANSPORT; WIND; SASTRUGI; SAND</t>
  </si>
  <si>
    <t>When wind blows over dry snow, the snow surface self-organizes into bedforms such as dunes, ripples, snow waves, and sastrugi. These bedforms govern the interaction between wind, heat, and the snowpack, but thus far they have attracted few scientific studies. We present the first time-lapse documentation of snow bedform movement and evolution, as part of a series of detailed observations of snow bedform movement in the Colorado Front Range. We show examples of the movement of snow ripples, snow waves, barchan dunes, snow steps, and sastrugi. We also introduce a previously undocumented bedform: the stealth dune. These observations show that (1) snow dunes accelerate minute-by-minute in response to gusts, (2) sastrugi and snow steps present steep edges to the wind and migrate downwind as those edges erode, (3) snow waves and dunes deposit layers of cohesive snow in their wake, and (4) bedforms evolve along complex cyclic trajectories. These observations provide the basis for new conceptual models of bedform evolution, based on the relative fluxes of snowfall, aeolian transport, erosion, and snow sintering across and into the surface. We find that many snow bedforms are generated by complex interactions between these processes. The prototypical example is the snow wave, in which deposition, sintering, and erosion occur in transverse stripes across the snowscape.</t>
  </si>
  <si>
    <t>[Kochanski, Kelly; Anderson, Robert S.; Tucker, Gregory E.] Univ Colorado, Dept Geol Sci, Boulder, CO 80309 USA; [Kochanski, Kelly; Anderson, Robert S.] Univ Colorado, Inst Arctic &amp; Alpine Res, Boulder, CO 80309 USA; [Kochanski, Kelly; Tucker, Gregory E.] Univ Colorado, Cooperat Inst Res Environm Sci, Boulder, CO 80309 USA</t>
  </si>
  <si>
    <t>University of Colorado System; University of Colorado Boulder; University of Colorado System; University of Colorado Boulder; University of Colorado System; University of Colorado Boulder</t>
  </si>
  <si>
    <t>Kochanski, K (corresponding author), Univ Colorado, Dept Geol Sci, Boulder, CO 80309 USA.;Kochanski, K (corresponding author), Univ Colorado, Inst Arctic &amp; Alpine Res, Boulder, CO 80309 USA.;Kochanski, K (corresponding author), Univ Colorado, Cooperat Inst Res Environm Sci, Boulder, CO 80309 USA.</t>
  </si>
  <si>
    <t>kelly.kochanski@colorado.edu</t>
  </si>
  <si>
    <t>Tucker, Gregory/AAQ-7004-2021</t>
  </si>
  <si>
    <t>Tucker, Gregory/0000-0003-0364-5800; Kochanski, Kelly/0000-0003-0754-0184; Anderson, Robert/0000-0003-2759-4833</t>
  </si>
  <si>
    <t>Department of Energy Computational Science Graduate Fellowship [DE-FG02-97ER25308]; University of Colorado Chancellor's Fellowship; American Alpine Club; Memorial Research Fund of the Colorado Scientific Society; Patterson Award from the University of Colorado Department of Geological Sciences; University of Colorado Undergraduate Research Opportunities Program; University of Colorado Mountain Research Station through NSF [DEB-1637686]</t>
  </si>
  <si>
    <t>Department of Energy Computational Science Graduate Fellowship(United States Department of Energy (DOE)); University of Colorado Chancellor's Fellowship; American Alpine Club; Memorial Research Fund of the Colorado Scientific Society; Patterson Award from the University of Colorado Department of Geological Sciences; University of Colorado Undergraduate Research Opportunities Program; University of Colorado Mountain Research Station through NSF</t>
  </si>
  <si>
    <t>This research was supported by a Department of Energy Computational Science Graduate Fellowship (DE-FG02-97ER25308) and by a University of Colorado Chancellor's Fellowship. Field equipment was funded by the American Alpine Club, the Memorial Research Fund of the Colorado Scientific Society, and a Patterson Award from the University of Colorado Department of Geological Sciences. Field assistants were supported by the University of Colorado Undergraduate Research Opportunities Program. Logistical support and climate data were provided by the Niwot Ridge Long-Term Ecological Research Project and the University of Colorado Mountain Research Station through NSF cooperative agreement DEB-1637686. We thank Irina Overeem, Clea Bertholet, Chelsea Herbertson, Madonna Yoder, and Richard Barnes for their help in the field. We extend additional thanks to Madonna Yoder and Chelsea Herbertson for data analysis leading to the construction of Fig. 3; to Aaron Hurst for validating the flow field in Fig. 15; and to two anonymous reviewers for constructive comments that improved the overall quality of the paper.</t>
  </si>
  <si>
    <t>10.5194/tc-13-1267-2019</t>
  </si>
  <si>
    <t>HT6TG</t>
  </si>
  <si>
    <t>gold, Green Published, Green Submitted</t>
  </si>
  <si>
    <t>WOS:000464696300001</t>
  </si>
  <si>
    <t>de Christo, TM; Perron, S; Fardin, JF; Simonetti, DSL; de Alvarez, CE</t>
  </si>
  <si>
    <t>de Christo, Tiago Malavazi; Perron, Sylvain; Fardin, Jussara Farias; Lyrio Simonetti, Domingos Savio; de Alvarez, Cristina Engel</t>
  </si>
  <si>
    <t>Demand-side energy management by cooperative combination of plans: A multi-objective method applicable to isolated communities</t>
  </si>
  <si>
    <t>APPLIED ENERGY</t>
  </si>
  <si>
    <t>Demand-side management; Hybrid microgrids; Multi-objective optimization; Parallel computing; Renewable energy; Antarctica</t>
  </si>
  <si>
    <t>OPTIMIZATION MODELS; ARCHITECTURE; EUROPE</t>
  </si>
  <si>
    <t>Nowadays a diversity of demand-side energy management methods have been investigated and experimented, however, the low acceptance and participation of the users and the extra costs for the monitoring and control devices installation are still listed by the literature as the main barriers to be overcome. In many cases, activities can be performed in several ways, but once planned, the replanning or cancellation can become impracticable. In Antarctic Research Stations and isolated communities, the planning of activities is even more critical due climatic time windows and facility availability. Considering these aspects, this work proposes and analyses a demand-side management method based on the cooperative combination of activity plans. The method does not depend on the installation of load-control devices neither knowledge of the user about electricity or tariffs. Based on options of plans informed by the users, the proposed multi-objective optimization algorithm search for the set of plans that both minimizes the cost of energy production and the discomfort of the whole community. Simulations performed for a wind-solar-diesel microgrid with 100 users in scenarios of lack and excess of renewable resource indicate that the proposed method can contribute to the adjustment of the aggregate demand profile of users served by isolated microgrids. In the simulations, the problem of overgeneration by the renewable sources was solved and 8.6% of fuel savings was achieved by the intervention in only 51% of the users. Improvements in the load factor of the generators and in their total operation time were also observed. As consequence, a reduction in the maintenance costs of the generators is also expected.</t>
  </si>
  <si>
    <t>[de Christo, Tiago Malavazi; Fardin, Jussara Farias; Lyrio Simonetti, Domingos Savio] Fed Univ Espirito Santo UFES, Dept Elect Engn, BR-29075910 Vitoria, ES, Brazil; [Perron, Sylvain] HEC Montreal, Sch Higher Commercial Studies, Dept Decis Sci, Montreal, PQ H3T 2A7, Canada; [de Alvarez, Cristina Engel] Fed Univ Espirito Santo UFES, Dept Architecture &amp; Urbanism, BR-29075910 Vitoria, ES, Brazil</t>
  </si>
  <si>
    <t>Universidade Federal do Espirito Santo; Universite de Montreal; HEC Montreal; Universidade Federal do Espirito Santo</t>
  </si>
  <si>
    <t>de Christo, TM (corresponding author), Fed Univ Espirito Santo UFES, Dept Elect Engn, BR-29075910 Vitoria, ES, Brazil.</t>
  </si>
  <si>
    <t>tmalavazi@ifes.edu.br</t>
  </si>
  <si>
    <t>Simonetti, Domingos Sávio Lyrio/C-5172-2013; de Alvarez, Cristina Engel/J-4629-2012; Fardin, Jussara F/D-3419-2014</t>
  </si>
  <si>
    <t>Simonetti, Domingos Sávio Lyrio/0000-0001-5920-2932;</t>
  </si>
  <si>
    <t>Coordination of Improvement of Higher-Level Education Personnel of Brazil (CAPES) [88881.135158/2016-01, 001]; Natural Sciences and Engineering Research Council of Canada (NSERC) through HEC-Montreal; Brazilian Federal Institute of Education Science and Technology (IFES) [23183.000838/2013-21, 23183.000797/2015-34]</t>
  </si>
  <si>
    <t>Coordination of Improvement of Higher-Level Education Personnel of Brazil (CAPES); Natural Sciences and Engineering Research Council of Canada (NSERC) through HEC-Montreal; Brazilian Federal Institute of Education Science and Technology (IFES)</t>
  </si>
  <si>
    <t>This work was supported by the Coordination of Improvement of Higher-Level Education Personnel of Brazil (CAPES), process number 88881.135158/2016-01, Finance Code 001, the Natural Sciences and Engineering Research Council of Canada (NSERC) through HEC-Montreal and the Brazilian Federal Institute of Education Science and Technology (IFES), process number 23183.000838/2013-21 and number 23183.000797/2015-34.</t>
  </si>
  <si>
    <t>0306-2619</t>
  </si>
  <si>
    <t>1872-9118</t>
  </si>
  <si>
    <t>APPL ENERG</t>
  </si>
  <si>
    <t>Appl. Energy</t>
  </si>
  <si>
    <t>APR 15</t>
  </si>
  <si>
    <t>10.1016/j.apenergy.2019.02.011</t>
  </si>
  <si>
    <t>Energy &amp; Fuels; Engineering, Chemical</t>
  </si>
  <si>
    <t>Energy &amp; Fuels; Engineering</t>
  </si>
  <si>
    <t>HZ2YI</t>
  </si>
  <si>
    <t>WOS:000468714300033</t>
  </si>
  <si>
    <t>Narcisi, B; Petit, JR; Delmonte, B; Batanova, V; Savarino, J</t>
  </si>
  <si>
    <t>Narcisi, Biancamaria; Petit, Jean Robert; Delmonte, Barbara; Batanova, Valentina; Savarino, Joel</t>
  </si>
  <si>
    <t>Multiple sources for tephra from AD 1259 volcanic signal in Antarctic ice cores</t>
  </si>
  <si>
    <t>QUATERNARY SCIENCE REVIEWS</t>
  </si>
  <si>
    <t>Cryptotephra; Antarctica; Ice cores; Volcanic isochron; Glass shard microanalysis; Antarctic rifting volcanism; Samalas AD 1257 eruption</t>
  </si>
  <si>
    <t>NORTHERN VICTORIA LAND; EAST ANTARCTICA; EXPLOSIVE VOLCANISM; ATMOSPHERIC CIRCULATION; SIPLE DOME; ERUPTION; RECORD; LAYERS; GREENLAND; SEA</t>
  </si>
  <si>
    <t>Strong volcanic signals simultaneously recorded in polar ice sheets are commonly assigned to major low-latitude eruptions that dispersed large quantities of aerosols in the global atmosphere with the potential of inducing climate perturbations. Parent eruptions responsible for specific events are typically deduced from matching to a known volcanic eruption having coincidental date. However, more robust source linkage can be achieved only through geochemical characterisation of the airborne volcanic glass products (tephra) sometimes preserved in the polar strata. We analysed fine-grained tephra particles extracted from layers of the AD 1259 major bipolar volcanic signal in four East Antarctic ice cores drilled in different widely-spaced locations on the Antarctic Plateau. The very large database of glass-shard geochemistry combined with grain size analyses consistently indicate that the material was sourced from multiple distinct eruptions. These are the AD 1257 mega-eruption of Samalas volcano in Indonesia, recently proposed to be the single event responsible for the polar signal, as well as a newly-identified Antarctic eruption, which occurred in northern Victoria Land in AD 1259. Finally, a further eruption that took place somewhere outside of Antarctica has also contributed to tephra deposition. Our high-resolution, multiple-site approach was critical for revealing spatial heterogeneity of tephra at the continental scale. Evidence from ice-core tephra indicates recurrent explosive activity at the Antarctic volcanoes and could have implications for improved reconstruction of post-volcanic effects on climate from proxy polar records. (C) 2019 Elsevier Ltd. All rights reserved.</t>
  </si>
  <si>
    <t>[Narcisi, Biancamaria] ENEA, CR, I-00123 Rome, Italy; [Petit, Jean Robert; Savarino, Joel] Univ Grenoble Alpes, CNRS, IRD, Grenoble INP,ICE, F-38000 Grenoble, France; [Delmonte, Barbara] Univ Milano Bicocca, Dept Earth &amp; Environm Sci DISAT, Piazza Sci, I-20126 Milan, Italy; [Batanova, Valentina] Univ Savoie Mont Blanc, Univ Grenoble Alpes, CNRS, IRD,IFSTTAR,ISTerre, F-38000 Grenoble, France</t>
  </si>
  <si>
    <t>Italian National Agency New Technical Energy &amp; Sustainable Economics Development; Communaute Universite Grenoble Alpes; Institut National Polytechnique de Grenoble; Centre National de la Recherche Scientifique (CNRS); Institut de Recherche pour le Developpement (IRD); Universite Grenoble Alpes (UGA); University of Milano-Bicocca; Universite Gustave-Eiffel; Communaute Universite Grenoble Alpes; Universite Grenoble Alpes (UGA); Centre National de la Recherche Scientifique (CNRS); Institut de Recherche pour le Developpement (IRD); Universite Savoie Mont Blanc</t>
  </si>
  <si>
    <t>Narcisi, B (corresponding author), ENEA, CR, I-00123 Rome, Italy.</t>
  </si>
  <si>
    <t>biancamaria.narcisi@enea.it</t>
  </si>
  <si>
    <t>Delmonte, Barbara/L-2555-2015; savarino, joel/H-9730-2012</t>
  </si>
  <si>
    <t>Delmonte, Barbara/0000-0002-9074-2061; savarino, joel/0000-0002-6708-9623</t>
  </si>
  <si>
    <t>Soviet Russian Antarctic Expedition; National Science Foundation; French Polar Institute; MIUR (Italian Ministry of University and Research)-PNRA (Italian Antarctic Research Programme) program through the IPICS-2kyr-It project</t>
  </si>
  <si>
    <t>Soviet Russian Antarctic Expedition; National Science Foundation(National Science Foundation (NSF)); French Polar Institute; MIUR (Italian Ministry of University and Research)-PNRA (Italian Antarctic Research Programme) program through the IPICS-2kyr-It project(Ministry of Education, Universities and Research (MIUR))</t>
  </si>
  <si>
    <t>We thank DJ. Lowe (University of Waikato) for his useful advice on New Zealand tephrochronology, N. Metrich and J.-C. Komorowski (Institut de Physique du Globe de Paris) for providing tephra samples from the Samalas deposits, C. Rado for drilling operations at Vostok, and E. Gautier (IGE, Grenoble) for DC ice sample selection. We appreciate the constructive comments and valuable advice of J.L. Smellie and an anonymous reviewer. The Vostok ice core was obtained during 1991-92 field season through the Russian US French collaboration on ice cores with the support from the Soviet Russian Antarctic Expedition, the National Science Foundation and the French Polar Institute. This work contributes to TALos Dome Ice CorE (TALDICE), a joint European programme lead by Italy and funded by national contributions from Italy, France, Germany, Switzerland and the United Kingdom, that was aimed at retrieving an ice core reaching back through the previous two interglacials (about 250,000 years). This is TALDICE publication no 55. The GV7 drilling project, carried out in cooperation with KOPRI (Korean Polar Research Institute), was financially supported by the MIUR (Italian Ministry of University and Research)-PNRA (Italian Antarctic Research Programme) program through the IPICS-2kyr-It project. Author Contributions: B.N. and J.R.P. conceived this study. J.R.P. conducted ice-core sample processing, grain-size analysis, and preliminary microprobe work. B.N. conducted tephra analysis, interpreted the results, and wrote most of the manuscript. V.B. was responsible for microprobe work. B.D. interpreted grain-size data and significantly contributed to the writing of the text. J.S. collaborated in the discussion of the experimental results.</t>
  </si>
  <si>
    <t>0277-3791</t>
  </si>
  <si>
    <t>QUATERNARY SCI REV</t>
  </si>
  <si>
    <t>Quat. Sci. Rev.</t>
  </si>
  <si>
    <t>10.1016/j.quascirev.2019.03.005</t>
  </si>
  <si>
    <t>HU1UO</t>
  </si>
  <si>
    <t>WOS:000465057500013</t>
  </si>
  <si>
    <t>Cano-Sánchez, E; López-González, PJ</t>
  </si>
  <si>
    <t>Cano-Sanchez, Esperanza; Lopez-Gonzalez, Pablo J.</t>
  </si>
  <si>
    <t>Two new species and new findings in the genus Pallenopsis (Pycnogonida: Pallenopsidae) with an updated identification key to Antarctic and Sub-Antarctic species</t>
  </si>
  <si>
    <t>ZOOTAXA</t>
  </si>
  <si>
    <t>Antarctica; Bathypallenopsis; Pycnogonids; sea spider; Sub-Antarctica; taxonomy</t>
  </si>
  <si>
    <t>SEA SPIDERS ARTHROPODA; HOEK; PHYLOGENY</t>
  </si>
  <si>
    <t>The present contribution describes and discusses the observed morphological variability of pycnogonids in the genus Pallenopsis collected during the Italica XIX cruise to Victoria Land, Ross Sea, Antarctica (3 Feb-4 Mar, 2004). Four species are recognized in this collection and two of them are proposed as new species Pallenopsis gracilis n. sp. and Pallenopsis rotunda n. sp. The new species are described, illustrated, and compared morphologically with their closest congeners. The morphological diagnostic characters of the subgenus Bathypallenopsis are discussed and considered insufficient to justify a separation into subgenera. The observed morphological variability is instead proposed to be accommodated in one inclusive genus Pallenopsis. Finally, we propose an updated dichotomous key to all currently recognized Antarctic and Sub-Antarctic Pallenopsis species (adult form), and discuss some of the more disputable taxa, highlighting the lack of knowledge of the morphological and molecular characters of this genus.</t>
  </si>
  <si>
    <t>[Cano-Sanchez, Esperanza; Lopez-Gonzalez, Pablo J.] Univ Seville, Fac Biol, Dept Zool, Biodiversidad &amp; Ecol Acuat, Reina Mercedes 6, E-41012 Seville, Spain</t>
  </si>
  <si>
    <t>University of Sevilla</t>
  </si>
  <si>
    <t>Cano-Sánchez, E (corresponding author), Univ Seville, Fac Biol, Dept Zool, Biodiversidad &amp; Ecol Acuat, Reina Mercedes 6, E-41012 Seville, Spain.</t>
  </si>
  <si>
    <t>ecano@us.es; pjlopez@us.es</t>
  </si>
  <si>
    <t>Lopez-González, Pablo J./Y-6440-2018</t>
  </si>
  <si>
    <t>Lopez-González, Pablo J./0000-0002-7348-6270</t>
  </si>
  <si>
    <t>Spanish CICYT project [CGL2004-20062-E]</t>
  </si>
  <si>
    <t>Spanish CICYT project(Consejo Interinstitucional de Ciencia y Tecnologia (CICYT))</t>
  </si>
  <si>
    <t>The authors wish to thank the officers and crew and many colleagues for their help on board during the VLT-2004 (Italica, XIX Spedizione) cruise. We take this opportunity to extend our thanks to the cruise leader and steering committee of the cruise, especially Riccardo Cattaneo, Maria Chiara Chiantore and Roberto Meloni, who kindly facilitated the work on board and for the opportunity to collaborate on this Antarctic programme. Support for this work was provided by the Spanish CICYT project CGL2004-20062-E. Mr. Tony Krupa is thanked for reviewing the English version. Thanks to the anonymous reviewers and editor for suggestions to improve earlier versions of the manuscript.</t>
  </si>
  <si>
    <t>MAGNOLIA PRESS</t>
  </si>
  <si>
    <t>AUCKLAND</t>
  </si>
  <si>
    <t>250F Marua Road Mt Wellington, AUCKLAND, ST LUKES 1023, NEW ZEALAND</t>
  </si>
  <si>
    <t>1175-5326</t>
  </si>
  <si>
    <t>1175-5334</t>
  </si>
  <si>
    <t>Zootaxa</t>
  </si>
  <si>
    <t>10.11646/zootaxa.4585.3.7</t>
  </si>
  <si>
    <t>Zoology</t>
  </si>
  <si>
    <t>HT4CO</t>
  </si>
  <si>
    <t>WOS:000464510900007</t>
  </si>
  <si>
    <t>Cui, W; Wang, W; Zhang, J; Yang, JG</t>
  </si>
  <si>
    <t>Cui, Wei; Wang, Wei; Zhang, Jie; Yang, Jungang</t>
  </si>
  <si>
    <t>Multicore structures and the splitting and merging of eddies in global oceans from satellite altimeter data</t>
  </si>
  <si>
    <t>OCEAN SCIENCE</t>
  </si>
  <si>
    <t>MESOSCALE EDDIES; STATISTICAL CHARACTERISTICS; IDENTIFICATION ALGORITHMS; AUTOMATIC IDENTIFICATION; ANTICYCLONIC EDDIES; SOUTHERN-OCEAN; EDDY DETECTION; SEA; QUANTIFICATION; EVOLUTION</t>
  </si>
  <si>
    <t>This study investigated the statistics of eddy splitting and merging in the global oceans based on 23 years of altimetry data. Multicore structures were identified using an improved geometric closed-contour algorithm of sea surface height. Splitting and merging events were discerned from continuous time series maps of sea level anomalies. Multicore structures represent an intermediate stage in the process of eddy evolution, similar to the generation of multiple nuclei in a cell as a preparatory phase for cell division. Generally, splitting or merging events can substantially change (by a factor of 2 or more) the eddy scale, amplitude, and eddy kinetic energy. Specifically, merging (splitting) generally causes an increase (decrease) of eddy properties. Multicore eddies were found to tend to split into two eddies with different intensities. Similarly, eddy merging is not an interaction of two equal-intensity eddies, and it tends to manifest as a strong eddy merging with a weaker one. A hybrid tracking strategy based on the eddy overlap ratio, considering both multicore and single-core eddies, was used to confirm splitting and merging events globally. The census revealed that eddy splitting and merging do not always occur most frequently in eddy-rich regions; e. g., their frequencies of occurrence in the Antarctic Circumpolar Current and western boundary currents were found to be greater than in midlatitude regions (20-35 ffi) to the north and south. Eddy splitting and merging are caused primarily by an unstable configuration of multicore structures due to obvious current-or eddytopography interaction, strong current variation, and eddymean flow interaction.</t>
  </si>
  <si>
    <t>[Cui, Wei; Zhang, Jie; Yang, Jungang] Minist Nat Resources China, Inst Oceanog 1, Qingdao, Shandong, Peoples R China; [Cui, Wei; Wang, Wei] Ocean Univ China, Qingdao Collaborat Innovat Ctr Marine Sci &amp; Techn, Phys Oceanog Lab, Qingdao, Shandong, Peoples R China</t>
  </si>
  <si>
    <t>Ministry of Natural Resources of the People's Republic of China; Ocean University of China</t>
  </si>
  <si>
    <t>Cui, W (corresponding author), Minist Nat Resources China, Inst Oceanog 1, Qingdao, Shandong, Peoples R China.;Cui, W (corresponding author), Ocean Univ China, Qingdao Collaborat Innovat Ctr Marine Sci &amp; Techn, Phys Oceanog Lab, Qingdao, Shandong, Peoples R China.</t>
  </si>
  <si>
    <t>cuiwei@fio.org.cn</t>
  </si>
  <si>
    <t>Yang, Shu/JUU-4592-2023</t>
  </si>
  <si>
    <t>Cui, Wei/0000-0003-0456-9002</t>
  </si>
  <si>
    <t>National Natural Science Foundation of China [1576176]; National Key R&amp;D Program of China [2016YFC1401800]; National Programme on Global Change and Air-Sea Interaction; CNES</t>
  </si>
  <si>
    <t>National Natural Science Foundation of China(National Natural Science Foundation of China (NSFC)); National Key R&amp;D Program of China; National Programme on Global Change and Air-Sea Interaction; CNES(Centre National D'etudes Spatiales)</t>
  </si>
  <si>
    <t>This work was supported by the National Natural Science Foundation of China under contract no. 1576176, the National Key R&amp;D Program of China under contract no. 2016YFC1401800, and in part by National Programme on Global Change and Air-Sea Interaction. The altimeter products were produced by Ssalto/Duacs and distributed by AVISO, with support from CNES (http://www.aviso.altimetry.fr/duacs/; AVISO, 2018). The remote sensing SST data from AVHRR were provided by the National Oceanic and Atmospheric Administration (NOAA).</t>
  </si>
  <si>
    <t>1812-0784</t>
  </si>
  <si>
    <t>OCEAN SCI</t>
  </si>
  <si>
    <t>Ocean Sci.</t>
  </si>
  <si>
    <t>10.5194/os-15-413-2019</t>
  </si>
  <si>
    <t>Meteorology &amp; Atmospheric Sciences; Oceanography</t>
  </si>
  <si>
    <t>HT4YD</t>
  </si>
  <si>
    <t>WOS:000464568400001</t>
  </si>
  <si>
    <t>Linz, M; Abalos, M; Glanville, AS; Kinnison, DE; Ming, A; Neu, JL</t>
  </si>
  <si>
    <t>Linz, Marianna; Abalos, Marta; Glanville, Anne Sasha; Kinnison, Douglas E.; Ming, Alison; Neu, Jessica L.</t>
  </si>
  <si>
    <t>The global diabatic circulation of the stratosphere as a metric for the Brewer-Dobson circulation</t>
  </si>
  <si>
    <t>ANTARCTIC OZONE HOLE; TROPICAL TROPOPAUSE; MEAN AGE; INTERANNUAL VARIATIONS; UPPER TROPOSPHERE; TAPE-RECORDER; WATER-VAPOR; AIR TRENDS; MODEL; CLIMATE</t>
  </si>
  <si>
    <t>The circulation of the stratosphere, also known as the Brewer-Dobson circulation, transports water vapor and ozone, with implications for radiative forcing and climate. This circulation is typically quantified from model output by calculating the tropical upwelling vertical velocity in the residual circulation framework, and it is estimated from observations by using time series of tropical water vapor to infer a vertical velocity. Recent theory has introduced a method to calculate the strength of the global mean diabatic circulation through isentropes from satellite measurements of long lived tracers. In this paper, we explore this global diabatic circulation as it relates to the residual circulation vertical velocity, stratospheric water vapor, and ozone at interannual timescales. We use a comprehensive climate model, three reanalysis data products, and satellite ozone data. The different metrics for the circulation have different properties, especially with regards to the vertical autocorrelation. In the model, the different residual circulation metrics agree closely and are well correlated with the global diabatic circulation, except in the lowermost stratosphere. In the reanalysis products, however, there are more differences throughout, indicating the dynamical inconsistencies of these products. The vertical velocity derived from the time series of water vapor in the tropics is significantly correlated with the global diabatic circulation, but this relationship is not as strong as that between the global diabatic circulation and the residual circulation vertical velocity. We find that the global diabatic circulation in the lower to middle stratosphere (up to 500 K) is correlated with the total column ozone in the high latitudes and in the tropics. The upper-level circulation is also correlated with the total column ozone, primarily in the subtropics, and we show that this is due to the correlation of both the circulation and the ozone with upper-level temperatures.</t>
  </si>
  <si>
    <t>[Linz, Marianna] Univ Calif Los Angeles, Dept Atmospher &amp; Ocean Sci, 520 Portola Plaza Los Angeles, Los Angeles, CA 90095 USA; [Abalos, Marta] Univ Complutense Madrid, Dept Earth Phys &amp; Astrophys, Madrid, Spain; [Glanville, Anne Sasha; Kinnison, Douglas E.] Natl Ctr Atmospher Res, Atmospher Chem Observat &amp; Modeling Lab, Boulder, CO 80301 USA; [Ming, Alison] British Antarctic Survey, Cambridge CB3 0ET, England; [Neu, Jessica L.] CALTECH, Jet Prop Lab, 4800 Oak Grove Dr, Pasadena, CA 91109 USA; [Linz, Marianna] Harvard Univ, Dept Earth &amp; Planetary Sci, 20 Oxford St, Cambridge, MA 02138 USA; [Linz, Marianna] Harvard Univ, Sch Engn &amp; Appl Sci, 20 Oxford St, Cambridge, MA 02138 USA</t>
  </si>
  <si>
    <t>University of California System; University of California Los Angeles; Complutense University of Madrid; National Center Atmospheric Research (NCAR) - USA; UK Research &amp; Innovation (UKRI); Natural Environment Research Council (NERC); NERC British Antarctic Survey; National Aeronautics &amp; Space Administration (NASA); NASA Jet Propulsion Laboratory (JPL); California Institute of Technology; Harvard University; Harvard University</t>
  </si>
  <si>
    <t>Linz, M (corresponding author), Univ Calif Los Angeles, Dept Atmospher &amp; Ocean Sci, 520 Portola Plaza Los Angeles, Los Angeles, CA 90095 USA.;Linz, M (corresponding author), Harvard Univ, Dept Earth &amp; Planetary Sci, 20 Oxford St, Cambridge, MA 02138 USA.;Linz, M (corresponding author), Harvard Univ, Sch Engn &amp; Appl Sci, 20 Oxford St, Cambridge, MA 02138 USA.</t>
  </si>
  <si>
    <t>mlinz@seas.harvard.edu</t>
  </si>
  <si>
    <t>Abalos, Marta/J-8455-2016</t>
  </si>
  <si>
    <t>Abalos, Marta/0000-0002-1267-5115; /0000-0002-3241-5062</t>
  </si>
  <si>
    <t>DoD, Air Force Office of Scientific Research, National Defense Science and Engineering Graduate Fellowship [32 CFR 168a]; NSF [AGS-1608775]; National Science Foundation [AGS-1547733]; Program Atraccion de Talento de la Comunidad de Madrid [2016-T2/AMB-1405]; Spanish National Project STEADY [CGL2017-83198-R]; European Research Council through the ACCI project [267760]; US National Science Foundation; National Science Foundation (NSF); Office of Science of the US Department of Energy; NSF; NASA; NASA Modeling, Analysis and Prediction Program; NERC [bas0100032] Funding Source: UKRI</t>
  </si>
  <si>
    <t>DoD, Air Force Office of Scientific Research, National Defense Science and Engineering Graduate Fellowship; NSF(National Science Foundation (NSF)); National Science Foundation(National Science Foundation (NSF)); Program Atraccion de Talento de la Comunidad de Madrid; Spanish National Project STEADY; European Research Council through the ACCI project(European Research Council (ERC)); US National Science Foundation(National Science Foundation (NSF)); National Science Foundation (NSF)(National Science Foundation (NSF)); Office of Science of the US Department of Energy(United States Department of Energy (DOE)); NSF(National Science Foundation (NSF)); NASA(National Aeronautics &amp; Space Administration (NASA)); NASA Modeling, Analysis and Prediction Program(National Aeronautics &amp; Space Administration (NASA)); NERC(UK Research &amp; Innovation (UKRI)Natural Environment Research Council (NERC))</t>
  </si>
  <si>
    <t>We thank R. Alan Plumb, Diane J. Ivy, and Susan Solomon for helpful discussions. This research was conducted with government support for Marianna Linz under and awarded by the DoD, Air Force Office of Scientific Research, National Defense Science and Engineering Graduate Fellowship (32 CFR 168a). Additional funding for Marianna Linz was provided by NSF award AGS-1608775. This work was supported in part by National Science Foundation grant AGS-1547733 to MIT. Marta Abalos was supported by funding from the Program Atraccion de Talento de la Comunidad de Madrid (2016-T2/AMB-1405) and the Spanish National Project STEADY (CGL2017-83198-R). Alison Ming acknowledges funding support from the European Research Council through the ACCI project (grant 267760) led by John Pyle. The National Center for Atmospheric Research (NCAR) is sponsored by the US National Science Foundation. Any opinions, findings, and conclusions or recommendations expressed in the publication are those of the author(s) and do not necessarily reflect the views of the National Science Foundation. WACCM is a component of the Community Earth System Model (CESM), which is supported by the National Science Foundation (NSF) and the Office of Science of the US Department of Energy. Computing resources were provided by NCAR's Climate Simulation Laboratory, sponsored by the NSF and other agencies. This research was enabled by the computational and storage resources of NCAR's Computational and Information System Laboratory (CISL). Part of this research was carried out at the Jet Propulsion Laboratory, California Institute of Technology, under a contract with NASA. One of the datasets used for this study is from the Japanese 55-year Reanalysis (JRA55) project carried out by the Japan Meteorological Agency (JMA). MERRA was developed by the Global Modeling and Assimilation Office and supported by the NASA Modeling, Analysis and Prediction Program.</t>
  </si>
  <si>
    <t>10.5194/acp-19-5069-2019</t>
  </si>
  <si>
    <t>HT4TN</t>
  </si>
  <si>
    <t>Green Submitted, gold, Green Accepted</t>
  </si>
  <si>
    <t>WOS:000464556300001</t>
  </si>
  <si>
    <t>Cummings, VJ; Barr, NG; Budd, RG; Marriott, PM; Safi, KA; Lohrer, AM</t>
  </si>
  <si>
    <t>Cummings, Vonda J.; Barr, Neill G.; Budd, Rod G.; Marriott, Peter M.; Safi, Karl A.; Lohrer, Andrew M.</t>
  </si>
  <si>
    <t>In situ response of Antarctic under-ice primary producers to experimentally altered pH</t>
  </si>
  <si>
    <t>SCIENTIFIC REPORTS</t>
  </si>
  <si>
    <t>OCEAN ACIDIFICATION; SEA-ICE; MCMURDO SOUND; CARBONIC-ACID; IMPACTS; PHOTOSYNTHESIS; 21ST-CENTURY; PRODUCTIVITY; DISSOCIATION; CONSTANTS</t>
  </si>
  <si>
    <t>Elevated atmospheric CO2 concentrations are contributing to ocean acidification (reduced seawater pH and carbonate concentrations), with potentially major ramifications for marine ecosystems and their functioning. Using a novel in situ experiment we examined impacts of reduced seawater pH on Antarctic sea ice-associated microalgal communities, key primary producers and contributors to food webs. pH levels projected for the following decades-to-end of century (7.86, 7.75, 7.61), and ambient levels (7.99), were maintained for 15 d in under-ice incubation chambers. Light, temperature and dissolved oxygen within the chambers were logged to track diurnal variation, with pH, O-2, salinity and nutrients assessed daily. Uptake of CO2 occurred in all treatments, with pH levels significantly elevated in the two extreme treatments. At the lowest pH, despite the utilisation of CO2 by the productive microalgae, pH did not return to ambient levels and carbonate saturation states remained low; a potential concern for organisms utilising this under-ice habitat. However, microalgal community biomass and composition were not significantly affected and only modest productivity increases were noted, suggesting subtle or slightly positive effects on under-ice algae. This in situ information enables assessment of the influence of future ocean acidification on under-ice community characteristics in a key coastal Antarctic habitat.</t>
  </si>
  <si>
    <t>[Cummings, Vonda J.; Barr, Neill G.; Marriott, Peter M.] Natl Inst Water &amp; Atmospher Res, Wellington, New Zealand; [Budd, Rod G.; Safi, Karl A.; Lohrer, Andrew M.] Natl Inst Water &amp; Atmospher Res, Hamilton, New Zealand</t>
  </si>
  <si>
    <t>National Institute of Water &amp; Atmospheric Research (NIWA) - New Zealand; National Institute of Water &amp; Atmospheric Research (NIWA) - New Zealand</t>
  </si>
  <si>
    <t>Cummings, VJ (corresponding author), Natl Inst Water &amp; Atmospher Res, Wellington, New Zealand.</t>
  </si>
  <si>
    <t>vonda.cummings@niwa.co.nz</t>
  </si>
  <si>
    <t>Safi, Karl/0000-0002-7785-1909; Cummings, Vonda/0000-0003-1076-3995</t>
  </si>
  <si>
    <t>Royal Society of New Zealand Marsden Fund [NIW1101]</t>
  </si>
  <si>
    <t>Royal Society of New Zealand Marsden Fund(Royal Society of New ZealandMarsden Fund (NZ))</t>
  </si>
  <si>
    <t>We thank our K082 dive team, Pete Notman, Dave Bremner and Scott Edhouse for helping the experiment run smoothly, and Kim Currie and Judi Hewitt for their contribution to chemical and statistical analyses, respectively. Simon Thrush is thanked for advice in the early days of this research. Antarctica New Zealand provided excellent logistical support. This research was funded by the Royal Society of New Zealand Marsden Fund (NIW1101) to VC and AL. Cliff Law (NIWA) and two anonymous reviewers provided helpful comments that improved earlier drafts of this manuscript.</t>
  </si>
  <si>
    <t>2045-2322</t>
  </si>
  <si>
    <t>SCI REP-UK</t>
  </si>
  <si>
    <t>Sci Rep</t>
  </si>
  <si>
    <t>10.1038/s41598-019-42329-0</t>
  </si>
  <si>
    <t>HT3XE</t>
  </si>
  <si>
    <t>WOS:000464495700017</t>
  </si>
  <si>
    <t>Hochmuth, K; Gohl, K</t>
  </si>
  <si>
    <t>Hochmuth, Katharina; Gohl, Karsten</t>
  </si>
  <si>
    <t>Seaward growth of Antarctic continental shelves since establishment of a continent-wide ice sheet: Patterns and mechanisms</t>
  </si>
  <si>
    <t>PALAEOGEOGRAPHY PALAEOCLIMATOLOGY PALAEOECOLOGY</t>
  </si>
  <si>
    <t>Antarctic continental shelves; Glacial sedimentation; Glacial erosion; Progradational wedges; Southern Ocean; Seismic reflection data</t>
  </si>
  <si>
    <t>AMUNDSEN SEA EMBAYMENT; SEISMIC STRATIGRAPHIC EVIDENCE; MARIE-BYRD-LAND; WEDDELL SEA; WILKES LAND; PRYDZ BAY; ROSS SEA; CENOZOIC SEDIMENTATION; GLACIOMARINE DEPOSITS; GLACIAL HISTORY</t>
  </si>
  <si>
    <t>The location and setting of the continental shelf break along the Antarctic continental shelves influences the paleoceanographic circulation patterns as well as sedimentation and ice sheet dynamics. By evaluating the available multichannel seismic reflection data and drill core information, we mapped the base of progradational features associated with the first advances of grounded ice sheet to the outer shelf. The distance between the modern shelf edge and the pre-glacial shelf edge varies from &gt; 200 km (e.g. Ross Sea) to &lt; 6 km (e.g. Thurston Island, West Antarctica). We identified multiple processes and mechanisms which influence the amount of shelf progradation during the establishment of a grounded ice sheet on the outer Antarctic shelves. The tectonic structure of the shelves proves to be a key factor by establishing the width of the shelf as well as local tectonics such as horst/graben and fault systems, which guide the ice stream flow and therefore the resulting sedimentation. Unlike expected, the erosional potential of the hinterland seems to play a minor role in building progradational sequences, whereas fewer long-term grounding events on the shelf edge result in more continental shelf progradation than presumed from a more dynamic ice sheet. By using these observed relationships to extrapolate the former shelf edge to unmapped regions around the Antarctic continent, we estimate an overall seaward growth of the continental shelves by 7% in area and 1.28 * 10(6)km(3) of approximated sedimentary volume deposited along the shelf edge and upper slope.</t>
  </si>
  <si>
    <t>[Hochmuth, Katharina; Gohl, Karsten] Alfred Wegener Inst, Helmholtz Ctr Polar &amp; Marine Sci, Alten Hafen 26, D-27568 Bremerhaven, Germany</t>
  </si>
  <si>
    <t>Helmholtz Association; Alfred Wegener Institute, Helmholtz Centre for Polar &amp; Marine Research</t>
  </si>
  <si>
    <t>Hochmuth, K (corresponding author), Alfred Wegener Inst, Helmholtz Ctr Polar &amp; Marine Sci, Alten Hafen 26, D-27568 Bremerhaven, Germany.</t>
  </si>
  <si>
    <t>Katharina.Hochmuth@awi.de</t>
  </si>
  <si>
    <t>Gohl, Karsten/0000-0002-9558-2116; Hochmuth, Katharina/0000-0003-2789-2179</t>
  </si>
  <si>
    <t>Deutsche Forschungsgemeinschaft (DFG) [GO724/15-1]</t>
  </si>
  <si>
    <t>The authors thank the numerous cruise participants and ship crews involved in the collection of the reflection seismic data used in this study. We thank Robert Larter for providing additional seismic single channel data from the Bellingshausen Sea and Douglas Wilson for providing the gridded data of the eroded thickness at the Eocene/Oligocene Boundary of Antarctica. We additionally thank the editor and two anonymous reviewers whose suggestions and comments improved this manuscript immensely. This project has been funded by the Deutsche Forschungsgemeinschaft (DFG) under the project GO724/15-1 and institutional resources from the Research Program PACES -II, Workpackage 3.2, of the Alfred Wegener Institute. The project contributes to the SCAR Scientific Research Program Past Antarctic Ice Sheet Dynamics (PAIS).</t>
  </si>
  <si>
    <t>0031-0182</t>
  </si>
  <si>
    <t>1872-616X</t>
  </si>
  <si>
    <t>PALAEOGEOGR PALAEOCL</t>
  </si>
  <si>
    <t>Paleogeogr. Paleoclimatol. Paleoecol.</t>
  </si>
  <si>
    <t>10.1016/j.palaeo.2019.01.025</t>
  </si>
  <si>
    <t>Geography, Physical; Geosciences, Multidisciplinary; Paleontology</t>
  </si>
  <si>
    <t>Physical Geography; Geology; Paleontology</t>
  </si>
  <si>
    <t>HR4OF</t>
  </si>
  <si>
    <t>WOS:000463125100004</t>
  </si>
  <si>
    <t>Zhu, SY; Li, XY; Xu, J; Cheng, TH; Zhang, XY; Wang, HM; Wang, YP; Miao, J</t>
  </si>
  <si>
    <t>Zhu, Songyan; Li, Xiaoying; Xu, Jian; Cheng, Tianhai; Zhang, Xingying; Wang, Hongmei; Wang, Yapeng; Miao, Jing</t>
  </si>
  <si>
    <t>Neural network aided fast pointing information determination approach for occultation payloads from in-flight measurements: Algorithm design and assessment</t>
  </si>
  <si>
    <t>ADVANCES IN SPACE RESEARCH</t>
  </si>
  <si>
    <t>Occultation observation; Pointing information; N-2 absorption; Tangential strides; Triangular iteration; LSTM</t>
  </si>
  <si>
    <t>TROPOSPHERIC NO2; DISTRIBUTIONS; TEMPERATURE; VALIDATION; OMI</t>
  </si>
  <si>
    <t>Pointing information is decisive to solving precise profile retrieval issues from occultation measurements. Research regarding stratospheric O-3 hole in Antarctic and surface O-3 pollution would significantly benefit from massive occultation measurements. A neural network aided pointing information determination approach, in terms of tangent heights, is proposed to address issues requiring fast and easy-to-use determined tangent heights. The geometrical triangular iteration (GTI) algorithm in this work is based on N-2 absorption microwindows, and several treatments (e.g., tangential stride generator and triangular-net optimization) are adopted. In addition, LSTM is employed to reduce time consumption and increase accuracy. Atmospheric Chemistry Experiment-Fourier Transform Spectrometer (ACE-FTS) in-flight measurements are used to assess this approach. The comparison between the proposed algorithm and eight official products indicates a promising performance. Correlation coefficient for each orbit is greater than 0.99. The processing time is about 16.6 min per orbit with an average cost of similar to 0.06. The introduction of LSTM technique demonstrates an approximate 28.49% better result, with less computation time. It costed less than 30 s to determine eight orbit tangent heights. In general, although minor issues remain, this LSTM-aided GTI algorithm is applicable in industry. (C) 2019 COSPAR. Published by Elsevier Ltd.</t>
  </si>
  <si>
    <t>[Zhu, Songyan] China Ctr Resources Satellite Data &amp; Applicat, Beijing 100830, Peoples R China; [Zhu, Songyan; Li, Xiaoying; Cheng, Tianhai; Wang, Hongmei; Wang, Yapeng; Miao, Jing] Chinese Acad Sci, State Key Lab Remote Sensing Sci, Inst Remote Sensing &amp; Digital Earth, Beijing 100101, Peoples R China; [Xu, Jian] German Aerosp Ctr DLR, Remote Sensing Technol Inst, Oberpfaffenhofen, Germany; [Zhang, Xingying] China Meteorol Adm, Natl Satellite Meteorol Ctr, Beijing 100081, Peoples R China; [Wang, Hongmei; Wang, Yapeng; Miao, Jing] Univ Chinese Acad Sci, Sch Elect Elect &amp; Commun Engn, Beijing 100049, Peoples R China</t>
  </si>
  <si>
    <t>Chinese Academy of Sciences; The Institute of Remote Sensing &amp; Digital Earth, CAS; Helmholtz Association; German Aerospace Centre (DLR); China Meteorological Administration; Chinese Academy of Sciences; University of Chinese Academy of Sciences, CAS</t>
  </si>
  <si>
    <t>Li, XY (corresponding author), Chinese Acad Sci, State Key Lab Remote Sensing Sci, Inst Remote Sensing &amp; Digital Earth, Beijing 100101, Peoples R China.</t>
  </si>
  <si>
    <t>soonyenju@outlook.com; lixy01@radi.ac.cn; jian.xu@DLR.de; chength@radi.ac.cn; zxy@cma.gov.cn; wwhongmei@126.com; wangy-p@radi.ac.cn; miaojing16@mails.ucas.ac.cn</t>
  </si>
  <si>
    <t>Xu, Jian/AAP-5179-2021; fang, li/JNS-8415-2023; Cheng, Tianhai/H-1113-2013</t>
  </si>
  <si>
    <t>Xu, Jian/0000-0003-2348-125X; Cheng, Tianhai/0000-0001-7889-9579</t>
  </si>
  <si>
    <t>State Key Laboratory of Remote Sensing Science; State Key Laboratory of Digital Earth Science; National Natural Science Foundation of China [41571345]; Special Foundation for Free Exploration of State Laboratory of Remote Sensing Science [Y1Y00202KZ]; National Key Research and Development Program of China [2018YFB050490303]; Major Projects of High Resolution Earth Observation System [32-Y20A18-9001-15-17-1]; Canadian Space Agency (CSA)</t>
  </si>
  <si>
    <t>State Key Laboratory of Remote Sensing Science; State Key Laboratory of Digital Earth Science; National Natural Science Foundation of China(National Natural Science Foundation of China (NSFC)); Special Foundation for Free Exploration of State Laboratory of Remote Sensing Science; National Key Research and Development Program of China; Major Projects of High Resolution Earth Observation System; Canadian Space Agency (CSA)(Canadian Space Agency)</t>
  </si>
  <si>
    <t>This work was supported by the State Key Laboratories of Remote Sensing Science and Digital Earth Science, the General Program of National Natural Science Foundation of China (Grant No. 41571345), the Special Foundation for Free Exploration of State Laboratory of Remote Sensing Science (Grant No. Y1Y00202KZ), the National Key Research and Development Program of China (Grant No. 2018YFB050490303), and the Major Projects of High Resolution Earth Observation System (Grant No. 32-Y20A18-9001-15-17-1). The ACE-FTS data were provided by ACE-FTS team. ACE, also known as SCISAT, is a Canadian-led mission mainly supported by the Canadian Space Agency (CSA). The ARTS forward model is downloaded from the website http://www.radiativetransfer.org/.</t>
  </si>
  <si>
    <t>0273-1177</t>
  </si>
  <si>
    <t>1879-1948</t>
  </si>
  <si>
    <t>ADV SPACE RES</t>
  </si>
  <si>
    <t>Adv. Space Res.</t>
  </si>
  <si>
    <t>10.1016/j.asr.2019.01.041</t>
  </si>
  <si>
    <t>Engineering, Aerospace; Astronomy &amp; Astrophysics; Geosciences, Multidisciplinary; Meteorology &amp; Atmospheric Sciences</t>
  </si>
  <si>
    <t>Engineering; Astronomy &amp; Astrophysics; Geology; Meteorology &amp; Atmospheric Sciences</t>
  </si>
  <si>
    <t>HQ8QO</t>
  </si>
  <si>
    <t>WOS:000462690600001</t>
  </si>
  <si>
    <t>Kim, NK; Kusakabe, M; Park, C; Lee, JI; Nagao, K; Enokido, Y; Yamashita, S; Park, SY</t>
  </si>
  <si>
    <t>Kim, Nak Kyu; Kusakabe, Minoru; Park, Changkun; Lee, Jong Ik; Nagao, Keisuke; Enokido, Yuma; Yamashita, Shigeru; Park, Sun Young</t>
  </si>
  <si>
    <t>An automated laser fluorination technique for high-precision analysis of three oxygen isotopes in silicates</t>
  </si>
  <si>
    <t>RAPID COMMUNICATIONS IN MASS SPECTROMETRY</t>
  </si>
  <si>
    <t>EXCIMER-LASER; O-2 GAS; RATIOS; FRACTIONATION; MINERALS; STANDARD; GARNET; OXIDES; SYSTEM; MANTLE</t>
  </si>
  <si>
    <t>RationaleThe three oxygen isotopes in terrestrial/extraterrestrial silicates can provide geochemical and cosmochemical information about their origin and secondary processes that result from isotopic exchange. A laser fluorination technique has been widely used to extract oxygen from silicates for O-17 and O-18 measurements by isotope ratio mass spectrometry. Continued improvement of the techniques is still important for high-precision measurement of oxygen-isotopic ratios. MethodsWe adopted an automated lasing technique to obtain reproducible fluorination of silicates using a CO2 laser-BrF5 fluorination system connected online to an isotope ratio mass spectrometer. The automated lasing technique enables us to perform high-precision analysis of the three oxygen isotopes of typical reference materials (e.g., UWG2 garnet, NBS28 quartz and San Carlos olivine) and in-house references (mid-ocean ridge basalt glass and obsidian). The technique uses a built-in application of laser control with which the laser power can be varied in a programmed manner with a defocused beam which is in a fixed position. ResultsThe oxygen isotope ratios of some international reference materials analyzed by the manual lasing technique were found to be isotopically lighter with wider variations in O-18 values, whereas those measured by the automated lasing technique gave better reproducibility (less than 0.2, 2SD). The O-17 values, an excess of the O-17 value relative to the fractionation line, also showed high reproducibility (+/- 0.02 parts per thousand, 2SD). ConclusionsThe system described herein provides high-precision O-17 and O-18 measurements of silicate materials. The use of the automated lasing technique followed by careful and controlled purification procedures is preferred to achieve satisfactory isotopic ratio results.</t>
  </si>
  <si>
    <t>[Kim, Nak Kyu; Lee, Jong Ik] Korea Polar Res Inst, Unit Antarctic K Route Expedit, 26 Songdomirae Ro, Incheon 21990, South Korea; [Kusakabe, Minoru] Univ Toyama, Dept Environm Biol &amp; Chem, Toyama 9308555, Japan; [Park, Changkun; Nagao, Keisuke; Park, Sun Young] Korea Polar Res Inst, Div Earth Syst Sci, Incheon 21990, South Korea; [Enokido, Yuma] Tohoku Univ, Div Earth &amp; Planetary Mat Sci, Sendai, Miyagi 9808578, Japan; [Yamashita, Shigeru] Okayama Univ, Inst Planetary Mat, Misasa, Tottori 6820193, Japan</t>
  </si>
  <si>
    <t>Korea Polar Research Institute (KOPRI); University of Toyama; Korea Polar Research Institute (KOPRI); Tohoku University; Okayama University</t>
  </si>
  <si>
    <t>Kim, NK (corresponding author), Korea Polar Res Inst, Unit Antarctic K Route Expedit, 26 Songdomirae Ro, Incheon 21990, South Korea.</t>
  </si>
  <si>
    <t>kimnk@kopri.re.kr</t>
  </si>
  <si>
    <t>Park, Sun/GSD-9620-2022; Yamashita, Shigeru/AAM-1563-2020; Park, Changkun/E-7281-2019; Park, Sun/ABB-2937-2021</t>
  </si>
  <si>
    <t>Park, Changkun/0000-0002-1206-6803; Park, Sun/0000-0002-9283-2642; Kim, Nak Kyu/0000-0002-2882-068X</t>
  </si>
  <si>
    <t>Korea Polar Research Institute [PM18030 (20140409), PE18110]</t>
  </si>
  <si>
    <t>Korea Polar Research Institute(Korea Polar Research Institute of Marine Research Placement (KOPRI))</t>
  </si>
  <si>
    <t>Korea Polar Research Institute, Grant/Award Number: PM18030 (20140409) and PE18110</t>
  </si>
  <si>
    <t>0951-4198</t>
  </si>
  <si>
    <t>1097-0231</t>
  </si>
  <si>
    <t>RAPID COMMUN MASS SP</t>
  </si>
  <si>
    <t>Rapid Commun. Mass Spectrom.</t>
  </si>
  <si>
    <t>10.1002/rcm.8389</t>
  </si>
  <si>
    <t>Biochemical Research Methods; Chemistry, Analytical; Spectroscopy</t>
  </si>
  <si>
    <t>Biochemistry &amp; Molecular Biology; Chemistry; Spectroscopy</t>
  </si>
  <si>
    <t>HQ8IO</t>
  </si>
  <si>
    <t>WOS:000462668100003</t>
  </si>
  <si>
    <t>Colwyn, DA; Hren, MT</t>
  </si>
  <si>
    <t>Colwyn, David Auerbach; Hren, Michael T.</t>
  </si>
  <si>
    <t>An abrupt decrease in Southern Hemisphere terrestrial temperature during the Eocene-Oligocene transition</t>
  </si>
  <si>
    <t>Eocene-Oligocene transition; terrestrial paleoclimate; precipitation stable isotopes; paleotemperature; Patagonia</t>
  </si>
  <si>
    <t>ANTARCTIC GLACIATION; VOLCANIC GLASS; CENOZOIC GLACIATION; TROPICAL CLIMATE; WATER; OCEAN; PRECIPITATION; VARIABILITY; CIRCULATION; EVOLUTION</t>
  </si>
  <si>
    <t>Earth's climate transitioned from the greenhouse conditions of the Eocene to the icehouse of the Oligocene similar to 34 million years ago. Global cooling was triggered by a decrease in atmospheric pCO(2) and is associated with the first appearance of large, permanent ice-sheets on Antarctica. The Eocene-Oligocene transition (EOT) is marked by a large two-step increase in the delta O-18 of benthic foraminifera, reflecting a combination of cooler global temperatures and continental ice growth. We measured the hydrogen isotope composition of hydrated volcanic glasses deposited in Patagonia during the EOT to reconstruct stable isotope hydrology and associated changes in temperature during this critical climate transition. These data show changes in stable hydrogen isotope ratios that are consistent with Patagonian terrestrial mean annual temperature decreasing by similar to 5 degrees C during the EOT before returning to 2 degrees C below pre-EOT values by the Early Oligocene. This is approximately synchronous with Northern Hemisphere cooling during the EOT, and indicates close coupling of temperature and atmospheric pCO(2). (C) 2019 Elsevier B.V. All rights reserved.</t>
  </si>
  <si>
    <t>[Colwyn, David Auerbach] Yale Univ, Dept Geol &amp; Geophys, POB 208109, New Haven, CT 06520 USA; [Hren, Michael T.] Univ Connecticut, Ctr Integrat Geosci, Storrs, CT USA; [Hren, Michael T.] Univ Connecticut, Dept Chem, Storrs, CT USA; [Colwyn, David Auerbach] Univ Colorado, Dept Geol Sci, Boulder, CO 80309 USA</t>
  </si>
  <si>
    <t>Yale University; University of Connecticut; University of Connecticut; University of Colorado System; University of Colorado Boulder</t>
  </si>
  <si>
    <t>Colwyn, DA (corresponding author), Yale Univ, Dept Geol &amp; Geophys, POB 208109, New Haven, CT 06520 USA.;Colwyn, DA (corresponding author), Univ Colorado, Dept Geol Sci, Boulder, CO 80309 USA.</t>
  </si>
  <si>
    <t>david.colwyn@colorado.edu</t>
  </si>
  <si>
    <t>Colwyn, David/0000-0002-9675-3925; Hren, Michael/0000-0002-2866-8892</t>
  </si>
  <si>
    <t>NSF [EAR-1650313]; Geological Society of America; SEPM; AAPG; Yale Institute for Biospheric Studies; John F. Enders Fellowship</t>
  </si>
  <si>
    <t>NSF(National Science Foundation (NSF)); Geological Society of America; SEPM; AAPG; Yale Institute for Biospheric Studies; John F. Enders Fellowship</t>
  </si>
  <si>
    <t>D.A.C. and M.T.H. designed research, D.A.C. performed research, D.A.C. and M.T.H. analyzed data, and D.A.C. and M.T.H. wrote the paper. This work was improved by discussions with Mark Pagani, Regan Dunn, Michael Henehan, Caroline Stromberg, and Srinath Krishnan. The manuscript benefitted from constructive reviews by Ilya Bindeman, Elizabeth Cassel, and two anonymous reviewers. We thank Antonia Beatrice Gilabert for local access and Andrea Pinones for help with planning. We acknowledge help in the field from Chelsea Colwyn and in the lab from Astrid Pacini. Support for this work was provided by NSF EAR-1650313 to Hren and by grants to Colwyn from the Geological Society of America, SEPM, AAPG, Yale Institute for Biospheric Studies, and the John F. Enders Fellowship.</t>
  </si>
  <si>
    <t>10.1016/j.epsl.2019.01.052</t>
  </si>
  <si>
    <t>HQ0SW</t>
  </si>
  <si>
    <t>WOS:000462106300022</t>
  </si>
  <si>
    <t>Hilton, CD; Beimingham, KR; Walker, RJ; McCoy, TJ</t>
  </si>
  <si>
    <t>Hilton, Connor D.; Beimingham, Katherine R.; Walker, Richard J.; McCoy, Timothy J.</t>
  </si>
  <si>
    <t>Genetics, crystallization sequence, and age of the South Byron Trio iron meteorites: New insights to carbonaceous chondrite (CC) type parent bodies</t>
  </si>
  <si>
    <t>GEOCHIMICA ET COSMOCHIMICA ACTA</t>
  </si>
  <si>
    <t>Accretion age; Fractional crystallization; Nucleosynthesis; Hf-W chronometry; Iron meteorites; Pallasite</t>
  </si>
  <si>
    <t>MOLYBDENUM ISOTOPE ANOMALIES; CHEMICAL CLASSIFICATION; GE CONCENTRATIONS; NEUTRON-CAPTURE; CORE FORMATION; IIIAB IRONS; NEBULA; ORIGIN; OSMIUM; IIAB</t>
  </si>
  <si>
    <t>The nucleosynthetic Mo, Ru, and W isotopic compositions of the South Byron Trio iron meteorite grouplet (SBT) are consistent with all three meteorites originating on a single parent body that formed in the carbonaceous chondrite (CC) isotopic domain within the Solar nebula. Consistent with a common origin, the highly siderophile element (HSE) concentrations of the SBT can be related to one another by moderate degrees of fractional crystallization of a parental melt with initially chondritic relative abundances of HSE, and with initial S and P contents of similar to 7 and similar to 1 wt.%, respectively. Tungsten-182 isotopic data for the SBT indicate the parent body underwent metal-silicate differentiation 2.1 +/- 0.8 Myr after calcium aluminum rich inclusion formation, and thermal modeling suggests the parent body formed 1.1 +/- 0.5 Myr after CAI formation. This accretion age is not resolved from the accretion ages of other CC and most noncarbonaceous (NC) type iron meteorite parent bodies. Comparison of the projected parental melt composition of the SBT to those projected for the IVA and IVB iron meteorite groups suggests that at least some portions of the CC nebular domain were more oxidized compared to the NC domain. In addition, comparison of the SBT parental melt S content to estimates for parent bodies of the IIAB, IIIAB, IVA, IID, and IVB magmatic iron meteorite groups suggests that CC type iron meteorite parental melts were characterized by a general depletion in S, in addition to depletions in some other moderately volatile elements. Based on chemical and O isotope similarities, prior studies have suggested the possibility of a common parent body for the SBT and the Milton pallasite. Molybdenum and Ru isotopic compositions of Milton also provide permissive evidence for this. The HSE concentrations in the Milton metal, however, cannot be related to the SBT by any known crystal-liquid fractionation or mixing path. Thus, Milton more likely formed on a different, chemically distinct, but genetically identical parent body present in the CC nebular domain. (C) 2019 Elsevier Ltd. All rights reserved.</t>
  </si>
  <si>
    <t>[Hilton, Connor D.; Beimingham, Katherine R.; Walker, Richard J.] Univ Maryland, Dept Geol, College Pk, MD 20742 USA; [McCoy, Timothy J.] Natl Museum Nat Hist, Smithsonian Inst, Dept Mineral Sci, Washington, DC 20560 USA</t>
  </si>
  <si>
    <t>University System of Maryland; University of Maryland College Park; Smithsonian Institution; Smithsonian National Museum of Natural History</t>
  </si>
  <si>
    <t>Hilton, CD (corresponding author), Univ Maryland, Dept Geol, College Pk, MD 20742 USA.</t>
  </si>
  <si>
    <t>chilton@umd.edu</t>
  </si>
  <si>
    <t>Walker, Richard/K-6869-2016</t>
  </si>
  <si>
    <t>Walker, Richard/0000-0003-0348-2407; McCoy, Timothy/0000-0002-4573-3553</t>
  </si>
  <si>
    <t>NASA Emerging Worlds grant [NNX16AN07G]; NASA [NNX16AN07G, 899361] Funding Source: Federal RePORTER</t>
  </si>
  <si>
    <t>NASA Emerging Worlds grant; NASA(National Aeronautics &amp; Space Administration (NASA))</t>
  </si>
  <si>
    <t>We gratefully acknowledge the Smithsonian Institution, Arizona State University, and the US Antarctic Meteorite Program, which is a cooperative venture of the Smithsonian, NASA and the National Science Foundation, for providing access to the samples for this study. We also thank Frederic Moynier, Thomas Kruijer, and two anonymous reviewers for helpful comments that improved the manuscript. This study was supported by NASA Emerging Worlds grant NNX16AN07G (to RJW).</t>
  </si>
  <si>
    <t>0016-7037</t>
  </si>
  <si>
    <t>1872-9533</t>
  </si>
  <si>
    <t>GEOCHIM COSMOCHIM AC</t>
  </si>
  <si>
    <t>Geochim. Cosmochim. Acta</t>
  </si>
  <si>
    <t>10.1016/j.gca.2019.02.035</t>
  </si>
  <si>
    <t>HP5YE</t>
  </si>
  <si>
    <t>WOS:000461758700012</t>
  </si>
  <si>
    <t>Eriksen, RS; Davies, CH; Bonham, P; Coman, FE; Edgar, S; McEnnulty, FR; McLeod, D; Miller, MJ; Rochester, W; Slotwinski, A; Tonks, ML; Uribe-Palomino, J; Richardson, AJ</t>
  </si>
  <si>
    <t>Eriksen, Ruth S.; Davies, Claire H.; Bonham, Pru; Coman, Frank E.; Edgar, Steven; McEnnulty, Felicity R.; McLeod, David; Miller, Margaret J.; Rochester, Wayne; Slotwinski, Anita; Tonks, Mark L.; Uribe-Palomino, Julian; Richardson, Anthony J.</t>
  </si>
  <si>
    <t>Australia's Long-Term Plankton Observations: The Integrated Marine Observing System National Reference Station Network</t>
  </si>
  <si>
    <t>phytoplankton; zooplankton; NRS; IMOS; monitoring; spatial; temporal; species</t>
  </si>
  <si>
    <t>COASTAL STATION; CLIMATE-CHANGE; ZOOPLANKTON; ECOSYSTEMS; INDICATORS</t>
  </si>
  <si>
    <t>The Integrated Marine Observing System National Reference Station network provides unprecedented open access to species-level phytoplankton and zooplankton data for researchers, managers and policy makers interested in resource condition, and detecting and understanding the magnitude and time-scales of change in our marine environment. We describe how to access spatial and temporal plankton data collected from the seven reference stations located around the Australian coastline, and a summary of the associated physical and chemical parameters measured that help in the interpretation of plankton data. Details on the rationale for site locations, sampling methodologies and laboratory analysis protocols are provided to assist with use of the data, and design of complimentary investigations. Information on taxonomic entities reported in the plankton database, and changes in taxonomic nomenclature and other issues that may affect data interpretation, are included. Data from more than 1250 plankton samples are freely available via the Australian Ocean Data Network portal and we encourage uptake and use of this continental-scale dataset, giving summaries of data currently available and some practical applications. The full methods manual that includes sampling and analysis protocols for the Integrated Marine Observing System Biogeochemical Operations can be found on-line.</t>
  </si>
  <si>
    <t>[Eriksen, Ruth S.; Davies, Claire H.; Bonham, Pru; McEnnulty, Felicity R.; McLeod, David] CSIRO Oceans &amp; Atmosphere, Hobart, Tas, Australia; [Eriksen, Ruth S.] Univ Tasmania, Inst Marine &amp; Antarctic Studies, Hobart, Tas, Australia; [Coman, Frank E.; Edgar, Steven; Miller, Margaret J.; Rochester, Wayne; Slotwinski, Anita; Tonks, Mark L.; Uribe-Palomino, Julian; Richardson, Anthony J.] CSIRO Oceans &amp; Atmosphere, Brisbane, Qld, Australia; [Richardson, Anthony J.] Univ Queensland, Ctr Applicat Nat Resource Math CARM, St Lucia, Qld, Australia</t>
  </si>
  <si>
    <t>Commonwealth Scientific &amp; Industrial Research Organisation (CSIRO); University of Tasmania; Commonwealth Scientific &amp; Industrial Research Organisation (CSIRO); University of Queensland</t>
  </si>
  <si>
    <t>Eriksen, RS (corresponding author), CSIRO Oceans &amp; Atmosphere, Hobart, Tas, Australia.;Eriksen, RS (corresponding author), Univ Tasmania, Inst Marine &amp; Antarctic Studies, Hobart, Tas, Australia.</t>
  </si>
  <si>
    <t>ruth.eriksen@csiro.au</t>
  </si>
  <si>
    <t>davies, claire/O-9219-2019; Davies, Claire H/G-6888-2013; Miller, Margaret J/D-2201-2011; Richardson, Anthony J/B-3649-2010; Eriksen, Ruth/J-7760-2014; Rochester, Wayne/K-1569-2018</t>
  </si>
  <si>
    <t>Davies, Claire H/0000-0002-0424-1835; Miller, Margaret J/0000-0001-7798-7868; Richardson, Anthony J/0000-0002-9289-7366; Coman, Frank/0000-0001-6743-5154; McEnnulty, Felicity/0000-0002-3819-044X; Edgar, Steven/0000-0002-0277-7265; Eriksen, Ruth/0000-0002-5184-2465; Uribe-Palomino, Julian/0000-0002-6867-2108; Rochester, Wayne/0000-0002-7315-9341</t>
  </si>
  <si>
    <t>Australian Government</t>
  </si>
  <si>
    <t>Australian Government(Australian Government)</t>
  </si>
  <si>
    <t>The National Reference Stations are part of the Integrated Marine Observing System (IMOS) - IMOS is a National Collaborative Research Infrastructure, supported by the Australian Government.</t>
  </si>
  <si>
    <t>APR 12</t>
  </si>
  <si>
    <t>10.3389/fmars.2019.00161</t>
  </si>
  <si>
    <t>HU7EV</t>
  </si>
  <si>
    <t>WOS:000465444800001</t>
  </si>
  <si>
    <t>Trotter, JA; Pattiaratchi, C; Montagna, P; Taviani, M; Falter, J; Thresher, R; Hosie, A; Haig, D; Foglini, F; Hua, Q; McCulloch, MT</t>
  </si>
  <si>
    <t>Trotter, Julie A.; Pattiaratchi, Charitha; Montagna, Paolo; Taviani, Marco; Falter, James; Thresher, Ron; Hosie, Andrew; Haig, David; Foglini, Federica; Hua, Quan; McCulloch, Malcolm T.</t>
  </si>
  <si>
    <t>First ROV Exploration of the Perth Canyon: Canyon Setting, Faunal Observations, and Anthropogenic Impacts</t>
  </si>
  <si>
    <t>Perth Canyon; deep-sea coral; oceanography; south-west Australia; remotely operated vehicle</t>
  </si>
  <si>
    <t>OCEAN ACIDIFICATION; SUBMARINE CANYONS; SURFACE OCEANS; NE ATLANTIC; CORAL; DEEP; C-13; HYDRODYNAMICS; RADIOCARBON; PRODUCTIVITY</t>
  </si>
  <si>
    <t>This study represents the first ROV-based exploration of the Perth Canyon, a prominent submarine valley system in the southeast Indian Ocean offshore Fremantle (Perth), Western Australia. This multi-disciplinary study characterizes the canyon topography, hydrography, anthropogenic impacts, and provides a general overview of the fauna and habitats encountered during the cruise. ROV surveys and sample collections, with a specific focus on deep-sea corals, were conducted at six sites extending from the head to the mouth of the canyon. Multi-beam maps of the canyon topography show near vertical cliff walls, scarps, and broad terraces. Biostratigraphic analyses of the canyon lithologies indicate Late Paleocene to Late Oligocene depositional ages within upper bathyal depths (200-700 m). The video footage has revealed a quiescent 'fossil canyon' system with sporadic, localized concentrations of mega- and macrobenthos (similar to 680-1,800 m), which include corals, sponges, molluscs, echinoderms, crustaceans, brachiopods, and worms, as well as plankton and nekton (fish species). Solitary (Desmophyllum dianthus, Caryophyllia sp., Vaughanella sp., and Polymyces sp.) and colonial (Solenosmilia variabilis) scleractinians were sporadically distributed along the walls and under overhangs within the canyon valleys and along its rim. Gorgonian, bamboo, and proteinaceous corals were present, with live Corallium often hosting a diverse community of organisms. Extensive coral graveyards, discovered at two disparate sites between similar to 690-720 m and 1,560-1,790 m, comprise colonial (S. variabilis) and solitary (D. dianthus) scleractinians that flourished during the last ice age (similar to 18 ka to 33 ka BP). ROV sampling (674-1,815 m) spanned intermediate (Antarctic Intermediate Water) and deep waters (Upper Circumpolar Deep Water) with temperatures from similar to 2.5 to 6 degrees C. Seawater CTD profiles of these waters show consistent physical and chemical conditions at equivalent depths between dive sites. Their carbonate chemistry indicate supersaturation (Omega(calcite) similar to 1.3-2.2) with respect to calcite, but mild saturation to undersaturation (Omega(aragonite) similar to 0.8-1.4) of aragonite; notably some scleractinians were found living below the aragonite saturation horizon (similar to 1,000 m). Seawater delta C-13 and nuclear bomb produced Delta C-14 compositions decrease in the upper canyon waters by up to similar to 0.8 parts per thousand (&lt;800 m) and 95 parts per thousand (&lt;500 m), respectively, relative to measurements taken nearby in 1978, reflecting the ingress of anthropogenic carbon into upper intermediate waters.</t>
  </si>
  <si>
    <t>[Trotter, Julie A.] Univ Western Australia, Sch Earth Sci, Perth, WA, Australia; [Trotter, Julie A.; Pattiaratchi, Charitha; Falter, James; Haig, David; McCulloch, Malcolm T.] Univ Western Australia, UWA Oceans Inst, Perth, WA, Australia; [Pattiaratchi, Charitha; Falter, James; Haig, David; McCulloch, Malcolm T.] Univ Western Australia, Oceans Grad Sch, Perth, WA, Australia; [Montagna, Paolo; Taviani, Marco; Foglini, Federica] CNR, Ist Sci Marine, Venice, Italy; [Montagna, Paolo] Lab Sci Cilmat &amp; Environm, Gif Sur Yvette, France; [Taviani, Marco] Staz Zool Anton Dohm, Naples, Italy; [Taviani, Marco] Woods Hole Oceanog Inst, Biol Dept, Woods Hole, MA 02543 USA; [Thresher, Ron] Commonwealth Sci &amp; Ind Res Org, Marine &amp; Atmospher Res, Hobart, Tas, Australia; [Hosie, Andrew] Western Australian Museum, Welshpool, WA, Australia; [Hua, Quan] Australian Nucl Sci &amp; Technol Org, Kirrawee, NSW, Australia; [McCulloch, Malcolm T.] Univ Western Australia, ARC Ctr Excellence Coral Reef Studies, Perth, WA, Australia</t>
  </si>
  <si>
    <t>University of Western Australia; University of Western Australia; University of Western Australia; Consiglio Nazionale delle Ricerche (CNR); Istituto di Scienze Marine (ISMAR-CNR); Stazione Zoologica Anton Dohrn di Napoli; Woods Hole Oceanographic Institution; Commonwealth Scientific &amp; Industrial Research Organisation (CSIRO); Western Australian Museum; Australian Nuclear Science &amp; Technology Organisation; University of Western Australia</t>
  </si>
  <si>
    <t>Trotter, JA (corresponding author), Univ Western Australia, Sch Earth Sci, Perth, WA, Australia.;Trotter, JA (corresponding author), Univ Western Australia, UWA Oceans Inst, Perth, WA, Australia.</t>
  </si>
  <si>
    <t>julie.trotter@uwa.edu.au</t>
  </si>
  <si>
    <t>Hua, Quan/F-9593-2014; Hosie, Andrew/X-3041-2019; Taviani, Marco/AAF-2168-2020; Montagna, Paolo/H-9632-2015; Pattiaratchi, Charitha/E-6916-2011; McCulloch, Malcolm Thomas/C-3651-2009; Trotter, Julie/H-5981-2014</t>
  </si>
  <si>
    <t>Hosie, Andrew/0000-0002-5683-662X; Taviani, Marco/0000-0003-0414-4274; Montagna, Paolo/0000-0001-5598-2214; Pattiaratchi, Charitha/0000-0003-2229-6183; McCulloch, Malcolm Thomas/0000-0003-1538-1558; Trotter, Julie/0000-0002-0505-488X; Foglini, Federica/0000-0002-2736-0052</t>
  </si>
  <si>
    <t>Australian Research Council [FL120100049, FT160100259]; Italian National Programme of Antarctic Research [PNRA16-00069]; Australian Institute of Nuclear Science and Engineering [16/009]; Australian Government; Australian Research Council [FL120100049, FT160100259] Funding Source: Australian Research Council</t>
  </si>
  <si>
    <t>Australian Research Council(Australian Research Council); Italian National Programme of Antarctic Research; Australian Institute of Nuclear Science and Engineering; Australian Government(Australian Government); Australian Research Council(Australian Research Council)</t>
  </si>
  <si>
    <t>This work was supported by research funding from the Australian Research Council to MM (FL120100049) and JT (FT160100259), the Italian National Programme of Antarctic Research (PNRA16-00069 Graceful Project) to PM and MT, the Australian Institute of Nuclear Science and Engineering to MM, JT, JF, RT, MT, PM (AINSE Award 16/009). Supplementary oceanographic data are funded through Integrated Marine Observing System (IMOS) supported by the Australian Government.</t>
  </si>
  <si>
    <t>10.3389/fmars.2019.00173</t>
  </si>
  <si>
    <t>HU7EW</t>
  </si>
  <si>
    <t>WOS:000465444900001</t>
  </si>
  <si>
    <t>Desvignes, T; Le François, NR; Goetz, LC; Smith, SS; Shusdock, KA; Parker, SK; Postlethwait, JH; Detrich, HW</t>
  </si>
  <si>
    <t>Desvignes, Thomas; Le Francois, Nathalie R.; Goetz, Laura C.; Smith, Sierra S.; Shusdock, Kathleen A.; Parker, Sandra K.; Postlethwait, John H.; Detrich, H. William, III</t>
  </si>
  <si>
    <t>Intergeneric hybrids inform reproductive isolating barriers in the Antarctic icefish radiation</t>
  </si>
  <si>
    <t>POPULATION GENETIC-STRUCTURE; CHAENOCEPHALUS-ACERATUS; BULLHEAD NOTOTHEN; UNIQUE FAMILY; LIFE-HISTORY; HYBRIDIZATION; FISHES; EVOLUTION; REINFORCEMENT; FLOW</t>
  </si>
  <si>
    <t>Interspecific hybridization or barriers to hybridization may have contributed to the diversification of Antarctic icefishes (Channichthyidae), but data supporting these hypotheses is scarce. To understand the potential for hybridization and to investigate reproductive isolating mechanisms among icefish species, we performed in vitro fertilization experiments using eggs from a female blackfin icefish Chaenocephalus aceratus and sperm from a male of another genera, the ocellated icefish Chionodraco rastrospinosus. Sequencing of genomic and mitochondrial DNA confirmed the intergeneric hybrid nature of resulting embryos which successfully developed and hatched as active larvae at about four and a half months during the Antarctic winter. This result demonstrates the compatibility of gametes of these two species and the viability of resulting zygotes and larvae. Due to logistic constraints and the slow developmental rate of icefishes, we could not test for long-term hybrid viability, fertility, fitness, or hybrid breakdown. Analysis of our fishing records and available literature, however, suggests that the strongest barriers to hybridization among parapatric icefish species are likely to be behavioral and characterized by assortative mating and species-specific courtship and nesting behaviors. This conclusion suggests that, in long-lived fish species with late sexual maturity and high energetic investment in reproduction like icefishes, pre-mating barriers are energetically more efficient than post-mating barriers to prevent hybridization.</t>
  </si>
  <si>
    <t>[Desvignes, Thomas; Postlethwait, John H.] Univ Oregon, Inst Neurosci, Eugene, OR 97403 USA; [Le Francois, Nathalie R.] Biodome Montreal Espace Vie, Div Collect Vivantes &amp; Rech, 4777 Ave Pierre De Coubertin, Montreal, PQ H1V 1B3, Canada; [Goetz, Laura C.; Smith, Sierra S.; Shusdock, Kathleen A.; Parker, Sandra K.; Detrich, H. William, III] Northeastern Univ, Ctr Marine Sci, Dept Marine &amp; Environm Sci, Nahant, MA 01908 USA</t>
  </si>
  <si>
    <t>University of Oregon; Northeastern University</t>
  </si>
  <si>
    <t>Desvignes, T (corresponding author), Univ Oregon, Inst Neurosci, Eugene, OR 97403 USA.;Le François, NR (corresponding author), Biodome Montreal Espace Vie, Div Collect Vivantes &amp; Rech, 4777 Ave Pierre De Coubertin, Montreal, PQ H1V 1B3, Canada.;Detrich, HW (corresponding author), Northeastern Univ, Ctr Marine Sci, Dept Marine &amp; Environm Sci, Nahant, MA 01908 USA.</t>
  </si>
  <si>
    <t>desvignes@uoneuro.uoregon.edu; nle_francois@ville.montreal.qc.ca; w.detrich@northeastern.edu</t>
  </si>
  <si>
    <t>Le François, Nathalie/U-4515-2019; Thomas, Desvignes/AAX-3526-2020</t>
  </si>
  <si>
    <t>Thomas, Desvignes/0000-0001-5126-8785; Le Francois, Nathalie R./0000-0002-9748-8182; Goetz, Laura/0000-0001-7071-9924</t>
  </si>
  <si>
    <t>NSF [PLR-1444167, PLR-1543383]</t>
  </si>
  <si>
    <t>NSF(National Science Foundation (NSF))</t>
  </si>
  <si>
    <t>The authors thank the captain and crew of the ARSV Laurence M. Gould and the personnel of the US Antarctic Program Support Contractors for assistance in Chile, at sea, at Palmer Station, and logistically in Denver, CO. Authors also thank two anonymous reviewers whose comments helped to improve the manuscript. This is publication number 390 from Northeastern University Marine Science Center. This work was funded by NSF grants PLR-1444167 (H.W.D.) and PLR-1543383 (J.H.P, T.D, and H.W.D).</t>
  </si>
  <si>
    <t>10.1038/s41598-019-42354-z</t>
  </si>
  <si>
    <t>HT1RT</t>
  </si>
  <si>
    <t>WOS:000464342700014</t>
  </si>
  <si>
    <t>Rahaman, W; Chatterjee, S; Ejaz, T; Thamban, M</t>
  </si>
  <si>
    <t>Rahaman, Waliur; Chatterjee, Sourav; Ejaz, Tariq; Thamban, Meloth</t>
  </si>
  <si>
    <t>Increased influence of ENSO on Antarctic temperature since the Industrial Era</t>
  </si>
  <si>
    <t>PACIFIC DECADAL OSCILLATION; NINO-SOUTHERN OSCILLATION; ATMOSPHERIC TELECONNECTIONS; ANNULAR MODE; ICE CORES; CLIMATE; MILLENNIUM; FREQUENCY; IMPACT; RECORD</t>
  </si>
  <si>
    <t>Under the influence of recent global warming, modulation of frequencies and amplitude of El Nino-Southern Oscillation (ENSO) and its impacts on global climate have become great concerns to the global community. Antarctic climate is sensitive to these changes owing to tropical and Southern Hemispheric (SH) teleconnections. Antarctic surface air temperature (SAT) reconstructed approximately for the past five centuries (similar to 1533 to 1993 CE) based on multiple oxygen isotope (delta O-18) records of ice cores from East and West Antarctica show dominant oscillations in ENSO and Pacific Decadal Oscillation (PDO) frequency bands. Further, variance of the East Antarctica (EA) temperature record shows significant increasing trend at ENSO band and decreasing trend at PDO band since the industrial era (similar to 1850 CE). This observation is consistent with the earlier report of increasing ENSO activity, reconstructed based on tropical-subtropical tree ring records. ENSO influence in the SH high-latitude is known to be characterized by Pacific South American (PSA) pattern reflected in the atmospheric pressure fields. Our investigation of greenhouse gas (GHG) forced model simulation results show an increasing trend in PSA activity since the industrial era. Thus, we suggest ENSO activity and its influence on Antarctic temperature are increasing in response to increasing radiative GHG forcing since the industrial era.</t>
  </si>
  <si>
    <t>[Rahaman, Waliur; Chatterjee, Sourav; Ejaz, Tariq; Thamban, Meloth] Natl Ctr Polar &amp; Ocean Res, ESSO, Vasco Da Gama, Goa, India</t>
  </si>
  <si>
    <t>Ministry of Earth Sciences (MoES) - India; National Centre for Polar and Ocean Research (NCPOR); Earth System Science Organization (ESSO)</t>
  </si>
  <si>
    <t>Rahaman, W (corresponding author), Natl Ctr Polar &amp; Ocean Res, ESSO, Vasco Da Gama, Goa, India.</t>
  </si>
  <si>
    <t>waliur@ncaor.gov.in</t>
  </si>
  <si>
    <t>Chatterjee, Sourav/GLR-0397-2022; Rahaman, Waliur/V-7742-2019</t>
  </si>
  <si>
    <t>Chatterjee, Sourav/0000-0003-4003-4371; ejaz, Tariq/0000-0003-3926-5447; Rahaman, Waliur/0000-0001-6439-4529; Thamban, Meloth/0000-0003-3379-8189</t>
  </si>
  <si>
    <t>MoES; NCAOR</t>
  </si>
  <si>
    <t>We acknowledge MoES &amp; NCAOR for financial support, PAGES 2k for ice core data, C Torrence, GP Compo, A Grinsted, JC Moore, and S Jevrejeva, for Wavelet software, Norwegian Polar Institute for Quantarctica software package and Climate Reanalyzer (TM) software (https://ClimateReanalyzer.org), Climate Change Institute, University of Maine, USA. Authors thank Nuncio Murukesh and John Turner for his useful comments. We thank two anonymous reviewers for their useful comments and suggestions. NCPOR Contribution number is 89/2018.</t>
  </si>
  <si>
    <t>10.1038/s41598-019-42499-x</t>
  </si>
  <si>
    <t>WOS:000464342700031</t>
  </si>
  <si>
    <t>Champollion, N; Picard, G; Arnaud, L; Lefebvre, É; Macelloni, G; Rémy, F; Fily, M</t>
  </si>
  <si>
    <t>Champollion, Nicolas; Picard, Ghislain; Arnaud, Laurent; Lefebvre, Eric; Macelloni, Giovanni; Remy, Frederique; Fily, Michel</t>
  </si>
  <si>
    <t>Marked decrease in the near-surface snow density retrieved by AMSR-E satellite at Dome C, Antarctica, between 2002 and 2011</t>
  </si>
  <si>
    <t>MICROWAVE BRIGHTNESS TEMPERATURE; RADIATIVE-TRANSFER THEORY; QUASI-CRYSTALLINE APPROXIMATION; MODELING TIME-SERIES; MASS-BALANCE; ICE-SHEET; TEMPORAL VARIABILITY; ROUGH SURFACES; DRY-SNOW; AREA</t>
  </si>
  <si>
    <t>Surface snow density is an important variable for the surface mass balance and energy budget. It evolves according to meteorological conditions, in particular, snowfall, wind, and temperature, but the physical processes governing atmospheric influence on snow are not fully understood. A reason is that no systematic observation is available on a continental scale. Here, we use the passive microwave observations from AMSR-E satellite to retrieve the surface snow density at Dome C on the East Antarctic Plateau. The retrieval method is based on the difference of surface reflections between horizontally and vertically polarized brightness temperatures at 37 GHz, highlighted by the computation of the polarization ratio, which is related to surface snow density. The relationship has been obtained with a microwave emission radiative transfer model (DMRT-ML). The retrieved density, approximately representative of the topmost 3 cm of the snowpack, compares well with in situ measurements. The difference between mean in situ measurements and mean retrieved density is 26.2 kg m(-3), which is within typical in situ measurement uncertainties. We apply the retrieval method to derive the time series over the period 2002-2011. The results show a marked and persistent pluri-annual decrease of about 10 kg m(-3) yr(-1), in addition to atmosphere-related seasonal, weekly, and daily density variations. This trend is confirmed by independent active microwave observations from the ENVISAT and QuikSCAT satellites, though the link to the density is more difficult to establish. However, no related pluri-annual change in meteorological conditions has been found to explain such a trend in snow density. Further work will concern the extension of the method to the continental scale.</t>
  </si>
  <si>
    <t>[Champollion, Nicolas; Picard, Ghislain; Arnaud, Laurent; Lefebvre, Eric; Fily, Michel] CNRS, Inst Geosci Environm, IRD, UGA,Grenoble INP,IRD,UMR 5001, CS 40700, F-38058 Grenoble 9, France; [Macelloni, Giovanni] CNR, IFAC, Inst Appl Phys, Via Madonna Piano 10, I-50019 Fiorentino, Italy; [Remy, Frederique] CNRS, UPS, Lab Etud Geophys &amp; Oceanog Spatiales, UMR 5566, 18 Av Edouard Belin, F-31401 Toulouse 9, France; [Champollion, Nicolas] Univ Bremen, Climate Lab, Celsiusstr 2 FVG M2040, D-28359 Bremen, Germany</t>
  </si>
  <si>
    <t>Communaute Universite Grenoble Alpes; Institut National Polytechnique de Grenoble; Universite Grenoble Alpes (UGA); Centre National de la Recherche Scientifique (CNRS); Institut de Recherche pour le Developpement (IRD); Consiglio Nazionale delle Ricerche (CNR); Istituto di Fisica Applicata Nello Carrara (IFAC-CNR); Istituto di Fisiologia Clinica (IFC-CNR); Universite de Toulouse; Universite Toulouse III - Paul Sabatier; Centre National de la Recherche Scientifique (CNRS); Institut de Recherche pour le Developpement (IRD); Laboratoire d'Etudes en Geophysique et oceanographie spatiales; University of Bremen</t>
  </si>
  <si>
    <t>Champollion, N (corresponding author), CNRS, Inst Geosci Environm, IRD, UGA,Grenoble INP,IRD,UMR 5001, CS 40700, F-38058 Grenoble 9, France.;Champollion, N (corresponding author), Univ Bremen, Climate Lab, Celsiusstr 2 FVG M2040, D-28359 Bremen, Germany.</t>
  </si>
  <si>
    <t>nicolas.champollion@uni-bremen.de</t>
  </si>
  <si>
    <t>Macelloni, Giovanni/B-7518-2015; Picard, Ghislain/D-4246-2013; Champollion, Nicolas/B-7921-2014</t>
  </si>
  <si>
    <t>Picard, Ghislain/0000-0003-1475-5853; arnaud, laurent/0000-0002-4432-4205; Champollion, Nicolas/0000-0001-7988-4694; MACELLONI, GIOVANNI/0000-0002-9738-7939</t>
  </si>
  <si>
    <t>European Space Agency (ESA) ENVISAT-RA-2 programme; NASA; Programme National de Teledetection Spatiale (PNTS); IPEV programme (IPEV-CALVA); IPEV programme (IPEV-GLACIOLOGIE); project MAPME (Monitoring of Antarctic Plateau by means of Multi-Frequency Microwave Emission) - PNRA</t>
  </si>
  <si>
    <t>European Space Agency (ESA) ENVISAT-RA-2 programme; NASA(National Aeronautics &amp; Space Administration (NASA)); Programme National de Teledetection Spatiale (PNTS); IPEV programme (IPEV-CALVA); IPEV programme (IPEV-GLACIOLOGIE); project MAPME (Monitoring of Antarctic Plateau by means of Multi-Frequency Microwave Emission) - PNRA</t>
  </si>
  <si>
    <t>AMSR-E, RA-2 and QuikSCAT data were, respectively, obtained from the National Snow and Ice Data Center (NSIDC) at the University of Colorado, the Centre for Topographic studies of the Ocean and Hydrosphere (CTOH) supported by the European Space Agency (ESA) ENVISAT-RA-2 programme, and from the NASA-sponsored scatterometer climate record pathfinder (SCP) at Brigham Young University. We are very grateful to Ilhan Bourgeois, Sylvain Lafont, and Sebastien Aubin for making snow density measurements at Dome C during the polar winter. Field measurements around Concordia Station were made possible by the joint French-Italian Concordia Program, which established and currently runs the permanent Concordia station at Dome C. We warmly thank the French polar institute (Institut Paul Emile Victor, IPEV) and the Italian polar programme (Programma Nazionale di Ricerca in Antartide, PNRA). Finally, this work was supported by the Programme National de Teledetection Spatiale (PNTS), the IPEV programmes (IPEV-CALVA and IPEV-GLACIOLOGIE) and the project MAPME (Monitoring of Antarctic Plateau by means of Multi-Frequency Microwave Emission) funded by PNRA. We are grateful to the two reviewers and the editor, whose comments and discussion improved and clarified the manuscript.</t>
  </si>
  <si>
    <t>10.5194/tc-13-1215-2019</t>
  </si>
  <si>
    <t>HT1ZJ</t>
  </si>
  <si>
    <t>WOS:000464362700002</t>
  </si>
  <si>
    <t>Clements, CF; McCarthy, MA; Blanchard, JL</t>
  </si>
  <si>
    <t>Clements, Christopher F.; McCarthy, Michael A.; Blanchard, Julia L.</t>
  </si>
  <si>
    <t>Early warning signals of recovery in complex systems</t>
  </si>
  <si>
    <t>NATURE COMMUNICATIONS</t>
  </si>
  <si>
    <t>SLOWING-DOWN; SIZE; INDICATORS; EXTINCTION; DYNAMICS; SHIFTS; STATES</t>
  </si>
  <si>
    <t>Early warning signals (EWSs) offer the hope that patterns observed in data can predict the future states of ecological systems. While a large body of research identifies such signals prior to the collapse of populations, the prediction that such signals should also be present before a system's recovery has thus far been overlooked. We assess whether EWSs are present prior to the recovery of overexploited marine systems using a trait-based ecological model and analysis of real-world fisheries data. We show that both abundance and trait-based signals are independently detectable prior to the recovery of stocks, but that combining these two signals provides the best predictions of recovery. This work suggests that the efficacy of conservation interventions aimed at restoring systems which have collapsed may be predicted prior to the recovery of the system, with direct relevance for conservation planning and policy.</t>
  </si>
  <si>
    <t>[Clements, Christopher F.] Univ Bristol, Sch Biol Sci, Bristol BS8 1TQ, Avon, England; [McCarthy, Michael A.] Univ Melbourne, Sch Biosci, Melbourne, Vic 3010, Australia; [Blanchard, Julia L.] Univ Tasmania, Inst Marine &amp; Antarctic Studies, Hobart, Tas 7001, Australia; [Blanchard, Julia L.] Univ Tasmania, Ctr Marine Socioecol, Hobart, Tas 7001, Australia</t>
  </si>
  <si>
    <t>University of Bristol; University of Melbourne; Melbourne Genomics Health Alliance; University of Tasmania; University of Tasmania</t>
  </si>
  <si>
    <t>Clements, CF (corresponding author), Univ Bristol, Sch Biol Sci, Bristol BS8 1TQ, Avon, England.</t>
  </si>
  <si>
    <t>chrisclementsresearch@gmail.com</t>
  </si>
  <si>
    <t>Blanchard, Julia L/E-4919-2010; McCarthy, Michael/O-5655-2014</t>
  </si>
  <si>
    <t>McCarthy, Michael/0000-0003-1039-7980; Clements, Christopher/0000-0001-5677-5401; Blanchard, Julia/0000-0003-0532-4824</t>
  </si>
  <si>
    <t>Australian Research Council [DP170104240]</t>
  </si>
  <si>
    <t>Australian Research Council(Australian Research Council)</t>
  </si>
  <si>
    <t>J.L.B. acknowledges support from the Australian Research Council Discovery Project DP170104240.</t>
  </si>
  <si>
    <t>2041-1723</t>
  </si>
  <si>
    <t>NAT COMMUN</t>
  </si>
  <si>
    <t>Nat. Commun.</t>
  </si>
  <si>
    <t>APR 11</t>
  </si>
  <si>
    <t>10.1038/s41467-019-09684-y</t>
  </si>
  <si>
    <t>HS8BI</t>
  </si>
  <si>
    <t>WOS:000464093800012</t>
  </si>
  <si>
    <t>Rubino, M; Etheridge, DM; Thornton, DP; Howden, R; Allison, CE; Francey, RJ; Langenfelds, RL; Steele, LP; Trudinger, CM; Spencer, DA; Curran, MAJ; van Ommen, TD; Smith, AM</t>
  </si>
  <si>
    <t>Rubino, Mauro; Etheridge, David M.; Thornton, David P.; Howden, Russell; Allison, Colin E.; Francey, Roger J.; Langenfelds, Ray L.; Steele, L. Paul; Trudinger, Cathy M.; Spencer, Darren A.; Curran, Mark A. J.; van Ommen, Tas D.; Smith, Andrew M.</t>
  </si>
  <si>
    <t>Revised records of atmospheric trace gases CO2, CH4, N2O, and δ13C-CO2 over the last 2000 years from Law Dome, Antarctica</t>
  </si>
  <si>
    <t>EARTH SYSTEM SCIENCE DATA</t>
  </si>
  <si>
    <t>LONG-TERM VARIABILITY; GLOBAL CARBON-CYCLE; GREENLAND ICE CORE; NITROUS-OXIDE; TEMPERATURE VARIABILITY; ISOTOPIC CONSTRAINTS; CLIMATE VARIABILITY; ACCUMULATION RATE; EAST ANTARCTICA; METHANE SOURCES</t>
  </si>
  <si>
    <t>Ice core records of the major atmospheric greenhouse gases (CO2, CH4, N2O) and their isotopologues covering recent centuries provide evidence of biogeochemical variations during the Late Holocene and pre-industrial periods and over the transition to the industrial period. These records come from a number of ice core and firn air sites and have been measured in several laboratories around the world and show common features but also unresolved differences. Here we present revised records, including new measurements, performed at the CSIRO Ice Core Extraction LABoratory (ICELAB) on air samples from ice obtained at the high-accumulation site of Law Dome (East Antarctica). We are motivated by the increasing use of the records by the scientific community and by recent data-handling developments at CSIRO ICELAB. A number of cores and firn air samples have been collected at Law Dome to provide high-resolution records overlapping recent, direct atmospheric observations. The records have been updated through a dynamic link to the calibration scales used in the Global Atmospheric Sampling LABoratory (GASLAB) at CSIRO, which are periodically revised with information from the latest calibration experiments. The gas-age scales have been revised based on new ice-age scales and the information derived from a new version of the CSIRO firn diffusion model. Additionally, the records have been revised with new, rule-based selection criteria and updated corrections for biases associated with the extraction procedure and the effects of gravity and diffusion in the firn. All measurements carried out in ICELAB-GASLAB over the last 25 years are now managed through a database (the ICElab dataBASE or ICEBASE), which provides consistent data management, automatic corrections and selection of measurements, and a web-based user interface for data extraction. We present the new records, discuss their strengths and limitations, and summarise their main features. The records reveal changes in the carbon cycle and atmospheric chemistry over the last 2 millennia, including the major changes of the anthropogenic era and the smaller, mainly natural variations beforehand. They provide the historical data to calibrate and test the next inter-comparison of models used to predict future climate change (Coupled Model Inter-comparison Project - phase 6, CMIP6). The datasets described in this paper, including spline fits, are available at https://doi.org/10.25919/5bfe29ff807fb (Rubino et al., 2019).</t>
  </si>
  <si>
    <t>[Rubino, Mauro] Keele Univ, Sch Geog Geol &amp; Environm, Keele ST5 5BG, Staffs, England; [Rubino, Mauro; Etheridge, David M.; Thornton, David P.; Howden, Russell; Allison, Colin E.; Francey, Roger J.; Langenfelds, Ray L.; Steele, L. Paul; Trudinger, Cathy M.; Spencer, Darren A.] CSIRO Oceans &amp; Atmosphere, Climate Sci Ctr, Aspendale, Vic 3195, Australia; [Curran, Mark A. J.; van Ommen, Tas D.] Australian Antarctic Div, Channel Highway, Kingston, Tas 7050, Australia; [van Ommen, Tas D.] Univ Tasmania, Antarct Climate &amp; Ecosyst Cooperat Res Ctr, Private Bag 80, Hobart, Tas 7005, Australia; [Smith, Andrew M.] ANSTO, Locked Bag 2001, Kirrawee, NSW 2232, Australia</t>
  </si>
  <si>
    <t>Keele University; Commonwealth Scientific &amp; Industrial Research Organisation (CSIRO); Australian Antarctic Division; University of Tasmania; Australian Nuclear Science &amp; Technology Organisation</t>
  </si>
  <si>
    <t>Rubino, M (corresponding author), Keele Univ, Sch Geog Geol &amp; Environm, Keele ST5 5BG, Staffs, England.;Rubino, M; Etheridge, DM (corresponding author), CSIRO Oceans &amp; Atmosphere, Climate Sci Ctr, Aspendale, Vic 3195, Australia.</t>
  </si>
  <si>
    <t>m.rubino@keele.ac.uk; david.etheridge@csiro.au</t>
  </si>
  <si>
    <t>Steele, Paul/B-3185-2009; Langenfelds, Raymond L/B-5381-2012; , Andrew/HLX-8550-2023; Rubino, Mauro/Q-5578-2016; Trudinger, Cathy/A-2532-2008; Etheridge, David M/B-7334-2013; van Ommen, Tas/B-5020-2012</t>
  </si>
  <si>
    <t>Rubino, Mauro/0000-0002-8721-4508; Etheridge, David/0000-0001-7970-2002; van Ommen, Tas/0000-0002-2463-1718; Allison, Colin/0000-0002-7796-6917; Smith, Andrew/0000-0002-9193-2617</t>
  </si>
  <si>
    <t>1866-3508</t>
  </si>
  <si>
    <t>1866-3516</t>
  </si>
  <si>
    <t>EARTH SYST SCI DATA</t>
  </si>
  <si>
    <t>Earth Syst. Sci. Data</t>
  </si>
  <si>
    <t>10.5194/essd-11-473-2019</t>
  </si>
  <si>
    <t>HS9CB</t>
  </si>
  <si>
    <t>gold, Green Submitted, Green Accepted</t>
  </si>
  <si>
    <t>WOS:000464164300001</t>
  </si>
  <si>
    <t>Steiner, NS; Cheung, WWL; Cisneros-Montemayor, AM; Drost, H; Hayashida, H; Hoover, C; Lam, J; Sou, T; Sumaila, UR; Suprenand, P; Tai, TC; VanderZwaag, DL</t>
  </si>
  <si>
    <t>Steiner, Nadja S.; Cheung, William W. L.; Cisneros-Montemayor, Andres M.; Drost, Helen; Hayashida, Hakase; Hoover, Cade; Lam, Jen; Sou, Tessa; Sumaila, U. Rashid; Suprenand, Paul; Tai, Travis C.; VanderZwaag, David L.</t>
  </si>
  <si>
    <t>Impacts of the Changing Ocean-Sea Ice System on the Key Forage Fish Arctic Cod (Boreogadus Saida) and Subsistence Fisheries in the Western Canadian Arctic-Evaluating Linked Climate, Ecosystem and Economic (CEE) Models</t>
  </si>
  <si>
    <t>climate change; Arctic cod; subsistence fisheries; Canadian Arctic; Arctic change; Arctic ecosystems</t>
  </si>
  <si>
    <t>CAPELIN MALLOTUS-VILLOSUS; ALGAE-PRODUCED CARBON; POLAR COD; BEAUFORT SEA; CARDIAC-PERFORMANCE; BOWHEAD WHALES; ANTARCTIC FISH; GADUS-MORHUA; FATTY-ACID; FOOD</t>
  </si>
  <si>
    <t>This study synthesizes results from observations, laboratory experiments and models to showcase how the integration of scientific methods and indigenous knowledge can improve our understanding of (a) past and projected changes in environmental conditions and marine species; (b) their effects on social and ecological systems in the respective communities; and (c) support management and planning tools for climate change adaptation and mitigation. The study links climate-ecosystem-economic (CEE) models and discusses uncertainties within those tools. The example focuses on the key forage species in the Inuvialuit Settlement Region (Western Canadian Arctic), i.e., Arctic cod (Boreogadus saida). Arctic cod can be trophically linked to sea-ice algae and pelagic primary producers and are key vectors for energy transfers from plankton to higher trophic levels (e.g., ringed seals, beluga), which are harvested by Inuit peoples. Fundamental changes in ice and ocean conditions in the region affect the marine ecosystem and fish habitat. Model simulations suggest increasing trends in oceanic phytoplankton and sea-ice algae with high interannual variability. The latter might be linked to interannual variations in Arctic cod abundance and mask trends in observations. CEE simulations incorporating physiological temperature limits data for the distribution of Arctic cod, result in an estimated 17% decrease in Arctic cod populations by the end of the century (high emission scenario), but suggest increases in abundance for other Arctic and sub-Arctic species. The Arctic cod decrease is largely caused by increased temperatures and constraints in northward migration, and could directly impact key subsistence species. Responses to acidification are still highly uncertain, but sensitivity simulations suggests an additional 1% decrease in Arctic cod populations due to pH impacts on growth and survival. Uncertainties remain with respect to detailed future changes, but general results are likely correct and in line with results from other approaches. To reduce uncertainties, higher resolution models with improved parameterizations and better understanding of the species' physiological limits are required. Arctic communities should be directly involved, receive tools and training to conduct local, unified research and food chain monitoring while decisions regarding commercial fisheries will need to be precautionary and adaptive in light of the existing uncertainties.</t>
  </si>
  <si>
    <t>[Steiner, Nadja S.; Drost, Helen; Sou, Tessa] Fisheries &amp; Oceans Canada, Inst Ocean Sci, Sidney, BC, Canada; [Cheung, William W. L.; Cisneros-Montemayor, Andres M.; Sumaila, U. Rashid; Tai, Travis C.] Univ British Columbia, Inst Oceans &amp; Fisheries, Vancouver, BC, Canada; [Drost, Helen] Sheluqun Environm, Saltspring, BC, Canada; [Hayashida, Hakase] Univ Victoria, Sch Earth &amp; Ocean Sci, Victoria, BC, Canada; [Hayashida, Hakase] Univ Tasmania, Inst Marine &amp; Antarctic Studies, Hobart, Tas, Australia; [Hoover, Cade] Univ Manitoba, Ctr Earth Observat Sci, Winnipeg, MB, Canada; [Hoover, Cade] Fisheries &amp; Oceans Canada, Freshwater Inst, Winnipeg, MB, Canada; [Lam, Jen] Inuvialuit Settlement Reg, Inuvik, NT, Canada; [Suprenand, Paul] Mote Marine Lab, Sarasota, FL 34236 USA; [VanderZwaag, David L.] Dalhousie Univ, Schulich Sch Law, Halifax, NS, Canada</t>
  </si>
  <si>
    <t>Fisheries &amp; Oceans Canada; University of British Columbia; University of Victoria; University of Tasmania; University of Manitoba; Fisheries &amp; Oceans Canada; Mote Marine Laboratory &amp; Aquarium; Dalhousie University</t>
  </si>
  <si>
    <t>Steiner, NS (corresponding author), Fisheries &amp; Oceans Canada, Inst Ocean Sci, Sidney, BC, Canada.</t>
  </si>
  <si>
    <t>nadja.steiner@dfo-mpo.gc.ca</t>
  </si>
  <si>
    <t>Hayashida, Hakase/AAY-4151-2020; Sumaila, U. Rashid/ABE-6475-2020; Cheung, William/F-5104-2013</t>
  </si>
  <si>
    <t>Hayashida, Hakase/0000-0002-6349-4947; Steiner, Nadja/0000-0001-7456-3437; Hoover, Carie/0000-0002-5343-9805</t>
  </si>
  <si>
    <t>Canadian Social Sciences and Humanities Research Council (SSHRC) partnership grant OceanCanada; Marine Environmental Observation Prediction and Response (MEOPAR) Network, ArcticNet; Manitoba Centre of Excellence Funding; Fisheries Joint Management Committee; Department of Fisheries and Oceans Canada; Department of Environment and Climate Change Canada</t>
  </si>
  <si>
    <t>Canadian Social Sciences and Humanities Research Council (SSHRC) partnership grant OceanCanada(Social Sciences and Humanities Research Council of Canada (SSHRC)); Marine Environmental Observation Prediction and Response (MEOPAR) Network, ArcticNet; Manitoba Centre of Excellence Funding; Fisheries Joint Management Committee; Department of Fisheries and Oceans Canada; Department of Environment and Climate Change Canada</t>
  </si>
  <si>
    <t>The authors acknowledge funding from the Canadian Social Sciences and Humanities Research Council (SSHRC) partnership grant OceanCanada, the Marine Environmental Observation Prediction and Response (MEOPAR) Network, ArcticNet, the Manitoba Centre of Excellence Funding, the Fisheries Joint Management Committee, and the Departments of Fisheries and Oceans Canada and Environment and Climate Change Canada.</t>
  </si>
  <si>
    <t>APR 10</t>
  </si>
  <si>
    <t>10.3389/fmars.2019.00179</t>
  </si>
  <si>
    <t>HU7EK</t>
  </si>
  <si>
    <t>WOS:000465443700001</t>
  </si>
  <si>
    <t>Jeon, YJ; Kim, S; Kim, JH; Youn, UJ; Suh, SS</t>
  </si>
  <si>
    <t>Jeon, Young-Jun; Kim, Sanghee; Kim, Ji Hee; Youn, Ui Joung; Suh, Sung-Suk</t>
  </si>
  <si>
    <t>The Comprehensive Roles of ATRANORIN, A Secondary Metabolite from the Antarctic Lichen Stereocaulon caespitosum, in HCC Tumorigenesis</t>
  </si>
  <si>
    <t>MOLECULES</t>
  </si>
  <si>
    <t>hepatocellular carcinoma (HCC); lichen; atranorin; cell cycle; cell death</t>
  </si>
  <si>
    <t>HUMAN PROSTATE; CANCER-CELLS; USNIC ACID</t>
  </si>
  <si>
    <t>Hepatocellular carcinoma (HCC) is one of the most deadly genetic diseases, but surprisingly chemotherapeutic approaches against HCC are only limited to a few targets. In particular, considering the difficulty of a chemotherapeutic drug development in terms of cost and time enforces searching for surrogates to minimize effort and maximize efficiency in anti-cancer therapy. In spite of the report that approximately one thousand lichen-derived metabolites have been isolated, the knowledge about their functions and consequences in cancer development is relatively limited. Moreover, one of the major second metabolites from lichens, Atranorin has never been studied in HCC. Regarding this, we comprehensively analyze the effect of Atranorin by employing representative HCC cell lines and experimental approaches. Cell proliferation and cell cycle analysis using the compound consistently show the inhibitory effects of Atranorin. Moreover, cell death determination using Annexin-V and (Propidium Iodide) PI staining suggests that it induces cell death through necrosis. Lastly, the metastatic potential of HCC cell lines is significantly inhibited by the drug. Taken these together, we claim a novel functional finding that Atranorin comprehensively suppresses HCC tumorigenesis and metastatic potential, which could provide an important basis for anti-cancer therapeutics.</t>
  </si>
  <si>
    <t>[Jeon, Young-Jun] Ohio State Univ, Ctr Comprehens Canc, Columbus, OH 43210 USA; [Kim, Sanghee; Kim, Ji Hee; Youn, Ui Joung] Korea Polar Res Inst, Div Polar Life Sci, Incheon 21990, South Korea; [Kim, Sanghee; Kim, Ji Hee; Youn, Ui Joung] Univ Sci &amp; Technol, Dept Polar Sci, Incheon 21990, South Korea; [Suh, Sung-Suk] Mokpo Natl Univ, Dept Biosci, Muan 58554, South Korea</t>
  </si>
  <si>
    <t>University System of Ohio; Ohio State University; James Cancer Hospital &amp; Solove Research Institute; Korea Polar Research Institute (KOPRI); Mokpo National University</t>
  </si>
  <si>
    <t>Suh, SS (corresponding author), Mokpo Natl Univ, Dept Biosci, Muan 58554, South Korea.</t>
  </si>
  <si>
    <t>jeon.81@osu.edu; sangheekim@kopri.re.kr; jhalgae@kopri.re.kr; ujyoun@kopri.re.kr; sungsuksuh@mokpo.ac.kr</t>
  </si>
  <si>
    <t>Jeon, Young-Jun/0000-0002-5998-9605</t>
  </si>
  <si>
    <t>Korea Polar Research Institute, the Republic of Korea [PE19180]; National Research Foundation of Korea (NRF) grant - Korea government (MSIT) [NRF-2018R1C1B5085764]</t>
  </si>
  <si>
    <t>Korea Polar Research Institute, the Republic of Korea; National Research Foundation of Korea (NRF) grant - Korea government (MSIT)</t>
  </si>
  <si>
    <t>This study was supported by the research projects (PE19180) of the Korea Polar Research Institute, the Republic of Korea and the National Research Foundation of Korea (NRF) grant funded by the Korea government (MSIT) (NRF-2018R1C1B5085764).</t>
  </si>
  <si>
    <t>MDPI</t>
  </si>
  <si>
    <t>BASEL</t>
  </si>
  <si>
    <t>ST ALBAN-ANLAGE 66, CH-4052 BASEL, SWITZERLAND</t>
  </si>
  <si>
    <t>1420-3049</t>
  </si>
  <si>
    <t>Molecules</t>
  </si>
  <si>
    <t>10.3390/molecules24071414</t>
  </si>
  <si>
    <t>Biochemistry &amp; Molecular Biology; Chemistry, Multidisciplinary</t>
  </si>
  <si>
    <t>Biochemistry &amp; Molecular Biology; Chemistry</t>
  </si>
  <si>
    <t>HU0EP</t>
  </si>
  <si>
    <t>Green Published, gold, Green Submitted</t>
  </si>
  <si>
    <t>WOS:000464944500016</t>
  </si>
  <si>
    <t>Winstrup, M; Vallelonga, P; Kjær, HA; Fudge, TJ; Lee, JE; Riis, MH; Edwards, R; Bertler, NAN; Blunier, T; Brook, EJ; Buizert, C; Ciobanu, G; Conway, H; Dahl-Jensen, D; Ellis, A; Emanuelsson, BD; Hindmarsh, RCA; Keller, ED; Kurbatov, AV; Mayewski, PA; Neff, PD; Pyne, RL; Simonsen, MF; Svensson, A; Tuohy, A; Waddington, ED; Wheatley, S</t>
  </si>
  <si>
    <t>Winstrup, Mai; Vallelonga, Paul; Kjaer, Helle A.; Fudge, Tyler J.; Lee, James E.; Riis, Marie H.; Edwards, Ross; Bertler, Nancy A. N.; Blunier, Thomas; Brook, Ed J.; Buizert, Christo; Ciobanu, Gabriela; Conway, Howard; Dahl-Jensen, Dorthe; Ellis, Aja; Emanuelsson, B. Daniel; Hindmarsh, Richard C. A.; Keller, Elizabeth D.; Kurbatov, Andrei V.; Mayewski, Paul A.; Neff, Peter D.; Pyne, Rebecca L.; Simonsen, Marius F.; Svensson, Anders; Tuohy, Andrea; Waddington, Edwin D.; Wheatley, Sarah</t>
  </si>
  <si>
    <t>A 2700-year annual timescale and accumulation history for an ice core from Roosevelt Island, West Antarctica</t>
  </si>
  <si>
    <t>CONTINUOUS-FLOW ANALYSIS; NORTHERN VICTORIA LAND; SURFACE MASS-BALANCE; CLIMATE-CHANGE; SNOW ACCUMULATION; WAIS DIVIDE; 20TH-CENTURY INCREASE; WD2014 CHRONOLOGY; POLAR ICE; GREENLAND</t>
  </si>
  <si>
    <t>We present a 2700-year annually resolved chronology and snow accumulation history for the Roosevelt Island Climate Evolution (RICE) ice core, Ross Ice Shelf, West Antarctica. The core adds information on past accumulation changes in an otherwise poorly constrained sector of Antarctica. The timescale was constructed by identifying annual cycles in high-resolution impurity records, and it constitutes the top part of the Roosevelt Island Ice Core Chronology 2017 (RICE17). Validation by volcanic and methane matching to the WD2014 chronology from the WAIS Divide ice core shows that the two timescales are in excellent agreement. In a companion paper, gas matching to WAIS Divide is used to extend the timescale for the deeper part of the core in which annual layers cannot be identified. Based on the annually resolved timescale, we produced a record of past snow accumulation at Roosevelt Island. The accumulation history shows that Roosevelt Island experienced slightly increasing accumulation rates between 700 BCE and 1300 CE, with an average accumulation of 0.25 +/- 0.02m water equivalent (w.e.) per year. Since 1300 CE, trends in the accumulation rate have been consistently negative, with an acceleration in the rate of decline after the mid-17th century. The current accumulation rate at Roosevelt Island is 0.210 +/- 0.002m w.e. yr(-1) (average since 1965 CE, +/- 2 sigma), and it is rapidly declining with a trend corresponding to 0.8 mm yr(-2). The decline observed since the mid-1960s is 8 times faster than the long-term decreasing trend taking place over the previous centuries, with decadal mean accumulation rates consistently being below average. Previous research has shown a strong link between Roosevelt Island accumulation rates and the location and intensity of the Amundsen Sea Low, which has a significant impact on regional sea-ice extent. The decrease in accumulation rates at Roosevelt Island may therefore be explained in terms of a recent strengthening of the ASL and the expansion of sea ice in the eastern Ross Sea. The start of the rapid decrease in RICE accumulation rates observed in 1965 CE may thus mark the onset of significant increases in regional sea-ice extent.</t>
  </si>
  <si>
    <t>[Winstrup, Mai; Vallelonga, Paul; Kjaer, Helle A.; Riis, Marie H.; Blunier, Thomas; Ciobanu, Gabriela; Dahl-Jensen, Dorthe; Simonsen, Marius F.; Svensson, Anders] Univ Copenhagen, Niels Bohr Inst, Ctr Ice &amp; Climate, Copenhagen, Denmark; [Fudge, Tyler J.; Conway, Howard; Waddington, Edwin D.] Univ Washington, Earth &amp; Space Sci, Seattle, WA 98195 USA; [Lee, James E.; Brook, Ed J.; Buizert, Christo] Oregon State Univ, Coll Earth Ocean &amp; Atmospher Sci, Corvallis, OR 97331 USA; [Edwards, Ross; Ellis, Aja] Curtin Univ, Phys &amp; Astron, Perth, WA, Australia; [Edwards, Ross] Univ Wisconsin, Dept Civil &amp; Environm Engn, Madison, WI 53706 USA; [Bertler, Nancy A. N.; Emanuelsson, B. Daniel; Tuohy, Andrea] Victoria Univ Wellington, Antarctic Res Ctr, Wellington, New Zealand; [Bertler, Nancy A. N.; Emanuelsson, B. Daniel; Keller, Elizabeth D.; Pyne, Rebecca L.; Tuohy, Andrea] GNS Sci, Lower Hutt, New Zealand; [Hindmarsh, Richard C. A.] British Antarctic Survey, Cambridge, England; [Kurbatov, Andrei V.; Mayewski, Paul A.; Wheatley, Sarah] Univ Maine, Climate Change Inst, Orono, ME USA; [Neff, Peter D.] Univ Rochester, Earth &amp; Environm Sci, Rochester, NY USA; [Winstrup, Mai] Danish Meteorol Inst, Copenhagen, Denmark</t>
  </si>
  <si>
    <t>University of Copenhagen; Niels Bohr Institute; University of Washington; University of Washington Seattle; Oregon State University; Curtin University; University of Wisconsin System; University of Wisconsin Madison; Victoria University Wellington; GNS Science - New Zealand; UK Research &amp; Innovation (UKRI); Natural Environment Research Council (NERC); NERC British Antarctic Survey; University of Maine System; University of Maine Orono; University of Rochester; Danish Meteorological Institute DMI</t>
  </si>
  <si>
    <t>Winstrup, M (corresponding author), Univ Copenhagen, Niels Bohr Inst, Ctr Ice &amp; Climate, Copenhagen, Denmark.;Winstrup, M (corresponding author), Danish Meteorol Inst, Copenhagen, Denmark.</t>
  </si>
  <si>
    <t>mai@nbi.ku.dk</t>
  </si>
  <si>
    <t>Neff, Peter David/ABB-7688-2021; Mayewski, Paul Andrew/HRD-6969-2023; Hindmarsh, Richard/N-1195-2019; Dahl-Jensen, Dorthe/AAO-6951-2020; Ciobanu, Viorela Gabriela/AAQ-5556-2021; Kjær, Helle Astrid/HGC-7941-2022; Svensson, Anders/A-2643-2010; Bertler, Nancy A N/F-3967-2011; Keller, Elizabeth Diane/GLN-5354-2022; Keller, Elizabeth/O-1520-2013; Winstrup, Mai/M-5844-2014; Vallelonga, Paul/I-9650-2016; Blunier, Thomas/M-4609-2014; Edwards, Ross/B-1433-2013</t>
  </si>
  <si>
    <t>Hindmarsh, Richard/0000-0003-1633-2416; Dahl-Jensen, Dorthe/0000-0002-1474-1948; Ciobanu, Viorela Gabriela/0000-0001-8508-9486; Kjær, Helle Astrid/0000-0002-3781-9509; Svensson, Anders/0000-0002-4364-6085; Fudge, Tyler/0000-0002-6818-7479; Kurbatov, Andrei/0000-0002-9819-9251; Keller, Elizabeth/0000-0002-9408-9215; Neff, Peter/0000-0003-1697-0936; Simonsen, Marius Folden/0000-0002-1525-034X; Lee, James/0000-0002-9137-1530; Winstrup, Mai/0000-0002-4794-4004; Vallelonga, Paul/0000-0003-1055-7235; Conway, Howard/0000-0003-4634-3474; Blunier, Thomas/0000-0002-6065-7747; Edwards, Ross/0000-0002-9233-8775; Bertler, Nancy/0000-0001-6028-4891</t>
  </si>
  <si>
    <t>Roosevelt Island Climate Evolution (RICE) Program; Carlsberg Foundation; European Research Council, Ice2Ice project [610055]; NSF [PLR-1042883, ANT-0837883, ANT-0944021, ANT-0944307, ANT-1643394]; New Zealand Ministry of Business, Innovation, and Employment [RDF-VUW-1103, 15-VUW-131]; Antarctica New Zealand [K049]; European Research Council (ERC) [610055] Funding Source: European Research Council (ERC); NERC [NE/J008087/1, bas0100034] Funding Source: UKRI</t>
  </si>
  <si>
    <t>Roosevelt Island Climate Evolution (RICE) Program; Carlsberg Foundation(Carlsberg Foundation); European Research Council, Ice2Ice project; NSF(National Science Foundation (NSF)); New Zealand Ministry of Business, Innovation, and Employment(New Zealand Ministry of Business, Innovation and Employment (MBIE)); Antarctica New Zealand; European Research Council (ERC)(European Research Council (ERC)Spanish Government); NERC(UK Research &amp; Innovation (UKRI)Natural Environment Research Council (NERC))</t>
  </si>
  <si>
    <t>This work is a contribution to the Roosevelt Island Climate Evolution (RICE) Program, funded by national contributions from New Zealand, Australia, Denmark, Germany, Italy, China, Sweden, UK, and USA. The main logistic support was provided by Antarctica New Zealand (K049) and the US Antarctic Program. We thank all the people involved in the RICE logistics, fieldwork, sampling, and analytical programs. The Danish contribution to RICE was funded by the Carlsberg Foundation's North-South Climate Connections project grant. The research also received funding from the European Research Council under the European Community's Seventh Framework Programme (FP7/2007-2013) ERC grant agreement 610055 as part of the Ice2Ice project. The RICE Program was supported by funding from NSF grants (PLR-1042883, ANT-0837883, ANT-0944021, ANT-0944307, and ANT-1643394) and New Zealand Ministry of Business, Innovation, and Employment grants issued through Victoria University of Wellington (RDF-VUW-1103, 15-VUW-131), GNS Science (540GCT32, 540GCT12), and Antarctica New Zealand (K049). Figure 1 was made using Quantarctica2 (Norwegian Polar Institute) base maps and QGIS software. We acknowledge the WAIS Divide ice-core project and thank Joe McConnell, Jihong Cole-Dai, and the students and staff of the ice-core labs at the Desert Research Institute and at South Dakota State University for providing the WAIS Divide sulfate data. We have presented here ice-core data collected and analyzed by Henrik Clausen, Willi Dansgaard, Sigfus Johnsen, Steffen Bo Hansen, and Jan Nielsen under the Ross Ice Shelf Project (RISP) carried out between 1973 and 1978. We acknowledge the pioneering work conducted by these researchers and the ongoing international collaborations they established.</t>
  </si>
  <si>
    <t>10.5194/cp-15-751-2019</t>
  </si>
  <si>
    <t>HS8JJ</t>
  </si>
  <si>
    <t>gold, Green Accepted</t>
  </si>
  <si>
    <t>WOS:000464115700001</t>
  </si>
  <si>
    <t>Scott, JM; Turnbull, IM</t>
  </si>
  <si>
    <t>Scott, James M.; Turnbull, Ian M.</t>
  </si>
  <si>
    <t>Geology of New Zealand's Sub-Antarctic Islands</t>
  </si>
  <si>
    <t>NEW ZEALAND JOURNAL OF GEOLOGY AND GEOPHYSICS</t>
  </si>
  <si>
    <t>Sub-Antarctic Islands; Antipodes Islands; Auckland Islands; Bounty Islands; Campbell Island; Snares Islands; geology; Zealandia; Campbell Plateau</t>
  </si>
  <si>
    <t>AUCKLAND-ISLANDS; INTRAPLATE VOLCANISM; CAMPBELL ISLAND; BOUNTY-ISLANDS; METAMORPHIC BASEMENT; HOLOCENE VEGETATION; CARNLEY VOLCANO; ENDERBY-ISLAND; SHEAR ZONE; SW PACIFIC</t>
  </si>
  <si>
    <t>New Zealand's remote five Sub-Antarctic island groups are the only sub-aerial exposures of the similar to 800,000 km(2) Campbell Plateau portion of Zealandia. An up-to-date geological map, a summary of the current geological knowledge and a geological interpretation is presented for each island group. The oldest rocks are Early Paleozoic metasediments on Campbell Island/Motu Ihupuku. Granitoids dominate the Bounty Islands/Moutere Hauriri (Early Jurassic) and Snares Islands/Tini Heke (Early Cretaceous), form a small part of the Auckland Islands/Motu Maha (Late Cretaceous), and occur as rare Cretaceous xenoliths in tuffs on the Antipodes Islands/Moutere Mahue. The Campbell Island/Motu Ihupuku metasedimentary rocks are overlain by Late Cretaceous-Cenozoic basin sediments, which are in turn overlain by tuff and lava resulting from emergent intraplate volcanism. The Auckland Islands/Motu Maha and Antipodes Islands/Moutere Mahue stratigraphies are also related to emergent intraplate volcanism. Limited radiometric dating indicates that the Auckland Islands/Motu Maha breached the Southern Ocean in the Early-Middle Miocene, Campbell Island Volcano formed in the Late Miocene, and the Antipodes Volcano formed in the last 300,000 yrs. Basaltic dikes on the Snares Islands/Tini Heke are undated, and mafic dikes on the Bounty Islands/Moutere Hauriri are Mesozoic; it is unclear when these two island groups formed. The Auckland Islands/Motu Maha and Campbell Island/Motu Ihupuku have cirques, terminal and lateral moraines, till deposits and glacially carved fjords, and near-shore bathymetry indicates that all island groups exposed significantly larger areas during glacial periods. More work is required to understand the geological formation of these islands and their Southern Ocean climatic records.</t>
  </si>
  <si>
    <t>[Scott, James M.; Turnbull, Ian M.] Univ Otago, Dept Geol, Dunedin, New Zealand</t>
  </si>
  <si>
    <t>University of Otago</t>
  </si>
  <si>
    <t>Scott, JM (corresponding author), Univ Otago, Dept Geol, Dunedin, New Zealand.</t>
  </si>
  <si>
    <t>james.scott@otago.ac.nz</t>
  </si>
  <si>
    <t>Scott, James/E-1908-2017</t>
  </si>
  <si>
    <t>Scott, James/0000-0001-5185-6261</t>
  </si>
  <si>
    <t>FRST grant</t>
  </si>
  <si>
    <t>We especially thank Henk Haazen and Tiama, Rodney Russ and the Akademik Shokalskiy (Spirit of Enderby), the Royal New Zealand Navy and HMNZS Wellington, HMNZS Monowai and HMNZS Tui, Lance Shaw and Breaksea Girl, and Steve Kafka and Evohe for transport to and from the island groups. We are extremely grateful to Paul Sagar for supporting trips to the Antipodes Islands/Moutere Mahue and Snares/Tini Heke, and the Department of Conservation for granting permission to access all island groups. Fieldwork on the Antipodes Islands/Moutere Mahue, Snares/Tini Heke, and at Port Ross was sponsored by a FRST grant to JMS. Lachie Scarsbrook and Stephen Read helped to draft the maps. Nick Mortimer and John Gamble are acknowledged for their comprehensive reviews.</t>
  </si>
  <si>
    <t>TAYLOR &amp; FRANCIS LTD</t>
  </si>
  <si>
    <t>ABINGDON</t>
  </si>
  <si>
    <t>2-4 PARK SQUARE, MILTON PARK, ABINGDON OR14 4RN, OXON, ENGLAND</t>
  </si>
  <si>
    <t>0028-8306</t>
  </si>
  <si>
    <t>1175-8791</t>
  </si>
  <si>
    <t>NEW ZEAL J GEOL GEOP</t>
  </si>
  <si>
    <t>N. Z. J. Geol. Geophys.</t>
  </si>
  <si>
    <t>JUL 3</t>
  </si>
  <si>
    <t>10.1080/00288306.2019.1600557</t>
  </si>
  <si>
    <t>APR 2019</t>
  </si>
  <si>
    <t>Geology; Geosciences, Multidisciplinary</t>
  </si>
  <si>
    <t>2P6GM</t>
  </si>
  <si>
    <t>WOS:000470617100001</t>
  </si>
  <si>
    <t>Abdel-Lateff, A; Alarif, WM; Alburae, NA; Algandaby, MM</t>
  </si>
  <si>
    <t>Abdel-Lateff, Ahmed; Alarif, Walied Mohamed; Alburae, Najla Ali; Algandaby, Mardi Mohamed</t>
  </si>
  <si>
    <t>Alcyonium Octocorals: Potential Source of Diverse Bioactive Terpenoids</t>
  </si>
  <si>
    <t>Alcyoniidae; mevalonates; steroids; anti-inflammatory; antimicrobial; antifeedant</t>
  </si>
  <si>
    <t>AUSTRALIAN SOFT CORALS; CHEMICAL ECOLOGY; CEMBRANOID DITERPENES; ILLUDALANE SESQUITERPENOIDS; STEROIDAL GLYCOSIDES; MARINE ORGANISMS; NATURAL-PRODUCTS; CHEMISTRY; GENUS</t>
  </si>
  <si>
    <t>Alcyonium corals are benthic animals, which live in different climatic areas, including temperate, Antarctic and sub-Antarctic waters. They were found to produce different chemical substances with molecular diversity and unique architectures. These metabolites embrace several terpenoidal classes with different functionalities. This wide array of structures supports the productivity of genus Alcyonium. Yet, majority of the reported compounds are still biologically unscreened and require substantial efforts to explore their importance. This review is an entryway to push forward the bio-investigation of this genus. It covers the era from the beginning of reporting metabolites from Alcyonium up to March 2019. Ninety-two metabolites are presented; forty-two sesquiterpenes, twenty-five diterpenes and twenty-five steroids have been reported from sixteen species.</t>
  </si>
  <si>
    <t>[Abdel-Lateff, Ahmed] King Abdulaziz Univ, Fac Pharm, Dept Nat Prod &amp; Alternat Med, POB 80260, Jeddah 21589, Saudi Arabia; [Abdel-Lateff, Ahmed] Menia Univ, Dept Pharmacognosy, Fac Pharm, Al Minya 61519, Egypt; [Alarif, Walied Mohamed] King Abdulaziz Univ, Fac Marine Sci, Dept Marine Chem, POB 80207, Jeddah 21589, Saudi Arabia; [Alburae, Najla Ali; Algandaby, Mardi Mohamed] King Abdulaziz Univ, Dept Biol, Fac Sci, POB 80203, Jeddah 21589, Saudi Arabia; [Alburae, Najla Ali] Princess Nourah bint Abdulrahman Univ, Coll Sci, Biol Dept, POB 84428, Riyadh 11671, Saudi Arabia</t>
  </si>
  <si>
    <t>King Abdulaziz University; Egyptian Knowledge Bank (EKB); Minia University; King Abdulaziz University; King Abdulaziz University; Princess Nourah bint Abdulrahman University</t>
  </si>
  <si>
    <t>Abdel-Lateff, A (corresponding author), King Abdulaziz Univ, Fac Pharm, Dept Nat Prod &amp; Alternat Med, POB 80260, Jeddah 21589, Saudi Arabia.;Abdel-Lateff, A (corresponding author), Menia Univ, Dept Pharmacognosy, Fac Pharm, Al Minya 61519, Egypt.;Alarif, WM (corresponding author), King Abdulaziz Univ, Fac Marine Sci, Dept Marine Chem, POB 80207, Jeddah 21589, Saudi Arabia.</t>
  </si>
  <si>
    <t>aabdellatteff@kau.edu.sa; welaref@kau.edu.sa; nalbourai@kau.edu.sa; malgandaby@yahoo.com</t>
  </si>
  <si>
    <t>Alarif, Walied M/H-7549-2012; Alburae, Najla/G-8433-2017; Alburae, Najla/HMP-5517-2023</t>
  </si>
  <si>
    <t>Alburae, Najla/0000-0001-6331-7644; Abdel-Lateff, Ahmed/0000-0002-7226-1205</t>
  </si>
  <si>
    <t>APR 8</t>
  </si>
  <si>
    <t>10.3390/molecules24071370</t>
  </si>
  <si>
    <t>HU0JY</t>
  </si>
  <si>
    <t>WOS:000464958400006</t>
  </si>
  <si>
    <t>Vignon, É; Traullé, O; Berne, A</t>
  </si>
  <si>
    <t>Vignon, Etienne; Traulle, Olivier; Berne, Alexis</t>
  </si>
  <si>
    <t>On the fine vertical structure of the low troposphere over the coastal margins of East Antarctica</t>
  </si>
  <si>
    <t>ATMOSPHERIC BOUNDARY-LAYER; POLAR WEATHER RESEARCH; SURFACE MASS-BALANCE; CLIMATE MODEL MAR; ADELIE-LAND; KATABATIC FLOW; MOISTURE TRANSPORT; DUMONT DURVILLE; CASEY-STATION; WINDS</t>
  </si>
  <si>
    <t>In this study, 8 years of high-resolution radiosonde data at nine Antarctic stations are analysed to provide the first large-scale characterization of the fine vertical structure of the low troposphere up to 3 km altitude over the coastal margins of East Antarctica. Radiosonde data show a large spatial variability of wind, temperature and humidity profiles, with different features between stations in katabatic regions (e.g., Dumont d'Urville and Mawson stations), stations over two ice shelves (Neumayer and Halley stations) and regions with complex orography (e.g., McMurdo). At the Dumont d'Urville, Mawson and Davis stations, the yearly median wind speed profiles exhibit a clear low-level katabatic jet. During precipitation events, the low-level flow generally remains of continental origin and its speed is even reinforced due to the increase in the continent-ocean pressure gradient. Meanwhile, the relative humidity profiles show a dry low troposphere, suggesting the occurrence of low-level sublimation of precipitation in katabatic regions but such a phenomenon does not appreciably occur over the ice shelves near Halley and Neumayer. Although ERA-Interim and ERA5 reanalyses assimilate radiosoundings at most stations considered here, substantial - and sometimes large - low-level wind and humidity biases are revealed but ERA5 shows overall better performance. A free simulation with the regional polar version of the Weather Research and Forecasting model (Polar WRF) (at a 35 km resolution) over the entire continent shows too-strong and too-shallow near-surface jets in katabatic regions especially in winter. This may be a consequence of an underestimated coastal cold air bump and associated sea-continent pressure gradient force due to the coarse 35 km resolution of the Polar WRF simulation. Beyond documenting the vertical structure of the low troposphere over coastal East Antarctica, this study gives insights into the reliability and accuracy of two major reanalysis products in this region on the Earth. The paper further underlines the difficulty of modeling the low-level flow over the margins of the ice sheet with a state-of-the-art atmospheric model.</t>
  </si>
  <si>
    <t>[Vignon, Etienne; Berne, Alexis] Ecole Polytech Fed Lausanne, Environm Remote Sensing Lab LTE, Lausanne, Switzerland; [Traulle, Olivier] Meteo France, DSO DOA, Toulouse, France</t>
  </si>
  <si>
    <t>Swiss Federal Institutes of Technology Domain; Ecole Polytechnique Federale de Lausanne; Meteo France</t>
  </si>
  <si>
    <t>Vignon, É (corresponding author), Ecole Polytech Fed Lausanne, Environm Remote Sensing Lab LTE, Lausanne, Switzerland.</t>
  </si>
  <si>
    <t>etienne.vignon@epfl.ch</t>
  </si>
  <si>
    <t>Berne, Alexis/0000-0003-4977-1204; VIGNON, Etienne/0000-0003-3801-9367; TRAULLE, Olivier/0000-0002-8970-5044</t>
  </si>
  <si>
    <t>EPFLLOSUMEA project; University of Wisconsin-Madison Antarctic Meteorological Research Center</t>
  </si>
  <si>
    <t>This work was funded by the EPFLLOSUMEA project. We thank Christophe Genthon and Paul Pettre for insightful comments on a preliminary version of the manuscript. We also thank Micheal Lehning, Varun Sharma, Josue Gehring, Lionel Cortes and Richard Forbes for helpful discussions, and Constantino Listowski for providing the topography data for Polar WRF. We are grateful to Steve Colwell and the British Antarctic Survey for providing radiosonde data at the Halley station. For the provision of the radiosounding data at PE, we thank the Royal Meteorological Institute of Belgium and the respective operators of the PE station. Radiosoundings during the 2013/2014 summer season were done with the Vaisala Marwin ground receiving system, provided by the Swiss Federal Institute for Forest, Snow and Landscape Research. We thank Meteo France, the DSO/DOA service for the acquisition and distribution of radiosonde data at the DDU station. MZ radiosonde data and information were obtained from the Meteo Climatological Observatory at MZS and Victoria Land of PNRA (http://www.climantartide.it, last access: 1 April 2019), with the help of Claudio Scarchilli. Radiosonde measurements at the Neumayer station have been made freely available on the PANGAEA platform (https://doi.org/10.1594/PANGAEA.874564) and technical information was provided by Holger Schmithuesen. Simon Alexander and the Australian Bureau of Meteorology are also gratefully acknowledged for distributing the radiosonde data at the Mawson, Davis and Casey stations. The authors appreciate the support of the University of Wisconsin-Madison Antarctic Meteorological Research Center and the help of Matthew Lazzara for acquiring and distributing radiosonde data at McMurdo (http://amrc.ssec.wisc.edu).The authors also thank John King, Jonathan Wille and one anonymous referee for their insightful comments on the manuscript. Last but not least, we are grateful to the scientific and winter-over staffs at Antarctic stations for acquiring radiosonde data every day in the harsh Antarctic conditions.</t>
  </si>
  <si>
    <t>10.5194/acp-19-4659-2019</t>
  </si>
  <si>
    <t>HS4TW</t>
  </si>
  <si>
    <t>WOS:000463861600005</t>
  </si>
  <si>
    <t>Chan-Yam, K; Goordial, J; Greer, C; Davila, A; McKay, CP; Whyte, LG</t>
  </si>
  <si>
    <t>Chan-Yam, Kelly; Goordial, Jacqueline; Greer, Charles; Davila, Alfonso; McKay, Christopher P.; Whyte, Lyle G.</t>
  </si>
  <si>
    <t>Microbial Activity and Habitability of an Antarctic Dry Valley Water Track</t>
  </si>
  <si>
    <t>ASTROBIOLOGY</t>
  </si>
  <si>
    <t>Water tracks; Recurring slope lineae; McMurdo Dry Valleys; Mars analog environment; Astrobiology 19; xxx-xxx</t>
  </si>
  <si>
    <t>TAYLOR VALLEY; PERMAFROST; DIVERSITY; BACTERIAL; COMMUNITIES; POPULATIONS; ECOLOGY; DESERT; FLOWS; SOILS</t>
  </si>
  <si>
    <t>Water tracks in the Antarctic Dry Valleys are dark linear features of increased soil moisture that flow downslope over the spring and summer, providing a source of moisture in a cold-arid desert. They are typically sourced from melting snow, ground ice, and deliquescence (Levy et al., 2011). This research presents the first in-depth study of the activity potential and diversity of microbial communities of Antarctic water tracks. We investigated whether these water track soils are more habitable to microbial communities by ascertaining the differences in diversity, total and culturable cell counts, and microbial respiratory activity in water track soils compared with the adjacent dry soils in Pearse Valley. Total cell counts ranged from 1.47 x 10(3) to 4.17 x 10(5) cells/g dry weight soil. Water track soils had higher total and culturable biomass, in addition to higher microbial activity at 5 degrees and -5 degrees C, compared with adjacent dry soils. Microbial respiration was positively correlated with soil moisture content, but total cell counts and plate counts were not. Surprisingly, microbial community composition did not differ between wet and dry soil communities, and was not related to soil moisture content. The microbial community composition instead appeared to differ spatially based on location and depth. Overall, the data suggest that cold water tracks are more habitable than the surrounding cold-arid soils. Our results suggest that recurring slope lineae, which are dark linear features that grow downslope on Mars over the spring and summer, where liquid water might be a recurring phenomenon, could be sites of astrobiological potential.</t>
  </si>
  <si>
    <t>[Chan-Yam, Kelly; Goordial, Jacqueline; Whyte, Lyle G.] McGill Univ, Dept Nat Resource Sci, Montreal, PQ, Canada; [Goordial, Jacqueline] Bigelow Lab Ocean Sci, Harbor, ME USA; [Greer, Charles] Natl Res Council Canada, Montreal, PQ, Canada; [Davila, Alfonso; McKay, Christopher P.] NASA, Ames Res Ctr, Moffett Field, CA 94035 USA</t>
  </si>
  <si>
    <t>McGill University; Bigelow Laboratory for Ocean Sciences; National Research Council Canada; National Aeronautics &amp; Space Administration (NASA); NASA Ames Research Center</t>
  </si>
  <si>
    <t>Whyte, LG (corresponding author), McGill Univ, Macdonald Stewart Bldg MS3-036,21111 Lakeshore Rd, Ste Anne De Bellevue, PQ H9X 3V9, Canada.</t>
  </si>
  <si>
    <t>lyle.whyte@mcgill.ca</t>
  </si>
  <si>
    <t>Davila, Alfonso F/A-2198-2013</t>
  </si>
  <si>
    <t>McKay, Christopher/0000-0002-6243-1362</t>
  </si>
  <si>
    <t>NASA ASTEP program; NSF/OPP [B-302-M]; Natural Sciences and Engineering Research Council of Canada through NSERC CREATE Program; Natural Sciences and Engineering Research Council of Canada</t>
  </si>
  <si>
    <t>NASA ASTEP program(National Aeronautics &amp; Space Administration (NASA)); NSF/OPP(National Science Foundation (NSF)NSF - Directorate for Geosciences (GEO)); Natural Sciences and Engineering Research Council of Canada through NSERC CREATE Program(Natural Sciences and Engineering Research Council of Canada (NSERC)); Natural Sciences and Engineering Research Council of Canada(Natural Sciences and Engineering Research Council of Canada (NSERC)CGIAR)</t>
  </si>
  <si>
    <t>This project including sample collection was financially supported by the NASA ASTEP program, with field support by the NSF/OPP (project B-302-M), and the Natural Sciences and Engineering Research Council of Canada through NSERC CREATE and Discovery Programs. Technical assistance was provided by H. Lalande (McGill University) and H. Benslim (McGill University). Samples were collected in part by M. Marinova (NASA Ames Research Center).</t>
  </si>
  <si>
    <t>MARY ANN LIEBERT, INC</t>
  </si>
  <si>
    <t>NEW ROCHELLE</t>
  </si>
  <si>
    <t>140 HUGUENOT STREET, 3RD FL, NEW ROCHELLE, NY 10801 USA</t>
  </si>
  <si>
    <t>1531-1074</t>
  </si>
  <si>
    <t>1557-8070</t>
  </si>
  <si>
    <t>Astrobiology</t>
  </si>
  <si>
    <t>JUN 1</t>
  </si>
  <si>
    <t>10.1089/ast.2018.1884</t>
  </si>
  <si>
    <t>Astronomy &amp; Astrophysics; Biology; Geosciences, Multidisciplinary</t>
  </si>
  <si>
    <t>Astronomy &amp; Astrophysics; Life Sciences &amp; Biomedicine - Other Topics; Geology</t>
  </si>
  <si>
    <t>IC6YG</t>
  </si>
  <si>
    <t>WOS:000463769700001</t>
  </si>
  <si>
    <t>Ahn, DH; Choi, T; Kim, J; Park, SS; Lee, YG; Kim, SJ; Koo, JH</t>
  </si>
  <si>
    <t>Ahn, Dha Hyun; Choi, Taejin; Kim, Jhoon; Park, Sang Seo; Lee, Yun Gon; Kim, Seong-Joong; Koo, Ja-Ho</t>
  </si>
  <si>
    <t>Southern Hemisphere mid- and high-latitudinal AOD, CO, NO2, and HCHO: spatiotemporal patterns revealed by satellite observations</t>
  </si>
  <si>
    <t>PROGRESS IN EARTH AND PLANETARY SCIENCE</t>
  </si>
  <si>
    <t>Climatology; Aerosol optical depth; Carbon monoxide; Nitrogen dioxide; Formaldehyde; Southern Hemisphere</t>
  </si>
  <si>
    <t>AEROSOL OPTICAL DEPTH; CARBON-MONOXIDE; BLACK CARBON; LONG-TERM; FORMALDEHYDE COLUMNS; EMISSIONS; TRENDS; MODIS; OCEAN; TRANSPORT</t>
  </si>
  <si>
    <t>To assess air pollution emitted in Southern Hemisphere mid-latitudes and transported to Antarctica, we investigate the climatological mean and temporal trends in aerosol optical depth (AOD), carbon monoxide (CO), nitrogen dioxide (NO2), and formaldehyde (HCHO) columns using satellite observations. Generally, all these measurements exhibit sharp peaks over and near the three nearby inhabited continents: South America, Africa, and Australia. This pattern indicates the large emission effect of anthropogenic activities and biomass burning processes. High AOD is also found over the Southern Atlantic Ocean, probably because of the sea salt production driven by strong winds. Since the pristine Antarctic atmosphere can be polluted by transport of air pollutants from the mid-latitudes, we analyze the 10-day back trajectories that arrive at Antarctic ground stations in consideration of the spatial distribution of mid-latitudinal AOD, CO, NO2, and HCHO. We find that the influence of mid-latitudinal emission differs across Antarctic regions: western Antarctic regions show relatively more back trajectories from the mid-latitudes, while the eastern Antarctic regions do not show large intrusions of mid-latitudinal air masses. Finally, we estimate the long-term trends in AOD, CO, NO2, and HCHO during the past decade (2005-2016). While CO shows a significant negative trend, the others show overall positive trends. Seasonal and regional differences in trends are also discussed.</t>
  </si>
  <si>
    <t>[Ahn, Dha Hyun; Kim, Jhoon; Koo, Ja-Ho] Yonsei Univ, Dept Atmospher Sci, Seoul, South Korea; [Choi, Taejin; Kim, Seong-Joong] Korea Polar Res Inst, Incheon, South Korea; [Park, Sang Seo] Seoul Natl Univ, Sch Earth &amp; Environm Sci, Seoul, South Korea; [Lee, Yun Gon] Chungnam Natl Univ, Dept Atmospher Sci, Daejeon, South Korea</t>
  </si>
  <si>
    <t>Yonsei University; Korea Polar Research Institute (KOPRI); Seoul National University (SNU); Chungnam National University</t>
  </si>
  <si>
    <t>Koo, JH (corresponding author), Yonsei Univ, Dept Atmospher Sci, Seoul, South Korea.</t>
  </si>
  <si>
    <t>zach45@yonsei.ac.kr</t>
  </si>
  <si>
    <t>Kim, Jhoon/F-6635-2013</t>
  </si>
  <si>
    <t>Kim, Jhoon/0000-0002-1508-9218; Lee, Yun Gon/0000-0002-1187-6206</t>
  </si>
  <si>
    <t>Korea Polar Research Institute (KOPRI) [PE18010]; National Research Foundation of Korea (NRF) - Korean government [NRF-2018R1C1B6008223]</t>
  </si>
  <si>
    <t>Korea Polar Research Institute (KOPRI)(Korea Polar Research Institute of Marine Research Placement (KOPRI)); National Research Foundation of Korea (NRF) - Korean government(National Research Foundation of Korea)</t>
  </si>
  <si>
    <t>This work was supported by the Korea Polar Research Institute (KOPRI, PE18010). Additionally, this work was supported by grant (NRF-2018R1C1B6008223) from the National Research Foundation of Korea (NRF), funded by the Korean government.</t>
  </si>
  <si>
    <t>ONE NEW YORK PLAZA, SUITE 4600, NEW YORK, NY, UNITED STATES</t>
  </si>
  <si>
    <t>2197-4284</t>
  </si>
  <si>
    <t>PROG EARTH PLANET SC</t>
  </si>
  <si>
    <t>Prog. Earth Planet. Sci.</t>
  </si>
  <si>
    <t>APR 5</t>
  </si>
  <si>
    <t>10.1186/s40645-019-0277-y</t>
  </si>
  <si>
    <t>HS3UR</t>
  </si>
  <si>
    <t>WOS:000463788500001</t>
  </si>
  <si>
    <t>Klein, F; Abram, NJ; Curran, MAJ; Goosse, H; Goursaud, S; Masson-Delmotte, V; Moy, A; Neukom, R; Orsi, A; Sjolte, J; Steiger, N; Stenni, B; Werner, M</t>
  </si>
  <si>
    <t>Klein, Francois; Abram, Nerilie J.; Curran, Mark A. J.; Goosse, Hugues; Goursaud, Sentia; Masson-Delmotte, Valerie; Moy, Andrew; Neukom, Raphael; Orsi, Anais; Sjolte, Jesper; Steiger, Nathan; Stenni, Barbara; Werner, Martin</t>
  </si>
  <si>
    <t>Assessing the robustness of Antarctic temperature reconstructions over the past 2 millennia using pseudoproxy and data assimilation experiments</t>
  </si>
  <si>
    <t>SURFACE TEMPERATURES; SOUTHERN-HEMISPHERE; WATER ISOTOPE; SYSTEM MODEL; ICE CORES; CLIMATE; SIMULATIONS; SNOW; VARIABILITY; CONFIGURATION</t>
  </si>
  <si>
    <t>The Antarctic temperature changes over the past millennia remain more uncertain than in many other continental regions. This has several origins: (1) the number of high-resolution ice cores is small, in particular on the East Antarctic plateau and in some coastal areas in East Antarctica; (2) the short and spatially sparse instrumental records limit the calibration period for reconstructions and the assessment of the methodologies; (3) the link between isotope records from ice cores and local climate is usually complex and dependent on the spatial scales and timescales investigated. Here, we use climate model results, pseudoproxy experiments and data assimilation experiments to assess the potential for reconstructing the Antarctic temperature over the last 2 millennia based on a new database of stable oxygen isotopes in ice cores compiled in the framework of Antarctica2k (Stenni et al., 2017). The well-known covariance between delta O-18 and temperature is reproduced in the two isotope-enabled models used (ECHAM5/MPI-OM and ECHAM5-wiso), but is generally weak over the different Antarctic regions, limiting the skill of the reconstructions. Furthermore, the strength of the link displays large variations over the past millennium, further affecting the potential skill of temperature reconstructions based on statistical methods which rely on the assumption that the last decades are a good estimate for longer temperature reconstructions. Using a data assimilation technique allows, in theory, for changes in the delta O-18-temperature link through time and space to be taken into account. Pseudoproxy experiments confirm the benefits of using data assimilation methods instead of statistical methods that provide reconstructions with unrealistic variances in some Antarctic subregions. They also confirm that the relatively weak link between both variables leads to a limited potential for reconstructing temperature based on delta O-18. However, the reconstruction skill is higher and more uniform among reconstruction methods when the reconstruction target is the Antarctic as a whole rather than smaller Antarctic subregions. This consistency between the methods at the large scale is also observed when reconstructing temperature based on the real delta O-18 regional composites of Stenni et al. (2017). In this case, temperature reconstructions based on data assimilation confirm the long-term cooling over Antarctica during the last millennium, and the later onset of anthropogenic warming compared with the simulations without data assimilation, which is especially visible inWest Antarctica. Data assimilation also allows for models and direct observations to be reconciled by reproducing the east-west contrast in the recent temperature trends. This recent warming pattern is likely mostly driven by internal variability given the large spread of individual Paleoclimate Modelling Intercomparison Project (PMIP)/Coupled Model Intercomparison Project (CMIP) model realizations in simulating it. As in the pseudoproxy framework, the reconstruction methods perform differently at the subregional scale, especially in terms of the variance of the time series produced. While the potential benefits of using a data assimilation method instead of a statistical method have been highlighted in a pseudoproxy framework, the instrumental series are too short to confirm this in a realistic setup.</t>
  </si>
  <si>
    <t>[Klein, Francois; Goosse, Hugues] UCL, Georges Lemaitre Ctr Earth &amp; Climate Res TECLIM, ELI, Louvain La Neuve, Belgium; [Abram, Nerilie J.] Australian Natl Univ, Res Sch Earth Sci, Canberra, ACT 2601, Australia; [Abram, Nerilie J.] Australian Natl Univ, ARC Ctr Excellence Climate Extremes, Canberra, ACT 2601, Australia; [Curran, Mark A. J.; Moy, Andrew] Australian Antarctic Div, 203 Channel Highway, Kingston, Tas 7050, Australia; [Curran, Mark A. J.; Moy, Andrew] Univ Tasmania, Antarctic Climate &amp; Ecosyst Cooperat Res Ctr, Hobart, Tas 7001, Australia; [Goursaud, Sentia; Masson-Delmotte, Valerie; Orsi, Anais] CEA Saclay, Lab Sci Climat &amp; Environm, IPSL, CEA,CNRS,UVSQ,UMR 8212, F-91191 Gif Sur Yvette, France; [Goursaud, Sentia] Univ Grenoble Alpes, LGGE, F-38041 Grenoble, France; [Neukom, Raphael] Univ Bern, Oeschger Ctr Climate Change Res, CH-3012 Bern, Switzerland; [Neukom, Raphael] Univ Bern, Inst Geog, CH-3012 Bern, Switzerland; [Sjolte, Jesper] Lund Univ, Dept Geol Quaternary Sci, Solvegatan 12, S-22362 Lund, Sweden; [Steiger, Nathan] Columbia Univ, Lamont Doherty Earth Observ, Palisades, NY USA; [Stenni, Barbara] Ca Foscari Univ Venice, Dept Environm Sci Informat &amp; Stat, Venice, Italy; [Stenni, Barbara] CNR, Inst Dynam Environm Proc, Venice, Italy; [Werner, Martin] Helmholtz Ctr Polar &amp; Marine Res, Alfred Wegener Inst, D-27570 Bremerhaven, Germany</t>
  </si>
  <si>
    <t>Universite Catholique Louvain; Australian National University; Australian National University; Australian Antarctic Division; Antarctic Climate &amp; Ecosystems Cooperative Research Centre (ACE CRC); University of Tasmania; Universite Paris Saclay; Universite Paris Cite; Centre National de la Recherche Scientifique (CNRS); CNRS - National Institute for Earth Sciences &amp; Astronomy (INSU); CEA; Communaute Universite Grenoble Alpes; Universite Grenoble Alpes (UGA); University of Bern; University of Bern; Lund University; Columbia University; Universita Ca Foscari Venezia; Consiglio Nazionale delle Ricerche (CNR); Istituto per la Dinamica dei Processi Ambientali (IDPA-CNR); Helmholtz Association; Alfred Wegener Institute, Helmholtz Centre for Polar &amp; Marine Research</t>
  </si>
  <si>
    <t>Klein, F (corresponding author), UCL, Georges Lemaitre Ctr Earth &amp; Climate Res TECLIM, ELI, Louvain La Neuve, Belgium.</t>
  </si>
  <si>
    <t>francois.klein@uclouvain.be; jesper.sjolte@geol.lu.se</t>
  </si>
  <si>
    <t>Werner, Martin/C-8067-2014; Steiger, Nathan/T-3152-2019; Masson-Delmotte, Valerie L/G-1995-2011; Sjolte, Jesper/N-7833-2019; Abram, Nerilie/AAT-5171-2021; Neukom, Raphael/J-7842-2017</t>
  </si>
  <si>
    <t>Werner, Martin/0000-0002-6473-0243; Masson-Delmotte, Valerie L/0000-0001-8296-381X; Sjolte, Jesper/0000-0003-0870-5331; Abram, Nerilie/0000-0003-1246-2344; Stenni, Barbara/0000-0003-4950-3664; Goursaud Oger, Sentia/0000-0002-9990-4258; Moy, Andrew/0000-0002-7664-9960; Neukom, Raphael/0000-0001-9392-0997; Orsi, Anais/0000-0001-5511-3940</t>
  </si>
  <si>
    <t>Belgian Research Action through Interdisciplinary Networks (BRAIN-be) from the Belgian Science Policy Office [BR/165/A2/Mass2Ant]; US National Science Foundation [OISE-1743738]; Swiss NSF [PZ00P2_154802]; Swiss National Science Foundation (SNF) [PZ00P2_154802] Funding Source: Swiss National Science Foundation (SNF)</t>
  </si>
  <si>
    <t>Belgian Research Action through Interdisciplinary Networks (BRAIN-be) from the Belgian Science Policy Office; US National Science Foundation(National Science Foundation (NSF)); Swiss NSF(Swiss National Science Foundation (SNSF)); Swiss National Science Foundation (SNF)(Swiss National Science Foundation (SNSF))</t>
  </si>
  <si>
    <t>This work was supported by the Belgian Research Action through Interdisciplinary Networks (BRAIN-be) from the Belgian Science Policy Office in the framework of the East Antarctic surface mass balance in the Anthropocene: observations and multiscale modelling (Mass2Ant) project (contract no. BR/165/A2/Mass2Ant). Hugues Goosse is the research director within the F.R.S.-FNRS. Nathan J. Steiger is supported by the US National Science Foundation award no. OISE-1743738. Raphael Neukom is supported by the Swiss NSF (grant no. PZ00P2_154802).</t>
  </si>
  <si>
    <t>10.5194/cp-15-661-2019</t>
  </si>
  <si>
    <t>HR9WP</t>
  </si>
  <si>
    <t>WOS:000463512600001</t>
  </si>
  <si>
    <t>Przeslawski, R; Foster, S; Monk, J; Barrett, N; Bouchet, P; Carroll, A; Langlois, T; Lucieer, V; Williams, J; Bax, N</t>
  </si>
  <si>
    <t>Przeslawski, Rachel; Foster, Scott; Monk, Jacquomo; Barrett, Neville; Bouchet, Phil; Carroll, Andrew; Langlois, Tim; Lucieer, Vanessa; Williams, Joel; Bax, Nicholas</t>
  </si>
  <si>
    <t>A Suite of Field Manuals for Marine Sampling to Monitor Australian Waters</t>
  </si>
  <si>
    <t>multibeam; marine imaging; grab; box corer; epibenthic sled; autonomous under water vehicle; survey design; marine monitoring</t>
  </si>
  <si>
    <t>IMPACTS</t>
  </si>
  <si>
    <t>One of the main challenges in assessing marine biodiversity is the lack of consistent approaches to monitor it. This threatens to undermine ocean best practice in marine monitoring, as it impedes a reduction in the bias and variance of sampled data and restricts the confidence in the advice that can be given. In particular, there is potential for confounding between the monitoring methods, their measured ecological properties, and the questions they seek to answer. Australia has developed significant long-term marine monitoring and observing programs and has one of the largest marine estates, including the world's largest representative network of marine parks. This new network will require ongoing monitoring and evaluation, beyond what direct funding can support, which needs to be integrated in a standardized way with other national programs to develop sufficient monitoring capacity. The aim of this paper is to describe the process undertaken in developing a suite of field manuals that provide Standard Operating Procedures (SOPs) for marine sampling in Australian waters so that data are comparable over time and space, thereby supporting a robust, cost-effective, and objective national monitoring program. We encourage readers to refer to the complete manuals of interest at www.nespmarine.edu.au/field-manuals . We generally limit SOP development to benthic or demersal sampling, (multibeam, autonomous underwater vehicles, baited remoted underwater video (BRUV), towed imagery, grabs and box corers, sleds and trawls), with a few exceptions (e.g., pelagic BRUVs). Collaboration was a key characteristic of our approach so rather than single groups trying to impose their standards, more than 70 individuals from over 30 organizations contributed to the first version of this field manual package. We also discuss the challenges that arose while developing these national SOPs, the associated solutions that were implemented, and the plans for ensuring their long-term maintenance and national and international uptake. We anticipate that this paper will contribute to international collaborations by evoking valuable suggestions and sharing of lessons learnt from other national initiatives so that we might work toward a global ocean best practice for biological and geoscientific monitoring of the marine environment.</t>
  </si>
  <si>
    <t>[Przeslawski, Rachel; Carroll, Andrew] Geosci Australia, Natl Earth &amp; Marine Observat Branch, Canberra, ACT, Australia; [Foster, Scott; Bax, Nicholas] CSIRO Data61, Hobart, Tas, Australia; [Monk, Jacquomo; Barrett, Neville; Lucieer, Vanessa] Univ Tasmania, Inst Marine &amp; Antarctic Studies, Hobart, Tas, Australia; [Bouchet, Phil; Langlois, Tim] Univ Western Australia, UWA Oceans Inst, Sch Biol Sci, Crawley, WA, Australia; [Bouchet, Phil] Bangor Univ, Sch Ocean Sci, Bangor, Gwynedd, Wales; [Williams, Joel] NSW Dept Primary Ind, Taylors Beach, NSW, Australia; [Bax, Nicholas] CSIRO Oceans &amp; Atmosphere, Hobart, Tas, Australia</t>
  </si>
  <si>
    <t>Geoscience Australia; Commonwealth Scientific &amp; Industrial Research Organisation (CSIRO); University of Tasmania; University of Western Australia; Bangor University; NSW Department of Primary Industries; Commonwealth Scientific &amp; Industrial Research Organisation (CSIRO)</t>
  </si>
  <si>
    <t>Przeslawski, R (corresponding author), Geosci Australia, Natl Earth &amp; Marine Observat Branch, Canberra, ACT, Australia.</t>
  </si>
  <si>
    <t>rachel.przeslawski@ga.gov.au</t>
  </si>
  <si>
    <t>Przeslawski, Rachel/IRZ-9563-2023; Bouchet, Phil J/I-4360-2019; Williams, Joel/R-8997-2019; lucieer, vanessa l/D-1697-2009; Foster, Scott/E-9311-2010; Barrett, Neville/J-7593-2014</t>
  </si>
  <si>
    <t>Bouchet, Phil J/0000-0002-2144-2049; Williams, Joel/0000-0002-4173-3855; Foster, Scott/0000-0002-6719-8002; Carroll, Andrew/0000-0003-0111-9129; Barrett, Neville/0000-0002-6167-1356; Przeslawski, Rachel/0000-0003-0269-3755</t>
  </si>
  <si>
    <t>Australian Government's National Environmental Science Program (NESP)</t>
  </si>
  <si>
    <t>Australian Government's National Environmental Science Program (NESP)(Australian Government)</t>
  </si>
  <si>
    <t>This field manual package would not have been possible without the expertise of our many collaborators listed in Appendix A: www.nespmarine.edu.au/sites/default/files/_PUBLIC_/Field Manuals_NESPMarineHub_Appendices_v1. pdf. This work was undertaken for the Marine Biodiversity Hub, a collaborative partnership supported through funding from the Australian Government's National Environmental Science Program (NESP). NESPMarine Biodiversity Hub partners include the University of Tasmania; CSIRO, Geoscience Australia, Australian Institute of Marine Science, Museum Victoria, Charles Darwin University, The University of Western Australia, Integrated Marine Observing System, NSW Office of Environment and Heritage, NSW Department of Primary Industries. Scott Nichol and several reviewers provided valuable comments on this paper. RP and AC publish with the permission of the CEO, Geoscience Australia.</t>
  </si>
  <si>
    <t>10.3389/fmars.2019.00177</t>
  </si>
  <si>
    <t>HT5LU</t>
  </si>
  <si>
    <t>WOS:000464606100001</t>
  </si>
  <si>
    <t>Null, KA; Corbett, DR; Crenshaw, J; Peterson, RN; Peterson, LE; Lyons, WB</t>
  </si>
  <si>
    <t>Null, Kimberly A.; Corbett, D. Reide; Crenshaw, Jared; Peterson, Richard N.; Peterson, Leigha E.; Lyons, W. Berry</t>
  </si>
  <si>
    <t>Groundwater discharge to the western Antarctic coastal ocean</t>
  </si>
  <si>
    <t>POLAR RESEARCH</t>
  </si>
  <si>
    <t>Groundwater; subglacial meltwater; western Antarctic Peninsula; radium</t>
  </si>
  <si>
    <t>SUBMARINE GROUNDWATER; SOLUTE PROVENANCE; RADIUM ISOTOPES; WATERS; DYNAMICS; RA-223; INPUTS; ZONE; NUTRIENTS; PENINSULA</t>
  </si>
  <si>
    <t>Submarine groundwater discharge (SGD) measurements have been limited along the Antarctic coast, although groundwater discharge is becoming recognized as an important process in the Antarctic. Quantifying this meltwater pathway is important for hydrologic budgets, ice mass balances and solute delivery to the coastal ocean. Here, we estimate the combined discharge of subglacial and submarine groundwater to the Antarctic coastal ocean. SGD, including subglacial and submarine groundwater, is quantified along the WAP at the Marr Glacier terminus using the activities of naturally occurring radium isotopes (Ra-223, Ra-224). Estimated SGD fluxes from a Ra-224 mass balance ranged from (0.41 +/- 0.14) x 10(4) and (8.2 +/- 2.3) x 10(4)m(3) d(-1). Using a salinity mass balance, we estimate SGD contributes up to 32% of the total freshwater to the coastal environment near Palmer Station. This study suggests that a large portion of the melting glacier may be infiltrating into the bedrock and being discharged to coastal waters along the WAP. Meltwater infiltrating as groundwater at glacier termini is an important solute delivery mechanism to the nearshore environment that can influence biological productivity. More importantly, quantifying this meltwater pathway may be worthy of attention when predicting future impacts of climate change on retreat of tidewater glaciers.</t>
  </si>
  <si>
    <t>[Null, Kimberly A.; Corbett, D. Reide] East Carolina Univ, Inst Coastal Sci &amp; Policy, Greenville, NC 27858 USA; [Corbett, D. Reide; Crenshaw, Jared] East Carolina Univ, Dept Geol Sci, Greenville, NC 27858 USA; [Peterson, Richard N.; Peterson, Leigha E.] Coastal Carolina Univ, Dept Coastal &amp; Marine Syst Sci, Conway, SC USA; [Lyons, W. Berry] Ohio State Univ, Byrd Polar &amp; Climate Res Ctr, Columbus, OH 43210 USA</t>
  </si>
  <si>
    <t>University of North Carolina; East Carolina University; University of North Carolina; East Carolina University; Coastal Carolina University; University System of Ohio; Ohio State University</t>
  </si>
  <si>
    <t>Null, KA (corresponding author), Moss Landing Marine Labs, 8272 Moss Landing Rd, Moss Landing, CA 95039 USA.</t>
  </si>
  <si>
    <t>knull@mlml.calstate.edu</t>
  </si>
  <si>
    <t>Corbett, David/0000-0001-9205-8362</t>
  </si>
  <si>
    <t>National Science Foundation [PLR-1142090, PLR-1142059]</t>
  </si>
  <si>
    <t>National Science Foundation(National Science Foundation (NSF))</t>
  </si>
  <si>
    <t>This project was funded by National Science Foundation grants to DRC and KAN (PLR-1142090) and to WBL (PLR-1142059).</t>
  </si>
  <si>
    <t>0800-0395</t>
  </si>
  <si>
    <t>1751-8369</t>
  </si>
  <si>
    <t>POLAR RES</t>
  </si>
  <si>
    <t>Polar Res.</t>
  </si>
  <si>
    <t>APR 4</t>
  </si>
  <si>
    <t>10.33265/polar.v38.3497</t>
  </si>
  <si>
    <t>Ecology; Geosciences, Multidisciplinary; Oceanography</t>
  </si>
  <si>
    <t>Environmental Sciences &amp; Ecology; Geology; Oceanography</t>
  </si>
  <si>
    <t>IH1DM</t>
  </si>
  <si>
    <t>WOS:000474231500001</t>
  </si>
  <si>
    <t>Mabin, CJT; Johnson, CR; Wright, JT</t>
  </si>
  <si>
    <t>Mabin, Christopher J. T.; Johnson, Craig R.; Wright, Jeffrey T.</t>
  </si>
  <si>
    <t>Physiological response to temperature, light, and nitrates in the giant kelp Macrocystis pyrifera from Tasmania, Australia</t>
  </si>
  <si>
    <t>Kelp; Climate change; Macrocystis pyrifera; Relative growth; Photosynthesis; Physiology; Morphology</t>
  </si>
  <si>
    <t>CLIMATE-CHANGE; LAMINARIA-LONGICRURIS; NITROGEN UPTAKE; GROWTH-RATE; ALGAE; RECRUITMENT; PHOTOINHIBITION; PHOTOSYNTHESIS; TOLERANCE; ACCLIMATION</t>
  </si>
  <si>
    <t>Climate change is characterised by multiple abiotic forcings acting simultaneously on biotic systems. In marine systems, temperature appears to drive much of the observed change in biotic communities subject to climate change, but this may reflect the focus of most studies only on temperature without consideration of other environmental variables affected by climate change. The giant kelp Macrocystis pyrifera was once abundant in eastern Tasmania, forming extensive habitats of ecological and economic importance, but recent extensive population decline has occurred. Southerly incursion of warm oligotrophic East Australian Current (EAC) water has increased in frequency and intensity into this region, which has warmed similar to 4 times the global average, and the warming trend is predicted to continue. This study investigated the single and combined effects of temperature, light, and nitrate availability on the physiology of juvenile M. pyrifera sporophytes in a laboratory experiment. Determination of relative growth rate, photosystem II characteristics, pigments, elemental chemistry, and nucleic acid characteristics over 28 d showed that all experimental factors affected sporeling physiology. Temperature and light drove much of the observed variation related to performance characteristics, and rapid deterioration of kelp tissue was a consequence of temperature stress (high temperature), photoinhibition (high light), and low light, accompanied by impaired photosynthetic efficiency and increased RNA concentration, presumably associated with production of photoprotective proteins. Surprisingly, higher relative growth rates were observed in low-nitrate treatments. These findings suggest that negative effects of temperature on M. pyrifera populations will be mediated by local variation in light and nutrient conditions.</t>
  </si>
  <si>
    <t>[Mabin, Christopher J. T.] Univ Tasmania, Inst Marine &amp; Antarctic Studies, Launceston, Tas 7250, Australia; [Johnson, Craig R.; Wright, Jeffrey T.] Univ Tasmania, Inst Marine &amp; Antarctic Studies, Hobart, Tas 7001, Australia</t>
  </si>
  <si>
    <t>University of Tasmania; University of Tasmania</t>
  </si>
  <si>
    <t>Mabin, CJT (corresponding author), Univ Tasmania, Inst Marine &amp; Antarctic Studies, Launceston, Tas 7250, Australia.</t>
  </si>
  <si>
    <t>chris.mabin@utas.edu.au</t>
  </si>
  <si>
    <t>Wright, Jeffrey/J-7536-2014</t>
  </si>
  <si>
    <t>Wright, Jeffrey/0000-0002-1085-4582; Mabin, Christopher/0000-0002-2311-5893</t>
  </si>
  <si>
    <t>Australian Research Council [DP1096573]; UTAS PhD program; Institute for Marine and Antarctic Studies, University of Tasmania; Australian Research Council [DP1096573] Funding Source: Australian Research Council</t>
  </si>
  <si>
    <t>Australian Research Council(Australian Research Council); UTAS PhD program; Institute for Marine and Antarctic Studies, University of Tasmania; Australian Research Council(Australian Research Council)</t>
  </si>
  <si>
    <t>This research was supported by funds awarded to C.J. and J.W. from the Australian Research Council (DP1096573). C.M. was supported by the UTAS PhD program and received scholarship support from the Institute for Marine and Antarctic Studies, University of Tasmania. We also thank Emma Flukes, Masayuki Tatsumi, and Rebecca Mueller for assistance in the field and laboratory.</t>
  </si>
  <si>
    <t>10.3354/meps12900</t>
  </si>
  <si>
    <t>HT4FU</t>
  </si>
  <si>
    <t>Green Submitted, Bronze</t>
  </si>
  <si>
    <t>WOS:000464520200001</t>
  </si>
  <si>
    <t>Niederberger, TD; Bottos, EM; Sohm, JA; Gunderson, T; Parker, A; Coyne, KJ; Capone, DG; Carpenter, EJ; Cary, SC</t>
  </si>
  <si>
    <t>Niederberger, Thomas D.; Bottos, Eric M.; Sohm, Jill A.; Gunderson, Troy; Parker, Alex; Coyne, Kathryn J.; Capone, Douglas G.; Carpenter, Edward J.; Cary, Stephen Craig</t>
  </si>
  <si>
    <t>Rapid Microbial Dynamics in Response to an Induced Wetting Event in Antarctic Dry Valley Soils</t>
  </si>
  <si>
    <t>Dry Valleys; climate change; cyanobacteria; DNA fingerprinting; wetting</t>
  </si>
  <si>
    <t>GLACIAL MELTWATER STREAM; TAYLOR VALLEY; VICTORIA LAND; COMMUNITY COMPOSITION; TRANSIENT STORAGE; ORGANIC RESOURCES; SALINITY GRADIENT; HYPORHEIC ZONE; DIVERSITY; BACTERIAL</t>
  </si>
  <si>
    <t>The cold deserts of the McMurdo Dry Valleys (MDV), Antarctica, host a high level of microbial diversity. Microbial composition and biomass in arid vs. ephemerally wetted regions are distinctly different, with wetted communities representing hot spots of microbial activity that are important zones for biogeochemical cycling. While climatic change is likely to cause wetting in areas not historically subject to wetting events, the responses of microorganisms inhabiting arid soils to water addition is unknown. The purpose of this study was to observe how an associated, yet non-wetted microbial community responds to an extended addition of water. Water from a stream was diverted to an adjacent area of arid soil with changes in microbial composition and activities monitored via molecular and biochemical methods over 7 weeks. The frequency of genetic signatures related to both prokaryotic and eukaryotic organisms adapted to MDV aquatic conditions increased during the limited 7 week period, indicating that the soil community was transitioning into a typical high-productivity MDV community. This work is consistent with current predictions that MDV microbial communities in arid regions are highly sensitive to climate change, and further supports the notion that changes in community structure and associated biogeochemical cycling may occur much more rapidly than predicted.</t>
  </si>
  <si>
    <t>[Niederberger, Thomas D.; Coyne, Kathryn J.; Cary, Stephen Craig] Univ Delaware, Coll Earth Ocean &amp; Environm, Lewes, DE 19958 USA; [Bottos, Eric M.; Cary, Stephen Craig] Univ Waikato, Int Ctr Terr Antarctic Res, Sch Sci, Hamilton, New Zealand; [Bottos, Eric M.] Thompson Rivers Univ, Dept Biol Sci, Kamloops, BC, Canada; [Sohm, Jill A.; Gunderson, Troy; Capone, Douglas G.] Univ Southern Calif, Wrigley Inst Environm Studies, Dept Biol Sci, Los Angeles, CA USA; [Parker, Alex; Carpenter, Edward J.] San Francisco State Univ, Romberg Tiburon Ctr, Tiburon, CA USA; [Sohm, Jill A.] Univ Southern Calif, Environm Studies Program, Los Angeles, CA USA; [Parker, Alex] Calif Maritime Acad, Vallejo, CA USA</t>
  </si>
  <si>
    <t>University of Delaware; University of Waikato; University of Southern California; California State University System; San Francisco State University; University of Southern California; California State University System; California Maritime Academy</t>
  </si>
  <si>
    <t>Cary, SC (corresponding author), Univ Delaware, Coll Earth Ocean &amp; Environm, Lewes, DE 19958 USA.;Cary, SC (corresponding author), Univ Waikato, Int Ctr Terr Antarctic Res, Sch Sci, Hamilton, New Zealand.</t>
  </si>
  <si>
    <t>caryc@waikato.ac.nz</t>
  </si>
  <si>
    <t>Parker, Alexander/0000-0001-7948-1457; Cary, Stephen/0000-0002-2876-2387</t>
  </si>
  <si>
    <t>National Science Foundation (NSF) [ANT 0739648, 1246292, ANT 0739633, 1246102, ANT 0739640]; Antarctica New Zealand; New Zealand Foundation for Research, Science and Technology [UOWX0710]; New Zealand Ministry of Business, Innovation and Employment [UOWX1401]; New Zealand Ministry of Business, Innovation &amp; Employment (MBIE) [UOWX1401] Funding Source: New Zealand Ministry of Business, Innovation &amp; Employment (MBIE)</t>
  </si>
  <si>
    <t>National Science Foundation (NSF)(National Science Foundation (NSF)); Antarctica New Zealand; New Zealand Foundation for Research, Science and Technology(New Zealand Foundation for Research, Science and Technology); New Zealand Ministry of Business, Innovation and Employment(New Zealand Ministry of Business, Innovation and Employment (MBIE)); New Zealand Ministry of Business, Innovation &amp; Employment (MBIE)(New Zealand Ministry of Business, Innovation and Employment (MBIE))</t>
  </si>
  <si>
    <t>This research was supported by National Science Foundation (NSF) grants ANT 0739648 and 1246292 (to SC), ANT 0739633 and 1246102 (to DC), ANT 0739640 (to EC). The work was also supported by a logistics grants from Antarctica New Zealand, from the New Zealand Foundation for Research, Science and Technology (UOWX0710), and the New Zealand Ministry of Business, Innovation and Employment (UOWX1401) to SC in support of the NZTABS program.</t>
  </si>
  <si>
    <t>10.3389/fmicb.2019.00621</t>
  </si>
  <si>
    <t>HR8HH</t>
  </si>
  <si>
    <t>WOS:000463397200001</t>
  </si>
  <si>
    <t>Heudre, D; Wetzel, CE; Van de Vijver, B; Moreau, L; Ector, L</t>
  </si>
  <si>
    <t>Heudre, David; Wetzel, Carlos E.; Van de Vijver, Bart; Moreau, Laura; Ector, Luc</t>
  </si>
  <si>
    <t>Two sub-Antarctic and Northern Europe distributed diatom species found in a middle-mountain lake in France</t>
  </si>
  <si>
    <t>BOTANY LETTERS</t>
  </si>
  <si>
    <t>Achnanthidium sublineare; Psammothidium abundans; diatoms; France; lake; Vosges</t>
  </si>
  <si>
    <t>FRESH-WATER DIATOM; EAST ANTARCTICA; LARSEMANN HILLS; RAUER ISLANDS; SALINE LAKES; COMMUNITIES; BACILLARIOPHYTA; BIOGEOGRAPHY; URBANIZATION; ASSEMBLAGES</t>
  </si>
  <si>
    <t>During a survey of the diatom flora of Longemer Lake (Xonrupt-Longemer, Vosges, France), two species with an unusual biogeographical distribution were observed. Psammothidium abundans, previously considered being a sub-Antarctic endemic but today also found in rivers in Sweden, Ireland and the UK, and Achnanthidium sublineare, up to now confined to northern Europe, were identified. These are the first records of these rare diatom species in France (A. sublineare) and in a European lake (P. abundans). Since there are only a few illustrations of these two species in the literature, both populations are illustrated using light and scanning electron microscopy in order to provide a detailed morphological account. Details on their actual biogeographical distribution are added.</t>
  </si>
  <si>
    <t>[Heudre, David; Moreau, Laura] Direct Regionale Environm Amenagement &amp; Logement, 2 Rue Augustin Fresnel,CS 95038, F-57071 Metz 03, France; [Wetzel, Carlos E.; Ector, Luc] Luxembourg Inst Sci &amp; Technol, Environm Res &amp; Innovat ERIN Dept, Belvaux, Grand Duchy Lux, Luxembourg; [Van de Vijver, Bart] Meise Bot Garden, Res Dept, Meise, Belgium; [Van de Vijver, Bart] Univ Antwerp, Dept Biol, Antwerp, Belgium</t>
  </si>
  <si>
    <t>Luxembourg Institute of Science &amp; Technology; University of Antwerp</t>
  </si>
  <si>
    <t>Heudre, D (corresponding author), Direct Regionale Environm Amenagement &amp; Logement, 2 Rue Augustin Fresnel,CS 95038, F-57071 Metz 03, France.</t>
  </si>
  <si>
    <t>david.heudre@developpement-durable.gouv.fr</t>
  </si>
  <si>
    <t>; Wetzel, Carlos Eduardo/A-2839-2015</t>
  </si>
  <si>
    <t>Ector, Luc/0000-0002-4573-9445; Wetzel, Carlos Eduardo/0000-0001-5330-0494; Van de Vijver, Bart/0000-0002-6244-1886</t>
  </si>
  <si>
    <t>LIST - Luxembourg Institute of Science and Technology</t>
  </si>
  <si>
    <t>Funding for this research was partly provided in the framework of the project DIATOMS (LIST - Luxembourg Institute of Science and Technology).</t>
  </si>
  <si>
    <t>SOC BOTANIQUE FRANCE</t>
  </si>
  <si>
    <t>LILLE-CEDEX</t>
  </si>
  <si>
    <t>FACULTE DE PHARMACIE, BP 83, F-59006 LILLE-CEDEX, FRANCE</t>
  </si>
  <si>
    <t>2381-8107</t>
  </si>
  <si>
    <t>2381-8115</t>
  </si>
  <si>
    <t>BOT LETT</t>
  </si>
  <si>
    <t>Botany Lett.</t>
  </si>
  <si>
    <t>APR 3</t>
  </si>
  <si>
    <t>10.1080/23818107.2019.1584864</t>
  </si>
  <si>
    <t>IS7KE</t>
  </si>
  <si>
    <t>WOS:000482327900010</t>
  </si>
  <si>
    <t>Miri, S; Naghdi, M; Rouissi, T; Brar, SK; Martel, R</t>
  </si>
  <si>
    <t>Miri, Saba; Naghdi, Mitra; Rouissi, Tarek; Brar, Satinder Kaur; Martel, Richard</t>
  </si>
  <si>
    <t>Recent biotechnological advances in petroleum hydrocarbons degradation under cold climate conditions: A review</t>
  </si>
  <si>
    <t>CRITICAL REVIEWS IN ENVIRONMENTAL SCIENCE AND TECHNOLOGY</t>
  </si>
  <si>
    <t>Bioremediation; biotechnological techniques; cold climate; petroleum contamination</t>
  </si>
  <si>
    <t>CONTAMINATED ANTARCTIC SOIL; TERRA-NOVA BAY; CRUDE-OIL; DEGRADING BACTERIA; ANAEROBIC DEGRADATION; MICROBIAL COMMUNITY; XYLENE MONOOXYGENASE; ORGANIC POLLUTANTS; ADAPTED BACTERIA; GENOME SEQUENCE</t>
  </si>
  <si>
    <t>In recent years, there have been advances in bioremediation of pollutants with the goal of effective clean-up of environments in an eco-friendly and cost-effective approach. For contamination removal at cold climate sites, bioremediation approaches are appealing due to their potential to be more cost-effective and efficient than alternative, more energy intensive approaches. Recent studies showed both aerobic and anaerobic biodegradation processes are important at cold climate sites. Most of these works are focused on biostimulation and bioaugmentation involved in adding nutrients and hydrocarbon degraders at cold climate sites, but studies on other methods such as the use of biosurfactant, genetically engineered bacteria, cold-adapted enzymes and immobilization method are still limited. This review selectively provides information on bioremediation under aerobic and anaerobic conditions and recent biotechnological advances in bioremediation at cold climate sites. However, the limitations and challenges for petroleum hydrocarbons bioremediation in cold climate remain at large. Further research and field demonstrations are required to determine which method is more effective for biodegradation of petroleum contaminates under such conditions.</t>
  </si>
  <si>
    <t>[Miri, Saba; Naghdi, Mitra; Rouissi, Tarek; Brar, Satinder Kaur; Martel, Richard] Univ Quebec, INRS ETE, 490 Rue Couronne, Quebec City, PQ G1K 9A9, Canada</t>
  </si>
  <si>
    <t>University of Quebec; Institut national de la recherche scientifique (INRS)</t>
  </si>
  <si>
    <t>Brar, SK (corresponding author), Univ Quebec, INRS ETE, 490 Rue Couronne, Quebec City, PQ G1K 9A9, Canada.</t>
  </si>
  <si>
    <t>satinder.brar@ete.inrs.ca</t>
  </si>
  <si>
    <t>Rouissi, Tarek/0000-0001-9039-213X; Miri, Saba/0000-0003-2295-6719</t>
  </si>
  <si>
    <t>Natural Sciences and Engineering Research Council of Canada [355254, 447075]; Techno-Rem Inc.; Natural Sciences and Engineering Research Council of Canada (CRD)</t>
  </si>
  <si>
    <t>Natural Sciences and Engineering Research Council of Canada(Natural Sciences and Engineering Research Council of Canada (NSERC)CGIAR); Techno-Rem Inc.; Natural Sciences and Engineering Research Council of Canada (CRD)(Natural Sciences and Engineering Research Council of Canada (NSERC))</t>
  </si>
  <si>
    <t>The authors are sincerely thankful to the Natural Sciences and Engineering Research Council of Canada (Discovery Grant 355254, CRD Grant and Strategic Grant 447075) and Techno-Rem Inc. for financial support. The views or opinions expressed in this article are those of the authors.</t>
  </si>
  <si>
    <t>TAYLOR &amp; FRANCIS INC</t>
  </si>
  <si>
    <t>PHILADELPHIA</t>
  </si>
  <si>
    <t>530 WALNUT STREET, STE 850, PHILADELPHIA, PA 19106 USA</t>
  </si>
  <si>
    <t>1064-3389</t>
  </si>
  <si>
    <t>1547-6537</t>
  </si>
  <si>
    <t>CRIT REV ENV SCI TEC</t>
  </si>
  <si>
    <t>Crit. Rev. Environ. Sci. Technol.</t>
  </si>
  <si>
    <t>10.1080/10643389.2018.1552070</t>
  </si>
  <si>
    <t>Environmental Sciences</t>
  </si>
  <si>
    <t>Environmental Sciences &amp; Ecology</t>
  </si>
  <si>
    <t>HY0XB</t>
  </si>
  <si>
    <t>WOS:000467836200001</t>
  </si>
  <si>
    <t>Shishido, CM; Woods, HA; Lane, SJ; Toh, MWA; Tobalske, BW; Moran, AL</t>
  </si>
  <si>
    <t>Shishido, Caitlin M.; Woods, H. Arthur; Lane, Steven J.; Toh, Ming Wei A.; Tobalske, Bret W.; Moran, Amy L.</t>
  </si>
  <si>
    <t>Polar gigantism and the oxygen-temperature hypothesis: a test of upper thermal limits to body size in Antarctic pycnogonids</t>
  </si>
  <si>
    <t>PROCEEDINGS OF THE ROYAL SOCIETY B-BIOLOGICAL SCIENCES</t>
  </si>
  <si>
    <t>arthropod; polar gigantism; pycnogonids; temperature; oxygen; cuticle</t>
  </si>
  <si>
    <t>ADAPTATION; METABOLISM; ECTOTHERMS; TOLERANCE; EVOLUTION</t>
  </si>
  <si>
    <t>The extreme and constant cold of the Southern Ocean has led to many unusual features of the Antarctic fauna. One of these, polar gigantism, is thought to have arisen from a combination of cold-driven low metabolic rates and high oxygen availability in the polar oceans (the 'oxygen-temperature hypothesis'). If the oxygen-temperature hypothesis indeed underlies polar gigantism, then polar giants may be particularly susceptible to warming temperatures. We tested the effects of temperature on performance using two genera of giant Antarctic sea spiders (Pycnogonida), Colossendeis and Ammothea, across a range of body sizes. We tested performance at four temperatures spanning ambient (-1.8 degrees C) to 9 degrees C. Individuals from both genera were highly sensitive to elevated temperature, but we found no evidence that large-bodied pycnogonids were more affected by elevated temperatures than small individuals; thus, these results do not support the predictions of the oxygen-temperature hypothesis. When we compared two species, Colossendeis megalonyx and Ammothea glacialis, C. megalonyx maintained performance at considerably higher temperatures. Analysis of the cuticle showed that as body size increases, porosity increases as well, especially in C. megalonyx, which may compensate for the increasing metabolic demand and longer diffusion distances of larger animals by facilitating diffusive oxygen supply.</t>
  </si>
  <si>
    <t>[Shishido, Caitlin M.; Toh, Ming Wei A.; Moran, Amy L.] Univ Hawaii, Dept Biol, Honolulu, HI 96822 USA; [Woods, H. Arthur; Lane, Steven J.; Tobalske, Bret W.] Univ Montana, Div Biol Sci, Missoula, MT 59812 USA</t>
  </si>
  <si>
    <t>University of Hawaii System; University of Montana System; University of Montana</t>
  </si>
  <si>
    <t>Shishido, CM (corresponding author), Univ Hawaii, Dept Biol, Honolulu, HI 96822 USA.</t>
  </si>
  <si>
    <t>csmariko@hawaii.edu</t>
  </si>
  <si>
    <t>Moran, Amy L/F-7072-2011</t>
  </si>
  <si>
    <t>Moran, Amy/0000-0002-0604-5096; Shishido, Caitlin/0000-0003-2189-4122</t>
  </si>
  <si>
    <t>NSF [PLR-1341476, PLR-1341485]</t>
  </si>
  <si>
    <t>Funding was provided by NSF grant nos. PLR-1341476 to A.L.M. and PLR-1341485 to H.A.W. and B.W.T.</t>
  </si>
  <si>
    <t>ROYAL SOC</t>
  </si>
  <si>
    <t>6-9 CARLTON HOUSE TERRACE, LONDON SW1Y 5AG, ENGLAND</t>
  </si>
  <si>
    <t>0962-8452</t>
  </si>
  <si>
    <t>1471-2954</t>
  </si>
  <si>
    <t>P ROY SOC B-BIOL SCI</t>
  </si>
  <si>
    <t>Proc. R. Soc. B-Biol. Sci.</t>
  </si>
  <si>
    <t>10.1098/rspb.2019.0124</t>
  </si>
  <si>
    <t>Biology; Ecology; Evolutionary Biology</t>
  </si>
  <si>
    <t>Life Sciences &amp; Biomedicine - Other Topics; Environmental Sciences &amp; Ecology; Evolutionary Biology</t>
  </si>
  <si>
    <t>HU7SL</t>
  </si>
  <si>
    <t>Bronze, Green Published</t>
  </si>
  <si>
    <t>WOS:000465482600016</t>
  </si>
  <si>
    <t>Siegelman, L; O'Toole, M; Flexas, M; Rivière, P; Klein, P</t>
  </si>
  <si>
    <t>Siegelman, Lia; O'Toole, Malcolm; Flexas, Mar; Riviere, Pascal; Klein, Patrice</t>
  </si>
  <si>
    <t>Submesoscale ocean fronts act as biological hotspot for southern elephant seal</t>
  </si>
  <si>
    <t>ANTARCTIC CIRCUMPOLAR CURRENT; AREA-RESTRICTED SEARCH; FORAGING BEHAVIOR; MIROUNGA-LEONINA; MESOSCALE; PREDATOR; VARIABILITY; TURBULENCE; FEATURES; PASSAGE</t>
  </si>
  <si>
    <t>The area west of the Kerguelen Islands (20-70 degrees E/45-60 degrees S) is characterized by a weak mesoscale activity except for a standing meander region of the Antarctic Circumpolar Current (ACC) localized between 20 and 40 degrees E. A unique bio-physical dataset at high-resolution collected by a southern elephant seal (Mirounga leonina) reveals a conspicuous increase in foraging activity at the standing meander site up to 5 times larger than during the rest of her three-month trip west of the Kerguelen Islands. Here, we propose a physical explanation for such high biological activity based on the study of small-scale fronts with scales of 5 to 20 km, also called submesoscales. The standing meander is associated with intensified frontal dynamics at submesoscale, not observed in the rest of the region. Results shed new light on the spatial distribution of submesoscale fronts in the under-sampled area west of the Kerguelen plateau and emphasize their importance for upper trophic levels. Despite that most elephant seals target foraging grounds east of the Kerguelen Plateau, our findings suggest that excursions to the west are not accidental, and may be explained by the recurrently elevated physical and biological activity of the site. As such, other standing meanders of the ACC may also act as biological hotspots where trophic interactions are stimulated by submesoscale turbulence.</t>
  </si>
  <si>
    <t>[Siegelman, Lia; Riviere, Pascal] Univ Brest, CNRS, IRD, Ifremer, Plouzane, France; [Siegelman, Lia; Flexas, Mar; Klein, Patrice] CALTECH, Pasadena, CA 91125 USA; [Siegelman, Lia; Klein, Patrice] CALTECH, Jet Prop Lab, Pasadena, CA 91125 USA; [O'Toole, Malcolm] Univ Western Australia, Indian Ocean Marine Res Ctr, UWA Oceans Inst, Crawley, WA 6009, Australia</t>
  </si>
  <si>
    <t>Ifremer; Centre National de la Recherche Scientifique (CNRS); Universite de Bretagne Occidentale; Institut de Recherche pour le Developpement (IRD); California Institute of Technology; National Aeronautics &amp; Space Administration (NASA); NASA Jet Propulsion Laboratory (JPL); California Institute of Technology; University of Western Australia</t>
  </si>
  <si>
    <t>Siegelman, L (corresponding author), Univ Brest, CNRS, IRD, Ifremer, Plouzane, France.;Siegelman, L (corresponding author), CALTECH, Pasadena, CA 91125 USA.;Siegelman, L (corresponding author), CALTECH, Jet Prop Lab, Pasadena, CA 91125 USA.</t>
  </si>
  <si>
    <t>lsiegelman@caltech.edu</t>
  </si>
  <si>
    <t>Klein, Patrice/M-4279-2015; Flexas, Mar/GOV-3308-2022</t>
  </si>
  <si>
    <t>Klein, Patrice/0000-0002-3089-3896; Siegelman, Lia/0000-0003-3330-082X; Flexas, Mar/0000-0002-0617-3004</t>
  </si>
  <si>
    <t>CNES (OSTST-OSIW); Laboratoire d'Excellence LabexMER [ANR-10-LABX-19]; joint CNES-Region Bretagne doctoral grant; NASA [NNX15AG42G]; NASA-CNES SWOT mission; CNES-TOSCA project Elephant seals as Oceanographic Samplers of submesoscale features; French Polar Institute (Institut Paul Emile Victor, IPEV) [109, 1201]; NASA [803355, NNX15AG42G] Funding Source: Federal RePORTER</t>
  </si>
  <si>
    <t>CNES (OSTST-OSIW); Laboratoire d'Excellence LabexMER; joint CNES-Region Bretagne doctoral grant; NASA(National Aeronautics &amp; Space Administration (NASA)); NASA-CNES SWOT mission; CNES-TOSCA project Elephant seals as Oceanographic Samplers of submesoscale features; French Polar Institute (Institut Paul Emile Victor, IPEV); NASA(National Aeronautics &amp; Space Administration (NASA))</t>
  </si>
  <si>
    <t>This work was partly funded by the CNES (OSTST-OSIW) and the Laboratoire d'Excellence LabexMER (ANR-10-LABX-19). L.S. is a NASA-JPL JVSRP affiliate and is supported by a joint CNES-Region Bretagne doctoral grant. M.F. is supported by NASA grant NNX15AG42G. P.K. is supported by the NASA-CNES SWOT mission and a NASA Senior Fellowship. This study was also supported by the CNES-TOSCA project Elephant seals as Oceanographic Samplers of submesoscale features led by C. Guinet. The authors would like to thank the French Polar Institute (Institut Paul Emile Victor, IPEV) (Progams 109 and 1201) and CNES-TOSCA as well as Christophe Guinet and all the volunteers involved in the research program on southern elephant seals in Kerguelen. The authors would also like to thank Baptiste Picard for providing the elephant seal data, Tandi Reason Dahl for realizing the summary schematic (Figure 4) and two anonymous reviewers who considerably helped improve the manuscript.</t>
  </si>
  <si>
    <t>10.1038/s41598-019-42117-w</t>
  </si>
  <si>
    <t>HR5HU</t>
  </si>
  <si>
    <t>Green Published, Green Submitted, gold</t>
  </si>
  <si>
    <t>WOS:000463178500049</t>
  </si>
  <si>
    <t>Sward, D; Monk, J; Barrett, N</t>
  </si>
  <si>
    <t>Sward, Darryn; Monk, Jacquomo; Barrett, Neville</t>
  </si>
  <si>
    <t>A Systematic Review of Remotely Operated Vehicle Surveys for Visually Assessing Fish Assemblages</t>
  </si>
  <si>
    <t>video survey method; working-class ROV; observation-class ROV; non-destructive; autonomous observing; comparison of methods; standardized operating protocols</t>
  </si>
  <si>
    <t>IN-SITU OBSERVATIONS; MID-ATLANTIC RIDGE; ENDANGERED WHITE ABALONE; DEEP-WATER FISH; DEMERSAL FISHES; CONTINENTAL-SHELF; MEGABENTHIC ASSEMBLAGES; BEHAVIORAL INTERACTIONS; HABITAT ASSOCIATIONS; MARINE BIODIVERSITY</t>
  </si>
  <si>
    <t>Anthropogenic activities and greater demands for marine natural resources has led to increases in the spatial extent and duration of pressures onmarine ecosystems. Remotely operated vehicles (ROVs) offer a robust survey tool for quantifying these pressures and tracking the success of management intervention while at a range of depths, including those inaccessible to most SCUBA diver-based survey methods (similar to&gt;30 m). As the strengths, limitations, and biases of ROVs for visually monitoring fish assemblages remain unclear, this review aims to evaluate ROVs as a survey technique and to suggest optimal sampling strategies for use in typical ROV-based studies. Using the search engines Scopus (TM) and Google Scholar (TM), 119 publications were identified that used ROVs for visual surveys of fish assemblages. While the sampling strategies and sampling metrics used to annotate the imagery in these publications varied considerably, the total abundance of fish recorded over strip transects of varying dimensions was the most common sampling design. The choice of ROV system appears to be a strong indicator of both the types of surveys available to studies and the success of ROV deployments. For instance, larger, more powerful working-class systems can complete longer and more complex designs (e.g., swath, cloverleaf, and polygonal transects) at greater depths, whereas observation-class systems are less expensive and easier to deploy, but are more susceptible to delays or cancelations of deployments. In more severe sea state conditions, radial transects, or strip transects that employ live-boating or a weight to anchor the tether to the seafloor, can be used to improve the performance of observation-class systems. As these systems often employ shorter tethers, radial transects can also be used to maximize sampling area at greater depths and on large vessels that may rotate substantially while anchored. For highly mobile species, and in survey designs where individuals are likely to be recounted (e.g., transects along oil and gas pipelines), relative abundance (MaxN) may be a more robust sampling metric. By identifying subtle, yet important, differences in the application of ROVs as a tool for visually surveying deep-water marine ecosystems, we identified key areas for improvement for best practice for future studies.</t>
  </si>
  <si>
    <t>[Sward, Darryn; Monk, Jacquomo; Barrett, Neville] Univ Tasmania, Coll Sci &amp; Engn, Inst Marine &amp; Antarctic Studies, Hobart, Tas, Australia</t>
  </si>
  <si>
    <t>University of Tasmania</t>
  </si>
  <si>
    <t>Sward, D (corresponding author), Univ Tasmania, Coll Sci &amp; Engn, Inst Marine &amp; Antarctic Studies, Hobart, Tas, Australia.</t>
  </si>
  <si>
    <t>darryn.sward@utas.edu.au</t>
  </si>
  <si>
    <t>; Barrett, Neville/J-7593-2014</t>
  </si>
  <si>
    <t>Sward, Darryn/0000-0002-7027-9807; Barrett, Neville/0000-0002-6167-1356</t>
  </si>
  <si>
    <t>Australian Government's National Environmental Science Programme</t>
  </si>
  <si>
    <t>Australian Government's National Environmental Science Programme(Australian Government)</t>
  </si>
  <si>
    <t>This work was undertaken for the Marine Biodiversity Hub, a collaborative partnership supported through funding from the Australian Government's National Environmental Science Programme. NESP Marine Biodiversity Hub partners include the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and the Integrated Marine Observing System. DS would like to thank the Oppermans for their encouragement and support of my higher degree education.</t>
  </si>
  <si>
    <t>10.3389/fmars.2019.00134</t>
  </si>
  <si>
    <t>HR5DJ</t>
  </si>
  <si>
    <t>WOS:000463166600001</t>
  </si>
  <si>
    <t>Zeidler, W</t>
  </si>
  <si>
    <t>Zeidler, Wolfgang</t>
  </si>
  <si>
    <t>New and additional records of hyperiidean amphipods of the infraorder Physosomata (Crustacea: Amphipoda: Hyperiidea) from the Antarctic Zone of the Southern Ocean</t>
  </si>
  <si>
    <t>Amphipoda; Hyperiidea; Physosomata; Antarctic Zone; Southern Ocean; new records</t>
  </si>
  <si>
    <t>New and additional records of hyperiidean amphipods of the infraorder Physosomata from the Antarctic Zone of the Southern Ocean, based on specimens in the USNM, are documented. They represent several range extensions for species previously recorded from the region as well as 14 new records with another three recorded from within a few degrees north of the Antarctic Zone. The following species represent new records for the Antarctic Zone: Lanceola loveni loveni, L. sphaerica, Megalanceoloides remipes, Microphasmoides vitjazi, Mimonecteola diomedeae, M. macronyx, Mimonectes diomedeae, M. loveni, Cheloscina antennula, Ctenoscina macropa, Scina curilensis, S. incerta, S. stebbingi and S. vosseleri. In addition, Lanceola felina, L. loveni grossipes and L. pacifica are recorded for the first time from the Southern Ocean, just 1 degrees-3 degrees N of the Antarctic Zone.</t>
  </si>
  <si>
    <t>[Zeidler, Wolfgang] South Australian Museum, North Terrace, Adelaide, SA 5000, Australia</t>
  </si>
  <si>
    <t>South Australian Museum</t>
  </si>
  <si>
    <t>Zeidler, W (corresponding author), South Australian Museum, North Terrace, Adelaide, SA 5000, Australia.</t>
  </si>
  <si>
    <t>wolfgang.zeidler@samuseum.sa.gov.au</t>
  </si>
  <si>
    <t>Smithsonian Institution</t>
  </si>
  <si>
    <t>Smithsonian Institution(Smithsonian Institution)</t>
  </si>
  <si>
    <t>At the USNM, I am most grateful to Dr Karen Osborn for securing a Smithsonian Fellowship for me to study the collections of the Natural History Museum, Washington DC, in September and October 2015, and for providing extra funds to make an extended visit possible. I also acknowledge the Smithsonian Institution for their generous Fellowship Program for non-US researchers and for providing the necessary support during my stay in DC. I am also indebted to Karen Reed and her team at the Museum's Sorting Centre for making me welcome, providing bench space so that I could readily access the collections, and for providing additional specimen data.</t>
  </si>
  <si>
    <t>10.11646/zootaxa.4576.3.5</t>
  </si>
  <si>
    <t>HR4HT</t>
  </si>
  <si>
    <t>WOS:000463107300005</t>
  </si>
  <si>
    <t>Bliakharskii, DP; Florinsky, IV; Skrypitsyna, TN</t>
  </si>
  <si>
    <t>Bliakharskii, D. P.; Florinsky, I. V.; Skrypitsyna, T. N.</t>
  </si>
  <si>
    <t>Modelling glacier topography in Antarctica using unmanned aerial survey: assessment of opportunities</t>
  </si>
  <si>
    <t>INTERNATIONAL JOURNAL OF REMOTE SENSING</t>
  </si>
  <si>
    <t>STRUCTURE-FROM-MOTION; AIRCRAFT SYSTEMS; VEHICLE UAV; DALK GLACIER; LOW-COST; PHOTOGRAMMETRY; RECONSTRUCTION; SUBSIDENCE; CREVASSES; DYNAMICS</t>
  </si>
  <si>
    <t>We discuss the application of unmanned aerial systems (UASs) and UAS-derived data to model glacier topography for detecting and analysing slow and rapid changes in glacier surfaces. The study was conducted in East Antarctica in the austral summer 2016/2017. The surveyed areas included an eastern part of the Larsemann Hills, an Airfield of the Progress Station, an initial section of a Sledge route from the Progress to Vostok Stations, and a north-western margin of the Dalk Glacier. We used a Geoscan 201 Geodesy, a professional-grade flying-wing UAS. For the photogrammetric processing, we utilized the Agisoft PhotoScan software. The direct georeferencing approach was applied. Several high-resolution, multitemporal digital elevation models (DEMs) for surveyed areas were produced. The DEM accuracy was estimated in the absence of ground control points and reference DEMs. We determined the ice flow velocity within the Airfield area and the Sledge route zone, where marked points were installed and moved together with the ice surface. We found that UAS imagery can be used for real-time monitoring of open and some snow-covered crevasses of various sizes. Wind-driven snow microforms are also well recognizable on UAS-derived aerial images. The 2017 Dalk Glacier catastrophic subsidence demonstrated that monitoring and studying such events in glaciers and ice sheets are almost impossible without UASs. Optimal meteorological conditions were empirically determined for conducting unmanned aerial survey to obtain images suitable for subsequent photogrammetric processing and DEM generation. Finally, we discuss adaptation of equipment and software to the Antarctic environment.</t>
  </si>
  <si>
    <t>[Bliakharskii, D. P.] St Petersburg Univ, Inst Earth Sci, Dept Cartog &amp; Geoinformat, St Petersburg, Russia; [Florinsky, I. V.] Russian Acad Sci, Inst Math Problems Biol, Keldysh Inst Appl Math, Pushchino, Russia; [Skrypitsyna, T. N.] Moscow State Univ Geodesy &amp; Cartog MIIGAiK, Dept Photogrammetry, Moscow, Russia</t>
  </si>
  <si>
    <t>Saint Petersburg State University; Russian Academy of Sciences; Keldysh Institute of Applied Mathematics; Pushchino Scientific Center for Biological Research (PSCBI) of the Russian Academy of Sciences</t>
  </si>
  <si>
    <t>Florinsky, IV (corresponding author), Russian Acad Sci, Inst Math Problems Biol, Keldysh Inst Appl Math, Pushchino, Russia.</t>
  </si>
  <si>
    <t>iflor@mail.ru</t>
  </si>
  <si>
    <t>Florinsky, Igor/C-4529-2013; Bliakharskii, Dmitrii/G-3792-2015; Skrypitsyna, Tatiana/S-9347-2017</t>
  </si>
  <si>
    <t>Florinsky, Igor/0000-0003-1273-5912; Bliakharskii, Dmitrii/0000-0002-5528-8932; Skrypitsyna, Tatiana/0000-0003-4964-9196</t>
  </si>
  <si>
    <t>Russian Foundation for Basic Research [17-37-50011]</t>
  </si>
  <si>
    <t>Russian Foundation for Basic Research(Russian Foundation for Basic Research (RFBR)Spanish Government)</t>
  </si>
  <si>
    <t>The study was partly supported by the Russian Foundation for Basic Research, grant 17-37-50011.</t>
  </si>
  <si>
    <t>0143-1161</t>
  </si>
  <si>
    <t>1366-5901</t>
  </si>
  <si>
    <t>INT J REMOTE SENS</t>
  </si>
  <si>
    <t>Int. J. Remote Sens.</t>
  </si>
  <si>
    <t>10.1080/01431161.2019.1584926</t>
  </si>
  <si>
    <t>Remote Sensing; Imaging Science &amp; Photographic Technology</t>
  </si>
  <si>
    <t>HP9KO</t>
  </si>
  <si>
    <t>WOS:000462012300001</t>
  </si>
  <si>
    <t>Leane, E; Fletcher, L; Garg, S</t>
  </si>
  <si>
    <t>Leane, Elizabeth; Fletcher, Lisa; Garg, Saurabh</t>
  </si>
  <si>
    <t>Co-authorship trends in English literary studies, 1995-2015</t>
  </si>
  <si>
    <t>STUDIES IN HIGHER EDUCATION</t>
  </si>
  <si>
    <t>Academic authorship; academic co-authorship; English; literary studies; Modern Language Association International Bibliography</t>
  </si>
  <si>
    <t>SOCIAL-SCIENCES; COLLABORATION; HUMANITIES; COAUTHORSHIP</t>
  </si>
  <si>
    <t>Of all disciplines, literary studies has the most entrenched model of academic authorship - the sole author - yet the discipline rarely reflects critically on the implications of this model. This article offers a starting point by reporting on a study designed to analyse recent co-authorship trends within literary studies. It provides the large-scale data mining necessary for a longitudinal analysis. Using systematic sampling at five-year intervals between 1995 and 2015, the article examines 51,192 articles listed in the Modern Language Association International Bibliography to determine co-authorship rates in literary studies. The article shows that co-authorship is atypical, at an overall average of just over 4%. There is, however, evidence that co-authorship is becoming more common in the discipline, particularly since 2010. This article canvasses some possible reasons for this increase and concludes that academics in literary studies need to begin explicitly addressing co-authorship traditions and practices in their discipline.</t>
  </si>
  <si>
    <t>[Leane, Elizabeth; Fletcher, Lisa] Univ Tasmania, Sch Humanities, Private Bag 41, Hobart, Tas 7001, Australia; [Leane, Elizabeth] Univ Tasmania, Inst Marine &amp; Antarctic Studies, Hobart, Tas, Australia; [Garg, Saurabh] Univ Tasmania, Sch Engn &amp; ICT, Hobart, Tas, Australia</t>
  </si>
  <si>
    <t>University of Tasmania; University of Tasmania; University of Tasmania</t>
  </si>
  <si>
    <t>Leane, E (corresponding author), Univ Tasmania, Sch Humanities, Private Bag 41, Hobart, Tas 7001, Australia.</t>
  </si>
  <si>
    <t>elizabeth.leane@utas.edu.au</t>
  </si>
  <si>
    <t>Garg, Saurabh/J-7802-2014; Fletcher, Lisa/J-7780-2014</t>
  </si>
  <si>
    <t>Fletcher, Lisa/0000-0002-8348-472X; Garg, Saurabh Kumar/0000-0001-8719-284X; Leane, Elizabeth/0000-0002-7954-6529</t>
  </si>
  <si>
    <t>University of Tasmania (Cross-disciplinary Incentive Grant)</t>
  </si>
  <si>
    <t>This work was supported by the University of Tasmania (Cross-disciplinary Incentive Grant).</t>
  </si>
  <si>
    <t>ROUTLEDGE JOURNALS, TAYLOR &amp; FRANCIS LTD</t>
  </si>
  <si>
    <t>2-4 PARK SQUARE, MILTON PARK, ABINGDON OX14 4RN, OXON, ENGLAND</t>
  </si>
  <si>
    <t>0307-5079</t>
  </si>
  <si>
    <t>1470-174X</t>
  </si>
  <si>
    <t>STUD HIGH EDUC</t>
  </si>
  <si>
    <t>Stud. High. Educ.</t>
  </si>
  <si>
    <t>10.1080/03075079.2017.1405256</t>
  </si>
  <si>
    <t>Education &amp; Educational Research</t>
  </si>
  <si>
    <t>HP2LA</t>
  </si>
  <si>
    <t>WOS:000461501000013</t>
  </si>
  <si>
    <t>Florinsky, IV; Bliakharskii, DP</t>
  </si>
  <si>
    <t>Florinsky, I. V.; Bliakharskii, D. P.</t>
  </si>
  <si>
    <t>Detection of crevasses by geomorphometric treatment of data from unmanned aerial surveys</t>
  </si>
  <si>
    <t>REMOTE SENSING LETTERS</t>
  </si>
  <si>
    <t>For Antarctic research, one of the important support tasks is a monitoring of sledge routes and other visited areas for detection of open crevasses and revealing of hidden, snow-covered ones. We study the possibility of revealing hidden crevasses with geomorphometric treatment of high-resolution, glacier digital elevation models (DEMs) produced from imagery captured by unmanned aerial systems (UASs). The study was conducted in East Antarctica, at a sledge route from the Progress to Vostok Stations. The survey performed with Geoscan 201 Geodesy UAS, resulted in a set of aerial images with a resolution of 6 cm. From these images, we produced glacier DEMs for a typical area with snow-covered crevasses. The glacier DEMs with the resolutions of 25 cm, 50 cm, and 1 m were treated by geomorphometric methods. We derived models of 16 morphometric variables including horizontal and vertical curvatures. For the 1-m gridded DEM, mapping of some variables allowed us to reveal one of the crevasses. The approach is functional, at least, for revealing crevasses with a width of 1.5 m and wider, covered by the snow layer with a thickness of up to 1.2 m.</t>
  </si>
  <si>
    <t>[Florinsky, I. V.] Russian Acad Sci, Keldysh Inst Appl Math, Inst Math Problems Biol, Pushchino, Russia; [Bliakharskii, D. P.] St Petersburg Univ, Dept Cartog &amp; Geoinformat, St Petersburg, Russia</t>
  </si>
  <si>
    <t>Russian Academy of Sciences; Keldysh Institute of Applied Mathematics; Pushchino Scientific Center for Biological Research (PSCBI) of the Russian Academy of Sciences; Saint Petersburg State University</t>
  </si>
  <si>
    <t>Florinsky, IV (corresponding author), Russian Acad Sci, Keldysh Inst Appl Math, Inst Math Problems Biol, Pushchino, Russia.</t>
  </si>
  <si>
    <t>Florinsky, Igor/C-4529-2013; Bliakharskii, Dmitrii/G-3792-2015</t>
  </si>
  <si>
    <t>Florinsky, Igor/0000-0003-1273-5912; Bliakharskii, Dmitrii/0000-0002-5528-8932</t>
  </si>
  <si>
    <t>This work was supported by the Russian Foundation for Basic Research [17-37-50011]</t>
  </si>
  <si>
    <t>2150-704X</t>
  </si>
  <si>
    <t>2150-7058</t>
  </si>
  <si>
    <t>REMOTE SENS LETT</t>
  </si>
  <si>
    <t>Remote Sens. Lett.</t>
  </si>
  <si>
    <t>10.1080/2150704X.2018.1552809</t>
  </si>
  <si>
    <t>HG2AV</t>
  </si>
  <si>
    <t>WOS:000454765000001</t>
  </si>
  <si>
    <t>Richter, A; Groh, A; Horwath, M; Ivins, E; Marderwald, E; Hormaechea, JL; Perdomo, R; Dietrich, R</t>
  </si>
  <si>
    <t>Richter, Andreas; Groh, Andreas; Horwath, Martin; Ivins, Erik; Marderwald, Eric; Luis Hormaechea, Jose; Perdomo, Raul; Dietrich, Reinhard</t>
  </si>
  <si>
    <t>The Rapid and Steady Mass Loss of the Patagonian Icefields throughout the GRACE Era: 2002-2017</t>
  </si>
  <si>
    <t>REMOTE SENSING</t>
  </si>
  <si>
    <t>ice mass; satellite gravimetry; Patagonia; GRACE</t>
  </si>
  <si>
    <t>ICE-SHEET; GLACIER FLUCTUATIONS; RECONCILED ESTIMATE; SOUTH-AMERICA; GREENLAND; BALANCE; DEFORMATION; ELEVATION; HOLOCENE; DECADE</t>
  </si>
  <si>
    <t>We use the complete gravity recovery and climate experiment (GRACE) Level-2 monthly time series to derive the ice mass changes of the Patagonian Icefields (Southern Andes). The glacial isostatic adjustment is accounted for by a regional model that is constrained by global navigation satellite systems (GNSS) uplift observations. Further corrections are applied concerning the effect of mass variations in the ocean, in the continental water storage, and of the Antarctic ice sheet. The 161 monthly GRACE gravity field solutions are inverted in the spatial domain through the adjustment of scaling factors applied to a-priori ice mass change patterns based on published remote sensing results for the Southern and Northern Patagonian Icefields, respectively. We infer an ice mass change rate of -24.4 +/- 4.7 Gt/a for the Patagonian Icefields between April 2002 and June 2017, which corresponds to a contribution to the eustatic sea level rise of 0.067 +/- 0.013 mm/a. Our time series of monthly ice mass changes reveals no indication for an acceleration in ice mass loss. We find indications that the Northern Patagonian Icefield contributes more to the integral ice loss than previously assumed.</t>
  </si>
  <si>
    <t>[Richter, Andreas; Groh, Andreas; Horwath, Martin; Dietrich, Reinhard] Tech Univ Dresden, Inst Planetare Geodasie, D-01062 Dresden, Germany; [Richter, Andreas; Marderwald, Eric; Perdomo, Raul] Univ Nacl La Plata, Fac Ciencias Astron &amp; Geofis, Lab MAGGIA, B1900FWA, La Plata, Buenos Aires, Argentina; [Richter, Andreas; Marderwald, Eric] Consejo Nacl Invest Cient &amp; Tecn, B1904CMC, La Plata, Buenos Aires, Argentina; [Ivins, Erik] CALTECH, Jet Prop Lab, 4800 Oak Grove Dr, Pasadena, CA 91109 USA; [Luis Hormaechea, Jose] Estn Astron Rio Grande, V9420EAR, Rio Grande, Argentina</t>
  </si>
  <si>
    <t>Technische Universitat Dresden; National University of La Plata; Consejo Nacional de Investigaciones Cientificas y Tecnicas (CONICET); California Institute of Technology; National Aeronautics &amp; Space Administration (NASA); NASA Jet Propulsion Laboratory (JPL)</t>
  </si>
  <si>
    <t>Richter, A (corresponding author), Tech Univ Dresden, Inst Planetare Geodasie, D-01062 Dresden, Germany.;Richter, A (corresponding author), Univ Nacl La Plata, Fac Ciencias Astron &amp; Geofis, Lab MAGGIA, B1900FWA, La Plata, Buenos Aires, Argentina.;Richter, A (corresponding author), Consejo Nacl Invest Cient &amp; Tecn, B1904CMC, La Plata, Buenos Aires, Argentina.</t>
  </si>
  <si>
    <t>andreas.richter@tu-dresden.de; andreas.groh@tu-dresden.de; Martin.Horwath@tu-dresden.de; Erik.R.Ivins@jpl.nasa.gov; emarderwald@fcaglp.unlp.edu.ar; jlhor@fcaglp.unlp.edu.ar; perdomo@presi.unlp.edu.ar; reinhard.dietrich@tu-dresden.de</t>
  </si>
  <si>
    <t>Richter, Andreas/ABD-6833-2020; Ivins, Erik R/C-2416-2011; Marderwald, Eric/ABD-7188-2020; Horwath, Martin/ABH-4320-2020</t>
  </si>
  <si>
    <t>Richter, Andreas/0000-0002-7900-4893; Marderwald, Eric/0000-0002-2376-8093; Groh, Andreas/0000-0003-0106-5802; Ivins, Erik/0000-0003-0148-357X; Richter, Andreas/0000-0002-8588-9755</t>
  </si>
  <si>
    <t>German Research Foundation (DFG) [RI 2340/1-1]; SLUB/TU Dresden; National Aeronautics and Space Administration, using ROSES award from the Earth Surface and Interior Program [105526-967701.02.01.81]; National Aeronautics and Space Administration, using ROSES award [105526-281945.02.47.03.86]</t>
  </si>
  <si>
    <t>German Research Foundation (DFG)(German Research Foundation (DFG)); SLUB/TU Dresden; National Aeronautics and Space Administration, using ROSES award from the Earth Surface and Interior Program; National Aeronautics and Space Administration, using ROSES award</t>
  </si>
  <si>
    <t>Part of this research was funded by the German Research Foundation (DFG), grant number RI 2340/1-1. The APC was funded by the Open Access Publication Funds of the SLUB/TU Dresden. Part of the research was carried out at the Jet Propulsion Laboratory, California Institute of Technology, under a contract with the National Aeronautics and Space Administration, using ROSES awards 105526-967701.02.01.81 and 105526-281945.02.47.03.86 from the Earth Surface and Interior Program and the GRACE Science Team, respectively.</t>
  </si>
  <si>
    <t>2072-4292</t>
  </si>
  <si>
    <t>REMOTE SENS-BASEL</t>
  </si>
  <si>
    <t>Remote Sens.</t>
  </si>
  <si>
    <t>APR 2</t>
  </si>
  <si>
    <t>10.3390/rs11080909</t>
  </si>
  <si>
    <t>Environmental Sciences; Geosciences, Multidisciplinary; Remote Sensing; Imaging Science &amp; Photographic Technology</t>
  </si>
  <si>
    <t>Environmental Sciences &amp; Ecology; Geology; Remote Sensing; Imaging Science &amp; Photographic Technology</t>
  </si>
  <si>
    <t>HX8HK</t>
  </si>
  <si>
    <t>WOS:000467646800019</t>
  </si>
  <si>
    <t>Khan, AL; Klein, AG; Katich, JM; Xian, P</t>
  </si>
  <si>
    <t>Khan, Alia L.; Klein, Andrew G.; Katich, Joseph M.; Xian, Peng</t>
  </si>
  <si>
    <t>Local Emissions and Regional Wildfires Influence Refractory Black Carbon Observations Near Palmer Station, Antarctica</t>
  </si>
  <si>
    <t>FRONTIERS IN EARTH SCIENCE</t>
  </si>
  <si>
    <t>black carbon; snow; Antarctica; local impact; wildfires and biomass burning; fossil fuel emissions</t>
  </si>
  <si>
    <t>DATA ASSIMILATION; SNOW; LAND; SOOT; SET</t>
  </si>
  <si>
    <t>Antarctica is often regarded as the most pristine continent on Earth. However, local human activity can be significant point sources of production of contaminants, as well as light absorbing aerosols, such as black carbon (BC). In May 2015, over the Austral fall season (at the beginning of the accumulation season), surface snow was sampled at eight sites along a 1.7 km transect extending from Palmer Station, Antarctica. Two additional sites were sampled on Biscoe Point 14 km from the station. Snow samples were analyzed for refractory black carbon (rBC) with a Single Particle Soot Photometer (SP2). rBC concentrations increased with proximity to the Palmer Station 1.2-16.5 mu g-rBC/L-H2O (4.7 +/- 4.9 mu g-rBC/L-H2O) and were higher than other studies of rBC in snow, such as in the McMurdo Dry Valleys, Antarctica (MDV) and the Clean Air Sector of the South Pole Station (CAS-SP), except on the more remote Biscoe Island, 0.4-1.2 mu g-rBC/L-H2O, which had similar background concentrations to the MDV and CAS-SP, 0.3-1.2 (0.6 +/- 0.3 mu g-rBC/L-H2O) and (0.14-0.80 mu g-rBC/L-H2O), respectively. However, concentrations were lower than previous observations at South Pole Station downwind of the generator and long the runway (6.6-7000 mu g-rBC/L-H2O). Palmer Station is located on the southwestern coast of Anvers Island which lies off the western coast of the Antarctic Peninsula at 64 degrees 46'S, 64 degrees 03'W. Comparison with the Navy Aerosol Analysis Prediction System (NAAPS) model show that wildfire smoke may have reached this region of the Antarctic continent during the time period of the deposition of this seasonal snow, suggesting the increase in rBC may be a combination of local combustion of fossil fuels and regional wildfires. Although significant increases in rBC concentrations are found within a km of Palmer Station, like the South Pole Station, rBC is limited to a few kms from the station. Additionally, these measurements of rBC, which may be the only BC measurements in snow on the Antarctic Peninsula, show that background levels are similar to other locations on the continent.</t>
  </si>
  <si>
    <t>[Khan, Alia L.] Western Washington Univ, Dept Environm Sci, Bellingham, WA 98225 USA; [Khan, Alia L.] Univ Colorado, Natl Snow &amp; Ice Data Ctr, Cooperat Inst Res Environm Sci, Boulder, CO 80309 USA; [Klein, Andrew G.] Texas A&amp;M Univ, Dept Geog, College Stn, TX USA; [Katich, Joseph M.] NOAA, Chem Sci Div, Earth Syst Res Lab, Boulder, CO USA; [Katich, Joseph M.] Univ Colorado, CIRES, Boulder, CO 80309 USA; [Xian, Peng] US Naval Res Lab, Atmospher Properties &amp; Effects Sect, Marine Meteorol Div, Monterey, CA USA</t>
  </si>
  <si>
    <t>Western Washington University; University of Colorado System; University of Colorado Boulder; Texas A&amp;M University System; Texas A&amp;M University College Station; National Oceanic Atmospheric Admin (NOAA) - USA; University of Colorado System; University of Colorado Boulder</t>
  </si>
  <si>
    <t>Khan, AL (corresponding author), Western Washington Univ, Dept Environm Sci, Bellingham, WA 98225 USA.;Khan, AL (corresponding author), Univ Colorado, Natl Snow &amp; Ice Data Ctr, Cooperat Inst Res Environm Sci, Boulder, CO 80309 USA.</t>
  </si>
  <si>
    <t>alia.khan@wwu.edu</t>
  </si>
  <si>
    <t>Klein, Andrew/AGK-9609-2022; Xian, Peng/D-4645-2017; KATICH, JOSEPH/E-2991-2017</t>
  </si>
  <si>
    <t>Klein, Andrew/0000-0003-3804-8205; Khan, Alia/0000-0002-4425-1528; KATICH, JOSEPH/0000-0002-5791-6576</t>
  </si>
  <si>
    <t>DOD-ARMY-COE-Cold Region Research Award [W913E5-16-C-0006]; NSF [ANT-1535632]; Office of Naval Research [322]</t>
  </si>
  <si>
    <t>DOD-ARMY-COE-Cold Region Research Award; NSF(National Science Foundation (NSF)); Office of Naval Research(Office of Naval Research)</t>
  </si>
  <si>
    <t>Funding for this work came from DOD-ARMY-COE-Cold Region Research Award W913E5-16-C-0006. The authors appreciate the support of the University of Wisconsin-Madison Antarctic Meteorological Research Center for the data set, data display, and information, NSF grant number ANT-1535632. PX was supported by the Office of Naval Research Code 322.</t>
  </si>
  <si>
    <t>2296-6463</t>
  </si>
  <si>
    <t>FRONT EARTH SC-SWITZ</t>
  </si>
  <si>
    <t>Front. Earth Sci.</t>
  </si>
  <si>
    <t>10.3389/feart.2019.00049</t>
  </si>
  <si>
    <t>HX2SY</t>
  </si>
  <si>
    <t>WOS:000467243200001</t>
  </si>
  <si>
    <t>Gerdol, M; Lucente, D; Buonocore, F; Poerio, E; Scapigliati, G; Mattiucci, S; Pallavicini, A; Cimmaruta, R</t>
  </si>
  <si>
    <t>Gerdol, Marco; Lucente, Daniela; Buonocore, Francesco; Poerio, Elia; Scapigliati, Giuseppe; Mattiucci, Simonetta; Pallavicini, Alberto; Cimmaruta, Roberta</t>
  </si>
  <si>
    <t>Molecular and Structural Characterization of MHC Class II β Genes Reveals High Diversity in the Cold-Adapted Icefish Chionodraco hamatus</t>
  </si>
  <si>
    <t>SALMON SALMO-SALAR; HEAD KIDNEY TRANSCRIPTOME; IMMUNE-SYSTEM; COMPLEX; POLYMORPHISM; EVOLUTION; FISH; EXPRESSION; SEQUENCE; ALLELES</t>
  </si>
  <si>
    <t>This study reports the presence of two distinct MHC class II beta genes in the Antarctic icefish Chionodraco hamatus, belonging to the classical (ChhaDAB) and nonclassical (ChhaDBB) evolutionary lineages. By the application of targeted sequencing approach, a remarkable molecular diversity in the exon 2 sequence of the highly expressed gene ChhaDAB has been observed, resulting in an estimate of 92 different variants translated in 87 different peptides from 54 analysed icefish individuals. A highly conservative estimate, based on a 95% sequence identity threshold clustering, translate this variability in 41 different peptide clusters belonging to four different clades and showing the signature of different kinds of selection. In stark contrast, the poorly expressed ChhaDBB gene displayed a very low level of molecular diversity within exon 2, in agreement with expectations for a nonclassical MHC class II beta gene.</t>
  </si>
  <si>
    <t>[Gerdol, Marco; Pallavicini, Alberto] Univ Trieste, Dept Life Sci, Trieste, Italy; [Lucente, Daniela] Univ Tuscia, Viterbo, Italy; [Buonocore, Francesco; Poerio, Elia; Scapigliati, Giuseppe] Univ Tuscia, Dept Innovat Biol Agrofood &amp; Forest Syst, Viterbo, Italy; [Mattiucci, Simonetta] Sapienza Univ Rome, Dept Publ Hlth &amp; Infect Dis, Sect Parasitol, Rome, Italy; [Lucente, Daniela; Cimmaruta, Roberta] Univ Tuscia, Dept Ecol &amp; Biol Sci, Viterbo, Italy; [Pallavicini, Alberto] Natl Inst Oceanog &amp; Appl Geophys, Borgo Grotta Gigante 42-C, I-34010 Sgonico, TS, Italy</t>
  </si>
  <si>
    <t>University of Trieste; Tuscia University; Tuscia University; Sapienza University Rome; Tuscia University; Istituto Nazionale di Oceanografia e di Geofisica Sperimentale</t>
  </si>
  <si>
    <t>Buonocore, F (corresponding author), Univ Tuscia, Dept Innovat Biol Agrofood &amp; Forest Syst, Viterbo, Italy.</t>
  </si>
  <si>
    <t>fbuono@unitus.it</t>
  </si>
  <si>
    <t>Pallavicini, Alberto/J-4158-2012; Pallavicini, Alberto/H-9281-2019; Gerdol, Marco/D-2115-2013; Buonocore, Francesco/AAA-5236-2020; Cimmaruta, Roberta/AAC-9151-2020; Poerio, Elia/AAA-8674-2020</t>
  </si>
  <si>
    <t>Pallavicini, Alberto/0000-0001-7174-4603; Gerdol, Marco/0000-0001-6411-0813; Buonocore, Francesco/0000-0001-8045-5651</t>
  </si>
  <si>
    <t>Italian Program of Antarctic Research (PNRA) [PNRA13_AZ01.09, PNRA16_00099, PNRA16_00279]</t>
  </si>
  <si>
    <t>Italian Program of Antarctic Research (PNRA)</t>
  </si>
  <si>
    <t>Research was performed under the Italian Program of Antarctic Research (PNRA), granted projects PNRA13_AZ01.09, PNRA16_00099 and PNRA16_00279. Authors are grateful to Dr. Armando Macali for fishing and processing icefish specimens during Antarctic expeditions. We also indebted to Prof. Giuseppe Nascetti who debated with us both the research framework and the results.</t>
  </si>
  <si>
    <t>10.1038/s41598-019-42003-5</t>
  </si>
  <si>
    <t>HR2TL</t>
  </si>
  <si>
    <t>WOS:000462990000065</t>
  </si>
  <si>
    <t>Dahood, A; Watters, GM; de Mutsert, K</t>
  </si>
  <si>
    <t>Dahood, Adrian; Watters, George M.; de Mutsert, Kim</t>
  </si>
  <si>
    <t>Using sea-ice to calibrate a dynamic trophic model for the Western Antarctic Peninsula</t>
  </si>
  <si>
    <t>PLOS ONE</t>
  </si>
  <si>
    <t>SOUTH SHETLAND ISLANDS; KRILL EUPHAUSIA-SUPERBA; CHINSTRAP PENGUINS; CLIMATE-CHANGE; POPULATION-CHANGES; MARINE ECOSYSTEM; ELEPHANT ISLAND; SCOTIA SEA; FOOD-WEB; BIOMASS</t>
  </si>
  <si>
    <t>The pelagic ecosystems of the Western Antarctic Peninsula are dynamic and changing rapidly in the face of sustained warming. There is already evidence that warming may be impacting the food web. Antarctic krill, Euphausia superba, is an ice-associated species that is both an important prey item and the target of the only commercial fishery operating in the region. The goal of this study is to develop a dynamic trophic model for the region that includes the impact of the sea-ice regime on krill and krill predators. Such a model may be helpful to fisheries managers as they develop new management strategies in the face of continued sea-ice loss. A mass balanced food-web model (Ecopath) and time dynamic simulations (Ecosim) were created. The Ecopath model includes eight currently monitored species as single species to facilitate its future development into a model that could be used for marine protected area planning in the region. The Ecosim model is calibrated for the years 1996-2012. The successful calibration represents an improvement over existing Ecopath models for the region. Simulations indicate that the role of sea ice is both central and complex. The simulations are only able to recreate observed biomass trends for the monitored species when metrics describing the sea-ice regime are used to force key predator-prey interactions, and to drive the biomasses of Antarctic krill and the fish species Gobionotothen gibberifrons. This model is ready to be used for exploring results from sea-ice scenarios or to be developed into a spatial model that informs discussions regarding the design of marine protected areas in the region.</t>
  </si>
  <si>
    <t>[Dahood, Adrian; de Mutsert, Kim] George Mason Univ, Dept Environm Sci &amp; Policy, Fairfax, VA 22030 USA; [Dahood, Adrian; Watters, George M.] NOAA, Antarctic Ecosyst Res Div, Southwest Fisheries Sci Ctr, Natl Marine Fisheries Serv, La Jolla, CA 92037 USA; [Dahood, Adrian] Univ Calif Santa Cruz, Inst Marine Sci, Santa Cruz, CA 95064 USA</t>
  </si>
  <si>
    <t>George Mason University; National Oceanic Atmospheric Admin (NOAA) - USA; University of California System; University of California Santa Cruz</t>
  </si>
  <si>
    <t>Dahood, A (corresponding author), George Mason Univ, Dept Environm Sci &amp; Policy, Fairfax, VA 22030 USA.;Dahood, A (corresponding author), NOAA, Antarctic Ecosyst Res Div, Southwest Fisheries Sci Ctr, Natl Marine Fisheries Serv, La Jolla, CA 92037 USA.;Dahood, A (corresponding author), Univ Calif Santa Cruz, Inst Marine Sci, Santa Cruz, CA 95064 USA.</t>
  </si>
  <si>
    <t>adahood@gmail.com</t>
  </si>
  <si>
    <t>Watters, George/HPE-2184-2023; de Mutsert, Kim/AAV-1035-2020</t>
  </si>
  <si>
    <t>Watters, George/0000-0002-6989-1273; de Mutsert, Kim/0000-0002-7902-3787; Dahood, Adrian/0000-0001-5346-8537</t>
  </si>
  <si>
    <t>Pew Charitable Trusts [31815]; Environmental Science and Policy Department at George Mason University</t>
  </si>
  <si>
    <t>Pew Charitable Trusts; Environmental Science and Policy Department at George Mason University</t>
  </si>
  <si>
    <t>This work was supported by funding from the Pew Charitable Trusts, contract ID#31815. A.D. was a graduate student during model development and benefitted from funding from the Environmental Science and Policy Department at George Mason University. The funders had no role in study design, data collection and analysis, or preparation of the manuscript. The Pew Charitable Trusts required publication in a peer reviewed journal, but did not influence the decision on where to submit.</t>
  </si>
  <si>
    <t>PUBLIC LIBRARY SCIENCE</t>
  </si>
  <si>
    <t>SAN FRANCISCO</t>
  </si>
  <si>
    <t>1160 BATTERY STREET, STE 100, SAN FRANCISCO, CA 94111 USA</t>
  </si>
  <si>
    <t>1932-6203</t>
  </si>
  <si>
    <t>PLoS One</t>
  </si>
  <si>
    <t>e0214814</t>
  </si>
  <si>
    <t>10.1371/journal.pone.0214814</t>
  </si>
  <si>
    <t>HR2UW</t>
  </si>
  <si>
    <t>Green Submitted, gold, Green Published</t>
  </si>
  <si>
    <t>WOS:000462993900041</t>
  </si>
  <si>
    <t>Biederman, AM; Crockett, EL</t>
  </si>
  <si>
    <t>Biederman, Amanda M.; Crockett, Elizabeth L.</t>
  </si>
  <si>
    <t>Chemical and Physical Properties of Gill Plasma Membranes Are Altered in Response to Thermal Acclimation in the Antarctic Notothenioid Fish Notothenia coriiceps</t>
  </si>
  <si>
    <t>FASEB JOURNAL</t>
  </si>
  <si>
    <t>Experimental Biology Meeting (EB)</t>
  </si>
  <si>
    <t>APR 06-09, 2019</t>
  </si>
  <si>
    <t>Orlando, FL</t>
  </si>
  <si>
    <t>NSF [ANT 1341602]; Ohio University Student Enhancement Award fund</t>
  </si>
  <si>
    <t>NSF(National Science Foundation (NSF)); Ohio University Student Enhancement Award fund</t>
  </si>
  <si>
    <t>Supported by NSF ANT 1341602 and the Ohio University Student Enhancement Award fund.</t>
  </si>
  <si>
    <t>0892-6638</t>
  </si>
  <si>
    <t>1530-6860</t>
  </si>
  <si>
    <t>FASEB J</t>
  </si>
  <si>
    <t>Faseb J.</t>
  </si>
  <si>
    <t>APR</t>
  </si>
  <si>
    <t>Biochemistry &amp; Molecular Biology; Biology; Cell Biology</t>
  </si>
  <si>
    <t>Biochemistry &amp; Molecular Biology; Life Sciences &amp; Biomedicine - Other Topics; Cell Biology</t>
  </si>
  <si>
    <t>JM9WB</t>
  </si>
  <si>
    <t>WOS:000496555201435</t>
  </si>
  <si>
    <t>Evans, ER; Farnoud, AM; Crockett, EL</t>
  </si>
  <si>
    <t>Evans, Elizabeth R.; Farnoud, Amir M.; Crockett, Elizabeth L.</t>
  </si>
  <si>
    <t>Differences in plasma membrane integrity may explain collapse of cardiac function in Antarctic notothenioids varying in thermal tolerance limits</t>
  </si>
  <si>
    <t>NSF [ANT 1341602]</t>
  </si>
  <si>
    <t>Supported by NSF ANT 1341602.</t>
  </si>
  <si>
    <t>lb416</t>
  </si>
  <si>
    <t>WOS:000496555200068</t>
  </si>
  <si>
    <t>Capannolo, L; Li, W; Ma, Q; Shen, XC; Zhang, XJ; Redmon, RJ; Rodriguez, JV; Engebretson, MJ; Kletzing, CA; Kurth, WS; Hospodarsky, GB; Spence, HE; Reeves, GD; Raita, T</t>
  </si>
  <si>
    <t>Capannolo, L.; Li, W.; Ma, Q.; Shen, X-C; Zhang, X-J; Redmon, R. J.; Rodriguez, J., V; Engebretson, M. J.; Kletzing, C. A.; Kurth, W. S.; Hospodarsky, G. B.; Spence, H. E.; Reeves, G. D.; Raita, T.</t>
  </si>
  <si>
    <t>Energetic Electron Precipitation: Multievent Analysis of Its Spatial Extent During EMIC Wave Activity</t>
  </si>
  <si>
    <t>JOURNAL OF GEOPHYSICAL RESEARCH-SPACE PHYSICS</t>
  </si>
  <si>
    <t>ION-CYCLOTRON WAVES; RADIATION-BELT ELECTRONS; PITCH-ANGLE DIFFUSION; VAN ALLEN PROBES; RELATIVISTIC ELECTRONS; RESONANT SCATTERING; GEOMAGNETIC STORMS; ACCELERATION; LOSSES; NOAA</t>
  </si>
  <si>
    <t>Electromagnetic ion cyclotron (EMIC) waves can drive precipitation of tens of keV protons and relativistic electrons, and are a potential candidate for causing radiation belt flux dropouts. In this study, we quantitatively analyze three cases of EMIC-driven precipitation, which occurred near the dusk sector observed by multiple Low-Earth-Orbiting (LEO) Polar Operational Environmental Satellites/Meteorological Operational satellite programme (POES/MetOp) satellites. During EMIC wave activity, the proton precipitation occurred from few tens of keV up to hundreds of keV, while the electron precipitation was mainly at relativistic energies. We compare observations of electron precipitation with calculations using quasi-linear theory. For all cases, we consider the effects of other magnetospheric waves observed simultaneously with EMIC waves, namely, plasmaspheric hiss and magnetosonic waves, and find that the electron precipitation at MeV energies was predominantly caused by EMIC-driven pitch angle scattering. Interestingly, each precipitation event observed by a LEO satellite extended over a limited L shell region (Delta L similar to 0.3 on average), suggesting that the pitch angle scattering caused by EMIC waves occurs only when favorable conditions are met, likely in a localized region. Furthermore, we take advantage of the LEO constellation to explore the occurrence of precipitation at different L shells and magnetic local time sectors, simultaneously with EMIC wave observations near the equator (detected by Van Allen Probes) or at the ground (measured by magnetometers). Our analysis shows that although EMIC waves drove precipitation only in a narrow Delta L, electron precipitation was triggered at various locations as identified by POES/MetOp over a rather broad region (up to similar to 4.4 hr MLT and similar to 1.4 L shells) with similar patterns between satellites.</t>
  </si>
  <si>
    <t>[Capannolo, L.; Li, W.; Ma, Q.; Shen, X-C] Boston Univ, Ctr Space Phys, Boston, MA 02215 USA; [Ma, Q.; Zhang, X-J] Univ Calif Los Angeles, Dept Atmospher &amp; Ocean Sci, Los Angeles, CA USA; [Zhang, X-J] Univ Calif Los Angeles, Dept Earth Planetary &amp; Space Sci, Los Angeles, CA USA; [Redmon, R. J.; Rodriguez, J., V] Univ Colorado, Cooperat Inst Res Environm Sci, Boulder, CO USA; [Rodriguez, J., V] NOAA, Natl Ctr Environm Informat, Boulder, CO USA; [Engebretson, M. J.] Augsburg Univ, Dept Phys, Minneapolis, MN USA; [Kletzing, C. A.; Kurth, W. S.; Hospodarsky, G. B.] Univ Iowa, Dept Phys &amp; Astron, Iowa City, IA 52242 USA; [Spence, H. E.] Univ New Hampshire, Inst Study Earth Oceans &amp; Space, Durham, NH 03824 USA; [Reeves, G. D.] Los Alamos Natl Lab, Space Sci &amp; Applicat Grp, Los Alamos, NM USA; [Raita, T.] Univ Oulu, Sodankyla Geophys Observ, Sodankyla, Finland</t>
  </si>
  <si>
    <t>Boston University; University of California System; University of California Los Angeles; University of California System; University of California Los Angeles; University of Colorado System; University of Colorado Boulder; National Oceanic Atmospheric Admin (NOAA) - USA; Augsburg University; University of Iowa; University System Of New Hampshire; University of New Hampshire; United States Department of Energy (DOE); Los Alamos National Laboratory; University of Oulu</t>
  </si>
  <si>
    <t>Capannolo, L; Li, W (corresponding author), Boston Univ, Ctr Space Phys, Boston, MA 02215 USA.</t>
  </si>
  <si>
    <t>luisacap@bu.edu; wenli77@bu.edu</t>
  </si>
  <si>
    <t>Kurth, William/AAA-7334-2019; Rodriguez, Juan/AAA-3588-2022; Spence, Harlan E/A-1942-2011; Reeves, Geoffrey/E-8101-2011; Hospodarsky, George B/A-7996-2015; Redmon, Robert/A-7688-2011</t>
  </si>
  <si>
    <t>Kurth, William/0000-0002-5471-6202; Spence, Harlan E/0000-0002-2526-2205; Reeves, Geoffrey/0000-0002-7985-8098; Zhang, Xiao-Jia/0000-0002-4185-5465; Ma, Qianli/0000-0001-5452-4756; Capannolo, Luisa/0000-0003-1755-9022; Kletzing, Craig/0000-0002-4136-3348; RODRIGUEZ, JUAN/0000-0002-6847-4136; Redmon, Robert/0000-0001-5585-2719</t>
  </si>
  <si>
    <t>NSF [AGS-1651263, AGS-1723588]; AFOSR [FA9550-15-1-0158]; Alfred P. Sloan Research Fellowship [FG-2018-10936]; JHU/APL under NASA [921647, NAS5-01072]</t>
  </si>
  <si>
    <t>NSF(National Science Foundation (NSF)); AFOSR(United States Department of DefenseAir Force Office of Scientific Research (AFOSR)); Alfred P. Sloan Research Fellowship(Alfred P. Sloan Foundation); JHU/APL under NASA</t>
  </si>
  <si>
    <t>This research is supported by NSF grant AGS-1723588, AFOSR grant FA9550-15-1-0158, and the Alfred P. Sloan Research Fellowship FG-2018-10936. Work at Augsburg University was supported by NSF grant AGS-1651263. The work at the University of Iowa was performed under the support of JHU/APL contract 921647 under NASA Prime contract NAS5-01072. The authors Capannolo L. and Li W. would like to acknowledge Aaron Hendry for the useful discussion on proton contaminations of POES/MetOp data. The Van Allen probes data from the EMFISIS instrument suite were obtained from http://emfisis.physics.uiowa.edu/Flight/website, and data from the ECT instrument were obtained from http://www.rbsp-ect.lanl.gov/data_pub/website. The POES and MetOp data were obtained from https://www.ngdc.noaa.gov/stp/satellite/poes/website. We acknowledge the World Data Center for Geomagnetism, Kyoto for providing AE, AL, and Dst indices (http://wdc.kugi.kyoto-u.ac.jp/kp/index.html). We acknowledge Jennifer Posch for providing the data of Halley, accessible at http://space.augsburg.edu/searchcoil/index.html website. The search coil magnetometer at Halley Station is operated by the British Antarctic Survey. Data from CARISMA/ISLL was downloaded at the website (http://www.carisma.ca/themis_carisma_cdf). We acknowledge the Sodankyla Geophysical Observatory (SGO), University of Oulu, for providing the OUL station data (http://www.sgo.fi/Data/Pulsation/).</t>
  </si>
  <si>
    <t>2169-9380</t>
  </si>
  <si>
    <t>2169-9402</t>
  </si>
  <si>
    <t>J GEOPHYS RES-SPACE</t>
  </si>
  <si>
    <t>J. Geophys. Res-Space Phys.</t>
  </si>
  <si>
    <t>10.1029/2018JA026291</t>
  </si>
  <si>
    <t>Astronomy &amp; Astrophysics</t>
  </si>
  <si>
    <t>IM0VM</t>
  </si>
  <si>
    <t>Green Submitted, Green Published, Bronze</t>
  </si>
  <si>
    <t>WOS:000477707800008</t>
  </si>
  <si>
    <t>Allison, HJ; Horne, RB; Glauert, SA; Del Zanna, G</t>
  </si>
  <si>
    <t>Allison, Hayley J.; Horne, Richard B.; Glauert, Sarah A.; Del Zanna, Giulio</t>
  </si>
  <si>
    <t>On the Importance of Gradients in the Low-Energy Electron Phase Space Density for Relativistic Electron Acceleration</t>
  </si>
  <si>
    <t>RADIATION-BELT ELECTRONS; SEED POPULATION; DIFFUSION; CHORUS; EVENT; WAVE; MODEL; FIELD</t>
  </si>
  <si>
    <t>Observations of the electron radiation belts have shown links between increases in the low-energy seed population and enhancements in the &gt;1-MeV flux. During active times, low-energy electrons are introduced to the radiation belt region before being accelerated to higher energies via a range of mechanisms. The impact of variations in the seed population on the 1-MeV flux level were explored using the British Antarctic Survey Radiation Belt Model. We find that, for a period from the 21 April to 9 May 2013, the increase in the low-energy electron flux was vital to recreate the observed 1-MeV flux enhancement on the 1 May but was less important for the 1-MeV enhancement on the 27 April 2013. To better understand the relationships between the different energy populations, a series of idealized experiments with the 2-D British Antarctic Survey Radiation Belt Model were performed, which highlight a careful balance between losses and acceleration from chorus waves. Seed population enhancements alter this balance by increasing the phase space density gradient, and consequently, the rate of energy diffusion, allowing acceleration to surpass loss. Additionally, we demonstrate that even with the same chorus diffusion coefficients and the same low-energy boundary condition, the flux of similar to 500-keV to 1-MeV electrons increased when starting with a hard spectrum but decreased for a soft initial spectrum. This suggests that initial energy gradients in the phase space density were important to determine whether &gt;500-keV electrons were enhanced due to chorus wave acceleration.</t>
  </si>
  <si>
    <t>[Allison, Hayley J.; Horne, Richard B.; Glauert, Sarah A.] British Antarctic Survey, Nat Environm Res Council, Cambridge, England; [Allison, Hayley J.; Del Zanna, Giulio] Univ Cambridge, Dept Appl Math &amp; Theoret Phys, Cambridge, England</t>
  </si>
  <si>
    <t>UK Research &amp; Innovation (UKRI); Natural Environment Research Council (NERC); NERC British Antarctic Survey; University of Cambridge</t>
  </si>
  <si>
    <t>Allison, HJ (corresponding author), British Antarctic Survey, Nat Environm Res Council, Cambridge, England.;Allison, HJ (corresponding author), Univ Cambridge, Dept Appl Math &amp; Theoret Phys, Cambridge, England.</t>
  </si>
  <si>
    <t>haylis@bas.ac.uk</t>
  </si>
  <si>
    <t>Horne, Richard B/U-3764-2019</t>
  </si>
  <si>
    <t>Horne, Richard B/0000-0002-0412-6407; Allison, Hayley/0000-0002-6665-2023; Del Zanna, Giulio/0000-0002-4125-0204</t>
  </si>
  <si>
    <t>Natural Environment Research Council (NERC) [NE/L002507/1, NE/P01738X/1]; NERC [NE/R016038/1, NE/R016445/1]; Science and Technology Facilities Council (STFC UK) via the consolidated grant of the DAMTP atomic astrophysics group [ST/P000665/1]; NERC [NE/R016445/1, NE/R016038/1, NE/P01738X/1, bas0100031] Funding Source: UKRI; STFC [ST/J00054X/1, ST/P000665/1, ST/R000743/1] Funding Source: UKRI</t>
  </si>
  <si>
    <t>Natural Environment Research Council (NERC)(UK Research &amp; Innovation (UKRI)Natural Environment Research Council (NERC)); NERC(UK Research &amp; Innovation (UKRI)Natural Environment Research Council (NERC)); Science and Technology Facilities Council (STFC UK) via the consolidated grant of the DAMTP atomic astrophysics group(UK Research &amp; Innovation (UKRI)Science &amp; Technology Facilities Council (STFC)); NERC(UK Research &amp; Innovation (UKRI)Natural Environment Research Council (NERC)); STFC(UK Research &amp; Innovation (UKRI)Science &amp; Technology Facilities Council (STFC))</t>
  </si>
  <si>
    <t>This work was funded by the Natural Environment Research Council (NERC) via Doctoral Training Programme NE/L002507/1. R. B. H. and S. A. G. were supported byNERC National Capability Funding NE/R016038/1 and NE/R016445/1 and Natural Environment Research Council (NERC) Highlight Topic Grant NE/P01738X/1 (Rad-Sat). G. D. Z. also acknowledges support by Science and Technology Facilities Council (STFC UK) via the consolidated grant of the DAMTP atomic astrophysics group (ST/P000665/1). The Van Allen Probes particle data from MagEIS and REPT can be downloaded (https://rbsp-ect.lanl.gov/data_ pub/). The authors acknowledge the OMNI database access for the provision of indices and solar wind data shown in the plots.</t>
  </si>
  <si>
    <t>10.1029/2019JA026516</t>
  </si>
  <si>
    <t>WOS:000477707800019</t>
  </si>
  <si>
    <t>Simms, LE; Engebretson, MJ; Clilverd, MA; Rodger, CJ</t>
  </si>
  <si>
    <t>Simms, Laura E.; Engebretson, Mark J.; Clilverd, Mark A.; Rodger, Craig J.</t>
  </si>
  <si>
    <t>Ground-Based Observations of VLF Waves as a Proxy for Satellite Observations: Development of Models Including the Influence of Solar Illumination and Geomagnetic Disturbance Levels</t>
  </si>
  <si>
    <t>ELECTRON-PRECIPITATION; ACCELERATION; ATMOSPHERICS; ATTENUATION; DIFFUSION; EMISSIONS; FLUXES; HALLEY; ORBIT</t>
  </si>
  <si>
    <t>Ground observations of VLF (very low frequency) waves have often been used to infer VLF activity in the magnetosphere; however, they are not an unbiased measure of activity at satellite altitudes due to transionospheric absorption and subionospheric attenuation. We propose several empirical models that control for these effects. VLF power spectral density (PSD) from the VLF/ELF Logger Experiment (VELOX, L=4.6, Halley, Antarctica) is used to predict DEMETER low Earth orbit VLF PSD. Validation correlations of these models are as high as 0.764; thus, ground VLF receivers spaced around the Earth could provide coverage of outer radiation belt lower band chorus over the latitudinal limits of this model (+/- 45-75 degrees). Correlations of four frequency bands (centered at 0.5, 1.0, 2.0, and 4.25 kHz) are compared. The simple linear correlation between ground and satellite VLF PSD in the 1.0-kHz channel was 0.606 (at dawn). A cubic model resulted in higher correlation (0.638). VLF penetration to the ground is reduced by ionospheric absorption during solar illumination and by disruption of ducting field lines during disturbed conditions. Subionospheric attenuation also reduces VLF observations from distant field lines. Addition of these covariates improved predictions. Both solar illumination and disturbed conditions reduced ground observation of VLF PSD, with higher power waves penetrating to the ground proportionately less than lower power waves. The effect of illumination in reducing wave penetration was more pronounced at higher frequency (4.25 kHz), with the effect at a midrange frequency (2.0 kHz) falling between these two extremes.</t>
  </si>
  <si>
    <t>[Simms, Laura E.; Engebretson, Mark J.] Augsburg Univ, Dept Phys, Minneapolis, MN 55454 USA; [Clilverd, Mark A.] British Antarctic Survey UKRI NERC, Cambridge, England; [Rodger, Craig J.] Univ Otago, Dept Phys, Dunedin, New Zealand</t>
  </si>
  <si>
    <t>Augsburg University; UK Research &amp; Innovation (UKRI); Natural Environment Research Council (NERC); NERC British Antarctic Survey; University of Otago</t>
  </si>
  <si>
    <t>Simms, LE (corresponding author), Augsburg Univ, Dept Phys, Minneapolis, MN 55454 USA.</t>
  </si>
  <si>
    <t>simmsl@augsburg.edu</t>
  </si>
  <si>
    <t>Rodger, Craig/A-1501-2011</t>
  </si>
  <si>
    <t>Rodger, Craig J./0000-0002-6770-2707</t>
  </si>
  <si>
    <t>Natural Environmental Research Council [NE/J008125/1]; NSF [PLR-1341493, AGS-1651263]; NERC [NE/J008125/1, bas0100031] Funding Source: UKRI</t>
  </si>
  <si>
    <t>Natural Environmental Research Council(UK Research &amp; Innovation (UKRI)Natural Environment Research Council (NERC)); NSF(National Science Foundation (NSF)); NERC(UK Research &amp; Innovation (UKRI)Natural Environment Research Council (NERC))</t>
  </si>
  <si>
    <t>We thank R. Gamble for preparing and J.-J. Berthelier for providing DEMETER ICE data. All DEMETER data are now available at the CDPP (Centre de donnees de la Physique des Plasmas) website (cdpp416archive.cnes.fr). Halley VELOX data from BAS are available online (https://data.bas.ac.uk/metadata.php?id=GB/NERC/BAS/AEDC/00055). Kp values were obtained from Goddard Space Flight Center Space Physics Data Facility at the OMNIWeb data website (http://omniweb.gsfc.nasa.gov/html/ow_data.html). M.A.Clilverd was supported by the Natural Environmental Research Council grant NE/J008125/1. Work at Augsburg University was supported by NSF grants PLR-1341493 and AGS-1651263.</t>
  </si>
  <si>
    <t>10.1029/2018JA026407</t>
  </si>
  <si>
    <t>Green Accepted, Bronze</t>
  </si>
  <si>
    <t>WOS:000477707800023</t>
  </si>
  <si>
    <t>Lam, MM; Freeman, MP; Jackman, CM; Rae, IJ; Kalmoni, NME; Sandhu, JK; Forsyth, C</t>
  </si>
  <si>
    <t>Lam, M. M.; Freeman, M. P.; Jackman, C. M.; Rae, I. J.; Kalmoni, N. M. E.; Sandhu, J. K.; Forsyth, C.</t>
  </si>
  <si>
    <t>How Well Can We Estimate Pedersen Conductance From the THEMIS White-Light All-Sky Cameras?</t>
  </si>
  <si>
    <t>ELECTRIC-FIELDS; F-REGION; IONOSPHERE; EISCAT; CURRENTS</t>
  </si>
  <si>
    <t>We show that a white-light all-sky imager can estimate Pedersen conductance with an uncertainty of 3 mho or 40%. Using a series of case studies over a wide range of geomagnetic activity, we compare estimates of Pedersen conductance from the backscatter spectrum of the Poker Flat Incoherent Scatter Radar with auroral intensities. We limit this comparison to an area bounding the radar measurements and within a limited area close to (but oft) imager zenith. We confirm a linear relationship between conductance and the square root of auroral intensity predicted from a simple theoretical approximation. Hence, we extend a previous empirical result found for green-line emissions to the case of white-light off-zenith emissions. The difference between the radar conductance and the best-fit relationship has a mean of -0.76 +/- 4.8 mho and a relative mean difference of 21% +/- 78%. The uncertainties are reduced to -0.72 +/- 3.3 mho and 0% +/- 40% by averaging conductance over 10 min, which we attribute to the time that auroral features take to move across the imager field being greater than the 1-min resolution of the radar data. Our results demonstrate and calibrate the use of Time History of Events and Macroscale Interactions during Substorms all-sky imagers for estimating Pedersen conductance. This technique allows the extension of estimates of Pedersen conductance from Incoherent Scatter Radars to derive continental-scale estimates on scales of similar to 1-10 min and similar to 100 km(2). It thus complements estimates from low-altitude satellites, satellite auroral imagers, and ground-based magnetometers. Plain Language Summary The Sun is a rotating magnetic plasma ball that releases energetic charged particles and magnetism in a solar wind. Sometimes, this wind shakes hands with the Earth's magnetic field, allowing energy to be pumped into region near the Earth, stretching magnetic field lines like an elastic band. Much energy is released explosively in a substorm causing complex and brilliant auroral light displays about the size of a continent. This can be examined really well over several kilometers by radars on the ground. However, the radars cannot tell you what is happening for the whole substorm which is the size of a continent. It had been suggested that you can use a surface camera with a filter on it to estimate the part of the conductivity that tells us how much electric currents are heating the atmosphere. We asked whether the network of nonfiltered cameras stretching across North America could measure the conductivity as well as a radar can. We found they do half as well as the radar. This means we can use this camera network and its data archive to learn more about how much substorms heat up the atmosphere and how complicated and changeable this behavior is.</t>
  </si>
  <si>
    <t>[Lam, M. M.; Jackman, C. M.] Univ Southampton, Dept Phys &amp; Astron, Southampton, Hants, England; [Freeman, M. P.] British Antarctic Survey, Cambridge, England; [Rae, I. J.; Kalmoni, N. M. E.; Sandhu, J. K.; Forsyth, C.] UCL, Mullard Space Sci Lab, London, England</t>
  </si>
  <si>
    <t>University of Southampton; UK Research &amp; Innovation (UKRI); Natural Environment Research Council (NERC); NERC British Antarctic Survey; University of London; University College London</t>
  </si>
  <si>
    <t>Lam, MM (corresponding author), Univ Southampton, Dept Phys &amp; Astron, Southampton, Hants, England.</t>
  </si>
  <si>
    <t>maimailam7@gmail.com</t>
  </si>
  <si>
    <t>Sandhu, Jasmine/AAU-5657-2020; Rae, Jonathan/D-8132-2013; Sandhu, Jasmine/AAM-9919-2021; Forsyth, Colin/E-4159-2010; Freeman, Mervyn/E-5687-2019</t>
  </si>
  <si>
    <t>Rae, Jonathan/0000-0002-2637-4786; Sandhu, Jasmine/0000-0001-6089-426X; Lam, Mai Mai/0000-0002-0274-6119; Forsyth, Colin/0000-0002-0026-8395; Jackman, Caitriona/0000-0003-0635-7361; Freeman, Mervyn/0000-0002-8653-8279</t>
  </si>
  <si>
    <t>MSSL; NSF [AGS-1133009, AGS-1004736]; NASA [NAS5-02099]; NERC [NE/L007177/1, bas0100031, NE/N014480/1] Funding Source: UKRI</t>
  </si>
  <si>
    <t>MSSL; NSF(National Science Foundation (NSF)); NASA(National Aeronautics &amp; Space Administration (NASA)); NERC(UK Research &amp; Innovation (UKRI)Natural Environment Research Council (NERC))</t>
  </si>
  <si>
    <t>We thank Andrew Kavanagh of the British Antarctic Survey (BAS) for useful discussions. A significant part of this work was completed while M. M. L. was a visitor to the BAS, UK. M. M. L. gratefully acknowledges financial support by MSSL (no grant number). PFISR operation, maintenance, and data distribution is supported by NSF Cooperative Agreement AGS-1133009 to SRI International, and all PFISR data are available in the Madrigal Database (http://isr.sri.com/madrigal) and from the Principal Investigator for the specific experiment. We gratefully acknowledge generous PFISR data support by Ashton Reimer (SRI International). We acknowledge NASA contract NAS5-02099 and V. Angelopoulos for use of data from the THEMIS Mission and specifically S. Mende and E. Donovan for use of the ASI data. We thank the CSA for logistical support in fielding and data retrieval from the GBO stations and NSF for support of GIMNAST through grant AGS-1004736. Thumbnail summaries of THEMIS ASI data are available online (http://themis.ssl.berkeley.edu/gbo/display.py). Specific intervals of THEMIS ASI data are automatically downloaded from the themis.ssl.berkeley.edu site by using the purpose-built software package SPEDAS. This is part of the THEMIS Data Analysis Software (http://themis.ssl.berkeley.edu/software.shtml). KP data are part of the Daily Geomagnetic Data provided by the U.S. Dept. of Commerce, NOAA, Space Weather Prediction Center (http://www.swpc.noaa.gov/products/planetary-k-index). We acknowledge use of the United States (U. S.) Navy data service to obtain Astronomical Twilight times (http://aa.usno.navy.mil/data/docs/RS_OneYear.php). The SML index is available online (supermag.jhuapl.edu). With regard to the use of SML data derived from ground magnetometer data, we gratefully acknowledge Intermagnet; USGS, Jeffrey J. Love; CARISMA, PI Ian Mann; CANMOS; The S-RAMP Database, PI K. Yumoto and Dr.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Dr Rico Behlke; South Pole and McMurdo Magnetometer, PI's Louis J. Lanzarotti and Alan T. Weatherwax; ICESTAR; RAPIDMAG; PENGUIn; British Antarctic Survey; McMac, PI Dr Peter Chi; BGS, PI Dr Susan Macmillan; Pushkov Institute of Terrestrial Magnetism, Ionosphere and Radio Wave Propagation (IZMIRAN); GFZ, PI Dr Juergen Matzka; MFGI, PI B. Heilig; IGFPAS, PI J. Reda; University of L'Aquila, PI M. Vellante; BCMT, V. Lesur and A. Chambodut; Data obtained in cooperation with Geoscience Australia, PI Marina Costelloe; SuperMAG, PI Jesper W. Gjerloev.</t>
  </si>
  <si>
    <t>10.1029/2018JA026067</t>
  </si>
  <si>
    <t>Green Published, Bronze, Green Accepted</t>
  </si>
  <si>
    <t>WOS:000477707800042</t>
  </si>
  <si>
    <t>Wu, YW; Liu, RY; Zhang, BC; Wang, WB; Zhang, SR; Zhang, QH; Hu, HQ; Lu, JY</t>
  </si>
  <si>
    <t>Wu, Ye-Wen; Liu, Rui-Yuan; Zhang, Bei-Chen; Wang, Wen-Bin; Zhang, Shun-Rong; Zhang, Qing-He; Hu, Hong-Qiao; Lu, Jian-Yong</t>
  </si>
  <si>
    <t>The UT Variation of the Polar Ionosphere Based on COSMIC Observations</t>
  </si>
  <si>
    <t>GLOBAL ELECTRON-CONTENT; HIGH-LATITUDE; PATCHES; SIMULATIONS; IONIZATION</t>
  </si>
  <si>
    <t>Mean polar electron content (mPEC) is used to analyze the polar ionosphere in both the Antarctic and Arctic. The mPEC is calculated over the polar region covering geographic latitudes higher than 60 degrees from the global distributed vertical total electron contents based on electron density profiles observed by Constellation Observing System for Meteorology, Ionosphere, and Climate (COSMIC). Using this parameter, the universal time (UT) variation of the polar ionosphere is quantitatively characterized. This UT variation exists an opposite phase (i.e., a 12-hr phase difference) between them. The mPEC standard deviation (SD) in the Antarctic is larger in summer and autumn (being 1.37 and 0.78 TECu, respectively) and smaller in winter (0.29 TECu) and spring (0.61 TECu). The SD in the Arctic, however, is the largest in winter (0.14 TECu). In other seasons, the SD is less than 0.1 TECu. (being 0.07 TECu in spring, 0.05 TECu in summer, and 0.08 TECu in autumn, respectively). We use SD over the mean value to describe relative intensity of mPEC variations. This relative intensity is larger in winter for both Antarctic and Arctic regions. The UT variation in intensity is much stronger in the Antarctic than in the Arctic. These characteristics are attributed to the fact that the separation of the geomagnetic pole and geographic pole is dihedral and the angle is larger in the Antarctic. The larger angle causes more electrons transported into the polar region when the geomagnetic pole is on the dayside and fewer electrons transported into the polar region when the geomagnetic pole is on the nightside.</t>
  </si>
  <si>
    <t>[Wu, Ye-Wen; Lu, Jian-Yong] Nanjing Univ Informat Sci &amp; Technol, Inst Space Weatner, Nanjing, Jiangsu, Peoples R China; [Liu, Rui-Yuan; Zhang, Bei-Chen; Hu, Hong-Qiao] Polar Res Inst China, SOA Key Lab Polar Sci, Shanghai, Peoples R China; [Wang, Wen-Bin] Natl Ctr Atmospher Res, High Altitude Observ, Pob 3000, Boulder, CO 80307 USA; [Zhang, Shun-Rong] MIT, Haystack Observ, Westford, MA 01886 USA; [Zhang, Qing-He] Shandong Univ, Shandong Prov Key Lab Opt Astron &amp; Solar Terr Env, Inst Space Sci, Weihai, Peoples R China</t>
  </si>
  <si>
    <t>Nanjing University of Information Science &amp; Technology; Polar Research Institute of China; National Center Atmospheric Research (NCAR) - USA; Massachusetts Institute of Technology (MIT); Shandong University</t>
  </si>
  <si>
    <t>Wu, YW (corresponding author), Nanjing Univ Informat Sci &amp; Technol, Inst Space Weatner, Nanjing, Jiangsu, Peoples R China.</t>
  </si>
  <si>
    <t>ywwu@nuist.edu.cn</t>
  </si>
  <si>
    <t>Zhang, Qing-He/G-4572-2014; Lu, Jianyong/F-8159-2014; Zhang, Shun-Rong/G-7593-2015; Wang, Wenbin/G-2596-2013</t>
  </si>
  <si>
    <t>Zhang, Qing-He/0000-0003-2429-4050; Lu, Jianyong/0000-0001-7042-5395; Zhang, Shun-Rong/0000-0002-1946-3166; Wang, Wenbin/0000-0002-6287-4542</t>
  </si>
  <si>
    <t>National Key R&amp;D Program of China [2018YFC1407304, 2018YFF01013706]; National Natural Science Foundation of China [41431072]; Natural Science Foundation of Jiangsu Province [BK20140993, BK20140994]; Open Fund of Key Laboratory [201600009, 201801003]; US NSF Geospace Facility Program [AGS-1762141]; MIT; Other Foundation [315030409]</t>
  </si>
  <si>
    <t>National Key R&amp;D Program of China; National Natural Science Foundation of China(National Natural Science Foundation of China (NSFC)); Natural Science Foundation of Jiangsu Province(Natural Science Foundation of Jiangsu Province); Open Fund of Key Laboratory; US NSF Geospace Facility Program; MIT; Other Foundation</t>
  </si>
  <si>
    <t>This work was supported by The National Key R&amp;D Program of China (2018YFC1407304, 2018YFF01013706), National Natural Science Foundation of China (41431072), Natural Science Foundation of Jiangsu Province (grants BK20140993 and BK20140994), Open Fund of Key Laboratory (201600009 and 201801003), and Other Foundation (315030409). The Kp and F107 data are download from CelesTrak website (http://celestrak.com/SpaceData/).The authors thank NCAR for providing the data of COSMIC RO (http://cosmic-io.cosmic.ucar.edu/cdaac/index.html).Research at MIT Haystack Observatory was partially supported by US NSF Geospace Facility Program agreement AGS-1762141 with MIT.</t>
  </si>
  <si>
    <t>10.1029/2018JA026106</t>
  </si>
  <si>
    <t>WOS:000477707800057</t>
  </si>
  <si>
    <t>Benaud, N; Zhang, E; van Dorst, J; Brown, MV; Kalaitzis, JA; Neilan, BA; Ferrari, BC</t>
  </si>
  <si>
    <t>Benaud, Nicole; Zhang, Eden; van Dorst, Josie; Brown, Mark V.; Kalaitzis, John A.; Neilan, Brett A.; Ferrari, Belinda C.</t>
  </si>
  <si>
    <t>Harnessing long-read amplicon sequencing to uncover NRPS and Type I PKS gene sequence diversity in polar desert soils</t>
  </si>
  <si>
    <t>FEMS MICROBIOLOGY ECOLOGY</t>
  </si>
  <si>
    <t>polar soil; microbial biodiversity; amplicon sequencing; polyketides; non-ribosomal peptides</t>
  </si>
  <si>
    <t>NATURAL-PRODUCTS; NONRIBOSOMAL PEPTIDE; COMMUNITY STRUCTURE; BIOSYNTHESIS; SURFACTANTS; DISCOVERY</t>
  </si>
  <si>
    <t>The severity of environmental conditions at Earth's frigid zones present attractive opportunities for microbial biomining due to their heightened potential as reservoirs for novel secondary metabolites. Arid soil microbiomes within the Antarctic and Arctic circles are remarkably rich in Actinobacteria and Proteobacteria, bacterial phyla known to be prolific producers of natural products. Yet the diversity of secondary metabolite genes within these cold, extreme environments remain largely unknown. Here, we employed amplicon sequencing using PacBio RS II, a third generation long-read platform, to survey over 200 soils spanning twelve east Antarctic and high Arctic sites for natural product-encoding genes, specifically targeting non-ribosomal peptides (NRPS) and Type I polyketides (PKS). NRPS-encoding genes were more widespread across the Antarctic, whereas PKS genes were only recoverable from a handful of sites. Many recovered sequences were deemed novel due to their low amino acid sequence similarity to known protein sequences, particularly throughout the east Antarctic sites. Phylogenetic analysis revealed that a high proportion were most similar to antifungal and biosurfactant-type clusters. Multivariate analysis showed that soil fertility factors of carbon, nitrogen and moisture displayed significant negative relationships with natural product gene richness. Our combined results suggest that secondary metabolite production is likely to play an important physiological component of survival for microorganisms inhabiting arid, nutrient-starved soils.</t>
  </si>
  <si>
    <t>[Benaud, Nicole; Zhang, Eden; van Dorst, Josie; Kalaitzis, John A.; Ferrari, Belinda C.] UNSW, Sch Biotechnol &amp; Biomol Sci, Sydney, NSW 2052, Australia; [Brown, Mark V.; Neilan, Brett A.] Univ Newcastle, Sch Environm &amp; Life Sci, Callaghan, NSW 2308, Australia</t>
  </si>
  <si>
    <t>University of New South Wales Sydney; University of Newcastle</t>
  </si>
  <si>
    <t>Ferrari, BC (corresponding author), UNSW, Sch Biotechnol &amp; Biomol Sci, Sydney, NSW 2052, Australia.</t>
  </si>
  <si>
    <t>b.ferrari@unsw.edu.au</t>
  </si>
  <si>
    <t>Kalaitzis, John A/B-5553-2009; Ferrari, Belinda/AAI-3022-2020; Neilan, Brett A/I-5767-2012</t>
  </si>
  <si>
    <t>Ferrari, Belinda/0000-0001-5043-3726; Neilan, Brett A/0000-0001-6113-772X; van Dorst, Josie/0000-0002-9353-8787; Kalaitzis, John/0000-0001-9647-7652; Benaud, Nicole/0000-0002-1649-7096</t>
  </si>
  <si>
    <t>Hermon-Slade Foundation [HSF15/13]; Australian Government Research Training Program (RTP) Scholarship</t>
  </si>
  <si>
    <t>Hermon-Slade Foundation; Australian Government Research Training Program (RTP) Scholarship(Australian GovernmentDepartment of Industry, Innovation and Science)</t>
  </si>
  <si>
    <t>The authors would like to thank the Australian Antarctic Division's expedition teams in 2005 and 2012 for sample collection. We also thank Steve Siciliano for soil sampling, and Brigid Betz-Stablein and Mark Tanaka from UNSW Sydney's Stats Central for statistical advice. This work was supported by a Hermon-Slade Foundation Grant HSF15/13 awarded to BCF, an Australian Government Research Training Program (RTP) Scholarship awarded to NB and Bioplatforms Australia who supported provision of Vestfold Hills biodiversity data.</t>
  </si>
  <si>
    <t>0168-6496</t>
  </si>
  <si>
    <t>1574-6941</t>
  </si>
  <si>
    <t>FEMS MICROBIOL ECOL</t>
  </si>
  <si>
    <t>FEMS Microbiol. Ecol.</t>
  </si>
  <si>
    <t>fiz031</t>
  </si>
  <si>
    <t>10.1093/femsec/fiz031</t>
  </si>
  <si>
    <t>IH8NH</t>
  </si>
  <si>
    <t>WOS:000474761500006</t>
  </si>
  <si>
    <t>Straume, EO; Gaina, C; Medvedev, S; Hochmuth, K; Gohl, K; Whittaker, JM; Fattah, RA; Doornenbal, JC; Hopper, JR</t>
  </si>
  <si>
    <t>Straume, E. O.; Gaina, C.; Medvedev, S.; Hochmuth, K.; Gohl, K.; Whittaker, J. M.; Fattah, R. Abdul; Doornenbal, J. C.; Hopper, J. R.</t>
  </si>
  <si>
    <t>GlobSed: Updated Total Sediment Thickness in the World's Oceans</t>
  </si>
  <si>
    <t>GEOCHEMISTRY GEOPHYSICS GEOSYSTEMS</t>
  </si>
  <si>
    <t>LARGE IGNEOUS PROVINCES; CRUSTAL STRUCTURE; HEAT-FLOW; MODEL; SHELF; STRATIGRAPHY; BATHYMETRY; MARGIN; DEPTH</t>
  </si>
  <si>
    <t>We present GlobSed, a new global 5-arc-minute total sediment thickness grid for the world's oceans and marginal seas. GlobSed covers a larger area than previously published global grids and incorporates updates for the NE Atlantic, Arctic, Southern Ocean, and Mediterranean regions, which results in a 29.7% increase in estimated total oceanic sediment volume. We use this new global grid and a revised global oceanic lithospheric age grid to assess the relationship between the total sediment thickness and age of the underlying oceanic lithosphere and its latitude. An analytical approximation model is used to mathematically describe sedimentation trends in major oceanic basins and to allow paleobathymetric reconstructions at any given geological time. This study provides a much-needed update of the sediment thickness distribution of the world oceans and delivers a model for sedimentation rates on oceanic crust through time that agrees well with selected drill data used for comparison. Plain Language Summary We have constructed a new global ocean sediment thickness map, GlobSed, from previously published maps and new data compiled in this study. GlobSed is used together with a new map of lithospheric ages developed for this study to analyze how sediment thickness changes with respect to the age of the underlying oceanic crust and latitude. The results show a clear age-latitude dependence where sediment thickness increases with age of the oceanic crust, toward high southern and northern latitudes and toward the equator. In addition, we calculate the total volume of sediments in the oceans, which shows an increase of 29.7%, compared to previously published global maps. Further, we develop a mathematical formula for sediment thickness as a function of age and latitude that describes the sediment thickness pattern in the oceans within reasonable error, and we suggest that this is a good approximation for estimating sediment thickness in oceanic basins through time.</t>
  </si>
  <si>
    <t>[Straume, E. O.; Gaina, C.; Medvedev, S.] Univ Oslo, Ctr Earth Evolut &amp; Dynam, Dept Geosci, Oslo, Norway; [Hochmuth, K.; Gohl, K.] Helmholtz Ctr Polar &amp; Marine Res, Alfred Wegener Inst, Bremerhaven, Germany; [Whittaker, J. M.] Univ Tasmania, Inst Marine &amp; Antarctic Studies, Hobart, Tas, Australia; [Fattah, R. Abdul; Doornenbal, J. C.] TNO, Geol Survey Netherlands, Utrecht, Netherlands; [Hopper, J. R.] Geol Survey Denmark &amp; Greenland, Copenhagen, Denmark</t>
  </si>
  <si>
    <t>University of Oslo; Helmholtz Association; Alfred Wegener Institute, Helmholtz Centre for Polar &amp; Marine Research; University of Tasmania; Netherlands Organization Applied Science Research; Geological Survey Of Denmark &amp; Greenland</t>
  </si>
  <si>
    <t>Straume, EO (corresponding author), Univ Oslo, Ctr Earth Evolut &amp; Dynam, Dept Geosci, Oslo, Norway.</t>
  </si>
  <si>
    <t>e.o.straume@geo.uio.no</t>
  </si>
  <si>
    <t>Gaina, Carmen/I-5213-2015; Medvedev, Sergey Nikolaevich/KHW-9118-2024; Hopper, John Robert/B-1710-2010; Medvedev, Sergei/A-4444-2012; Whittaker, Joanne/B-3695-2010</t>
  </si>
  <si>
    <t>Gaina, Carmen/0000-0001-5533-8103; Hopper, John Robert/0000-0003-3188-7583; Medvedev, Sergei/0000-0002-0224-2519; Straume, Eivind/0000-0003-2787-0906; Gohl, Karsten/0000-0002-9558-2116; Hochmuth, Katharina/0000-0003-2789-2179; Whittaker, Joanne/0000-0002-3170-3935</t>
  </si>
  <si>
    <t>Research Council of Norway through its Centers of Excellence funding scheme [223272]; MatNat Faculty at the University of Oslo; Australian Research Council [DE150130]; German Research Foundation (DFG) [GO-274/15]</t>
  </si>
  <si>
    <t>Research Council of Norway through its Centers of Excellence funding scheme(Research Council of Norway); MatNat Faculty at the University of Oslo; Australian Research Council(Australian Research Council); German Research Foundation (DFG)(German Research Foundation (DFG))</t>
  </si>
  <si>
    <t>The Associate Editor Alina Polonia and reviewer Neil Mitchell and an anonymous reviewer are thanked for their excellent suggestions that improved our manuscript. E. S., C. G., and S. M. acknowledge support from the Research Council of Norway through its Centers of Excellence funding scheme, project 223272. E. S. acknowledges support from the MatNat Faculty at the University of Oslo. K. H. has been funded by the German Research Foundation (DFG) grant GO-274/15. J. M. W. acknowledges funding from the Australian Research Council grant DE150130. The NAG-TEC group and sponsors are acknowledged for use of the North Atlantic grid (Hopper et al., 2014; Peron-Pinvidic et al., 2017). Grid compilation and figures were made using Generic Mapping Tools (GMT; Wessel et al., 2013). Perceptually uniform color maps are used in this study to prevent visual distortion of the data (Crameri, 2018a; Crameri, 2018b). The digital global total sediment thickness (GlobSed) and the oceanic lithosphere age grid will be archived by NCEI.</t>
  </si>
  <si>
    <t>1525-2027</t>
  </si>
  <si>
    <t>GEOCHEM GEOPHY GEOSY</t>
  </si>
  <si>
    <t>Geochem. Geophys. Geosyst.</t>
  </si>
  <si>
    <t>10.1029/2018GC008115</t>
  </si>
  <si>
    <t>IG3BD</t>
  </si>
  <si>
    <t>Green Published, Green Accepted, Bronze, Green Submitted</t>
  </si>
  <si>
    <t>WOS:000473674300005</t>
  </si>
  <si>
    <t>MacDonald, K</t>
  </si>
  <si>
    <t>MacDonald, Kristie</t>
  </si>
  <si>
    <t>ANTARCTIC BIENNALE</t>
  </si>
  <si>
    <t>JOURNAL OF CURATORIAL STUDIES</t>
  </si>
  <si>
    <t>Art Exhibit Review</t>
  </si>
  <si>
    <t>[MacDonald, Kristie] York Univ, N York, ON, Canada</t>
  </si>
  <si>
    <t>York University - Canada</t>
  </si>
  <si>
    <t>MacDonald, K (corresponding author), York Univ, N York, ON, Canada.</t>
  </si>
  <si>
    <t>kmacd@yorku.ca</t>
  </si>
  <si>
    <t>INTELLECT LTD</t>
  </si>
  <si>
    <t>THE MILL, PARNALL RD, BRISTOL, BS16 3JG, ENGLAND</t>
  </si>
  <si>
    <t>2045-5836</t>
  </si>
  <si>
    <t>2045-5844</t>
  </si>
  <si>
    <t>J CURATOR STUD</t>
  </si>
  <si>
    <t>J. Curator. Stud.</t>
  </si>
  <si>
    <t>APR 1</t>
  </si>
  <si>
    <t>Humanities, Multidisciplinary</t>
  </si>
  <si>
    <t>Emerging Sources Citation Index (ESCI)</t>
  </si>
  <si>
    <t>Arts &amp; Humanities - Other Topics</t>
  </si>
  <si>
    <t>IH6UX</t>
  </si>
  <si>
    <t>WOS:000474638100017</t>
  </si>
  <si>
    <t>Bensi, M; Kovacevic, V; Langone, L; Aliani, S; Ursella, L; Goszczko, I; Soltwedel, T; Skogseth, R; Nilsen, F; Deponte, D; Mansutti, P; Laterza, R; Rebesco, M; Rui, L; Lucchi, RG; Wåhlin, A; Viola, A; Beszczynska-Möller, A; Rubino, A</t>
  </si>
  <si>
    <t>Bensi, Manuel; Kovacevic, Vedrana; Langone, Leonardo; Aliani, Stefano; Ursella, Laura; Goszczko, Ilona; Soltwedel, Thomas; Skogseth, Ragnheid; Nilsen, Frank; Deponte, Davide; Mansutti, Paolo; Laterza, Roberto; Rebesco, Michele; Rui, Leonardo; Lucchi, Renata Giulia; Wahlin, Anna; Viola, Angelo; Beszczynska-Moller, Agnieszka; Rubino, Angelo</t>
  </si>
  <si>
    <t>Deep Flow Variability Offshore South-West Svalbard (Fram Strait)</t>
  </si>
  <si>
    <t>WATER</t>
  </si>
  <si>
    <t>Fram Strait; deep sea thermohaline variability; slope currents; wind-induced processes; shelf-slope dynamics</t>
  </si>
  <si>
    <t>ATLANTIC WATER; DENSE WATER; SPITSBERGEN CURRENT; ICE PRODUCTION; ARCTIC-OCEAN; STORFJORDEN OVERFLOW; SHELF; BOTTOM; CIRCULATION; GREENLAND</t>
  </si>
  <si>
    <t>Water mass generation and mixing in the eastern Fram Strait are strongly influenced by the interaction between Atlantic and Arctic waters and by the local atmospheric forcing, which produce dense water that substantially contributes to maintaining the global thermohaline circulation. The West Spitsbergen margin is an ideal area to study such processes. Hence, in order to investigate the deep flow variability on short-term, seasonal, and multiannual timescales, two moorings were deployed at 1040 m depth on the southwest Spitsbergen continental slope. We present and discuss time series data collected between June 2014 and June 2016. They reveal thermohaline and current fluctuations that were largest from October to April, when the deep layer, typically occupied by Norwegian Sea Deep Water, was perturbed by sporadic intrusions of warmer, saltier, and less dense water. Surprisingly, the observed anomalies occurred quasi-simultaneously at both sites, despite their distance (170 km). We argue that these anomalies may arise mainly by the effect of topographically trapped waves excited and modulated by atmospheric forcing. Propagation of internal waves causes a change in the vertical distribution of the Atlantic water, which can reach deep layers. During such events, strong currents typically precede thermohaline variations without significant changes in turbidity. However, turbidity increases during April-June in concomitance with enhanced downslope currents. Since prolonged injections of warm water within the deep layer could lead to a progressive reduction of the density of the abyssal water moving toward the Arctic Ocean, understanding the interplay between shelf, slope, and deep waters along the west Spitsbergen margin could be crucial for making projections on future changes in the global thermohaline circulation.</t>
  </si>
  <si>
    <t>[Bensi, Manuel; Kovacevic, Vedrana; Ursella, Laura; Deponte, Davide; Mansutti, Paolo; Laterza, Roberto; Rebesco, Michele; Rui, Leonardo; Lucchi, Renata Giulia] Natl Inst Oceanog &amp; Appl Geophys, OGS, I-34010 Sgonico, Italy; [Langone, Leonardo; Aliani, Stefano] Italian Natl Res Council, Inst Marine Sci, ISMAR, CNR, I-30122 Venice, Italy; [Goszczko, Ilona; Beszczynska-Moller, Agnieszka] Polish Acad Sci, Inst Oceanol, IOPAN, PL-81712 Sopot, Poland; [Soltwedel, Thomas] Helmholtz Ctr Polar &amp; Marine Res, AWI, D-27570 Bremerhaven, Germany; [Skogseth, Ragnheid; Nilsen, Frank] Univ Ctr Svalbard, UNIS, Arctic Geophys Dept, POB 156, N-9171 Longyearbyen, Norway; [Wahlin, Anna] Univ Gothenburg, UGOT, Dept Marine Sci, SE-40530 Gothenburg, Sweden; [Viola, Angelo] Italian Natl Res Council, Inst Atmospher Sci &amp; Climate, ISAC, CNR, I-40129 Bologna, Italy; [Rubino, Angelo] Univ Ca Foscari Venice, DAIS, Dept Environm Sci Informat &amp; Stat, I-30172 Venice, Italy</t>
  </si>
  <si>
    <t>Istituto Nazionale di Oceanografia e di Geofisica Sperimentale; Consiglio Nazionale delle Ricerche (CNR); Istituto di Scienze Marine (ISMAR-CNR); Polish Academy of Sciences; Institute of Oceanology of the Polish Academy of Sciences; Helmholtz Association; Alfred Wegener Institute, Helmholtz Centre for Polar &amp; Marine Research; University Centre Svalbard (UNIS); University of Gothenburg; Consiglio Nazionale delle Ricerche (CNR); Istituto di Scienze dell'Atmosfera e del Clima (ISAC-CNR); Universita Ca Foscari Venezia</t>
  </si>
  <si>
    <t>Bensi, M (corresponding author), Natl Inst Oceanog &amp; Appl Geophys, OGS, I-34010 Sgonico, Italy.</t>
  </si>
  <si>
    <t>mbensi@inogs.it; vkovacevic@inogs.it; leonardo.langone@bo.ismar.cnr.it; stefano.aliani@sp.ismar.cnr.it; lursella@inogs.it; ilona_g@iopan.gda.pl; thomas.soltwedel@awi.de; Ragnheid.Skogseth@unis.no; Frank.Nilsen@unis.no; ddeponte@inogs.it; pmansutti@inogs.it; rlaterza@inogs.it; mrebesco@inogs.it; lrui@inogs.it; rlucchi@inogs.it; anna.wahlin@marine.gu.se; angelo.viola@artov.isac.cnr.it; abesz@iopan.gda.pl; rubino@unive.it</t>
  </si>
  <si>
    <t>Bensi, Manuel/AAV-2101-2020; Soltwedel, Thomas/P-1852-2016; Rebesco, Michele/B-7462-2014; Bensi, Manuel/JXN-8991-2024; Aliani, Stefano/B-5854-2012; Wahlin, Anna/U-3790-2017</t>
  </si>
  <si>
    <t>Bensi, Manuel/0000-0002-0548-7351; Soltwedel, Thomas/0000-0002-8214-5937; Rebesco, Michele/0000-0002-9492-4081; Aliani, Stefano/0000-0002-2555-4398; Ursella, Laura/0000-0003-1714-1451; Wahlin, Anna/0000-0003-1799-6476; Deponte, Davide/0000-0001-8098-094X; Skogseth, Ragnheid/0000-0003-0210-4981; Beszczynska-Moller, Agnieszka/0000-0002-8108-6306; Lucchi, Renata Giulia/0000-0001-5111-6968; Kovacevic, Vedrana/0000-0002-3615-7064; Goszczko, Ilona/0000-0002-5719-5860</t>
  </si>
  <si>
    <t>FP7-EU/Eurofleets2 initiative through the PREPARED (PREsent and PAst flow REgime on contourite Drifts west of Spitsbergen) project; Italian Ministry of University and Research through the National Programme of Research in Antarctic (PNRA), project DEFROST (DEep Flow Regime Off SpiTsbergen); Svalbard Integrated Arctic Earth Observing System (SIOS) [2017_0007]</t>
  </si>
  <si>
    <t>FP7-EU/Eurofleets2 initiative through the PREPARED (PREsent and PAst flow REgime on contourite Drifts west of Spitsbergen) project; Italian Ministry of University and Research through the National Programme of Research in Antarctic (PNRA), project DEFROST (DEep Flow Regime Off SpiTsbergen); Svalbard Integrated Arctic Earth Observing System (SIOS)</t>
  </si>
  <si>
    <t>This research was funded by the FP7-EU/Eurofleets2 initiative through the PREPARED (PREsent and PAst flow REgime on contourite Drifts west of Spitsbergen) project and by the Italian Ministry of University and Research through the National Programme of Research in Antarctic (PNRA), project DEFROST (DEep Flow Regime Off SpiTsbergen). This study was partially supported by the Svalbard Integrated Arctic Earth Observing System (SIOS) through the first SESS report pilot call (SOA project, contract no 2017_0007).</t>
  </si>
  <si>
    <t>2073-4441</t>
  </si>
  <si>
    <t>WATER-SUI</t>
  </si>
  <si>
    <t>Water</t>
  </si>
  <si>
    <t>10.3390/w11040683</t>
  </si>
  <si>
    <t>Environmental Sciences; Water Resources</t>
  </si>
  <si>
    <t>Environmental Sciences &amp; Ecology; Water Resources</t>
  </si>
  <si>
    <t>IF5FC</t>
  </si>
  <si>
    <t>Green Submitted, Green Published, gold, Green Accepted</t>
  </si>
  <si>
    <t>WOS:000473105700053</t>
  </si>
  <si>
    <t>Cole, TL; Ksepka, DT; Mitchell, KJ; Tennyson, AJD; Thomas, DB; Pan, HL; Zhang, GJ; Rawlence, NJ; Wood, JR; Bover, P; Bouzat, JL; Cooper, A; Fiddaman, SR; Hart, T; Miller, G; Ryan, PG; Shepherd, LD; Wilmshurst, JM; Waters, JM</t>
  </si>
  <si>
    <t>Cole, Theresa L.; Ksepka, Daniel T.; Mitchell, Kieren J.; Tennyson, Alan J. D.; Thomas, Daniel B.; Pan, Hailin; Zhang, Guojie; Rawlence, Nicolas J.; Wood, Jamie R.; Bover, Pere; Bouzat, Juan L.; Cooper, Alan; Fiddaman, Steven R.; Hart, Tom; Miller, Gary; Ryan, Peter G.; Shepherd, Lara D.; Wilmshurst, Janet M.; Waters, Jonathan M.</t>
  </si>
  <si>
    <t>Mitogenomes Uncover Extinct Penguin Taxa and Reveal Island Formation as a Key Driver of Speciation</t>
  </si>
  <si>
    <t>MOLECULAR BIOLOGY AND EVOLUTION</t>
  </si>
  <si>
    <t>Sphenisciformes; ancient DNA; fossil calibrations; Eudyptes warhami; Megadyptes antipodes richdalei</t>
  </si>
  <si>
    <t>ANCIENT DNA REVEALS; CHATHAM ISLANDS; NEW-ZEALAND; EXTANT PENGUINS; FOSSIL PENGUINS; DIVERSIFICATION; DISPERSAL; SPHENISCIFORMES; AVES; COLONIZATION</t>
  </si>
  <si>
    <t>The emergence of islands has been linked to spectacular radiations of diverse organisms. Although penguins spend much of their lives at sea, they rely on land for nesting, and a high proportion of extant species are endemic to geologically young islands. Islands may thus have been crucial to the evolutionary diversification of penguins. We test this hypothesis using a fossil-calibrated phylogeny of mitochondrial genomes (mitogenomes) from all extant and recently extinct penguin taxa. Our temporal analysis demonstrates that numerous recent island-endemic penguin taxa diverged following the formation of their islands during the Plio-Pleistocene, including the Galapagos (Galapagos Islands), northern rockhopper (Gough Island), erect-crested (Antipodes Islands), Snares crested (Snares) and royal (Macquarie Island) penguins. Our analysis also reveals two new recently extinct island-endemic penguin taxa from New Zealand's Chatham Islands: Eudyptes warhami sp. nov. and a dwarf subspecies of the yellow-eyed penguin, Megadyptes antipodes richdalei ssp. nov. Eudyptes warhami diverged from the Antipodes Islands erect-crested penguin between 1.1 and 2.5Ma, shortly after the emergence of the Chatham Islands (similar to 3Ma). This new finding of recently evolved taxa on this young archipelago provides further evidence that the radiation of penguins over the last 5 Ma has been linked to island emergence. Mitogenomic analyses of all penguin species, and the discovery of two new extinct penguin taxa, highlight the importance of island formation in the diversification of penguins, as well as the extent to which anthropogenic extinctions have affected island-endemic taxa across the Southern Hemisphere's isolated archipelagos.</t>
  </si>
  <si>
    <t>[Cole, Theresa L.; Rawlence, Nicolas J.; Waters, Jonathan M.] Univ Otago, Dept Zool, Dunedin, New Zealand; [Cole, Theresa L.; Wood, Jamie R.; Wilmshurst, Janet M.] Manaaki Whenua Landcare Res, Canterbury, New Zealand; [Ksepka, Daniel T.] Bruce Museum, Greenwich, CT USA; [Mitchell, Kieren J.; Bover, Pere; Cooper, Alan] Univ Adelaide, Sch Biol Sci, Australian Ctr Ancient DNA, Adelaide, SA, Australia; [Tennyson, Alan J. D.; Shepherd, Lara D.] Museum New Zealand Te Papa Tongarewa, Wellington, New Zealand; [Thomas, Daniel B.] Massey Univ, Inst Nat &amp; Math Sci, Auckland, New Zealand; [Pan, Hailin; Zhang, Guojie] Chinese Acad Sci, Kunming Inst Zool, State Key Lab Genet Resources &amp; Evolut, Kunming, Yunnan, Peoples R China; [Pan, Hailin; Zhang, Guojie] BGI Shenzhen, China Natl Genebank, Shenzhen, Guangdong, Peoples R China; [Pan, Hailin; Zhang, Guojie] Univ Copenhagen, Dept Biol, Ctr Social Evolut, Copenhagen, Denmark; [Bover, Pere] Univ Zaragoza, ARAID Fdn, IUCA Grp Aragosaurus, Zaragoza, Spain; [Bouzat, Juan L.] Bowling Green State Univ, Dept Biol Sci, Bowling Green, OH 43403 USA; [Fiddaman, Steven R.; Hart, Tom] Univ Oxford, Dept Zool, Oxford, England; [Miller, Gary] Univ Western Australia, Div Pathol &amp; Lab Med, Crawley, WA, Australia; [Miller, Gary] Univ Tasmania, Inst Marine &amp; Antarctic Studies, Hobart, Tas, Australia; [Ryan, Peter G.] Univ Cape Town, FitzPatrick Inst African Ornithol, DST NRF Ctr Excellence, Rondebosch, South Africa; [Wilmshurst, Janet M.] Univ Auckland, Sch Environm, Auckland, New Zealand</t>
  </si>
  <si>
    <t>University of Otago; Landcare Research - New Zealand; University of Adelaide; Massey University; Chinese Academy of Sciences; Kunming Institute of Zoology, CAS; Beijing Genomics Institute (BGI); University of Copenhagen; University of Zaragoza; University System of Ohio; Bowling Green State University; University of Oxford; University of Western Australia; University of Tasmania; University of Cape Town; National Research Foundation - South Africa; University of Auckland</t>
  </si>
  <si>
    <t>Cole, TL (corresponding author), Univ Otago, Dept Zool, Dunedin, New Zealand.;Cole, TL (corresponding author), Manaaki Whenua Landcare Res, Canterbury, New Zealand.</t>
  </si>
  <si>
    <t>tesscole1990@gmail.com</t>
  </si>
  <si>
    <t>Zhang, Guojie/HCH-1880-2022; Waters, Jonathan/B-4983-2009; Wood, Jamie/AAU-5530-2021; Fiddaman, Steven/HZL-9651-2023; Shepherd, Lara D/E-6663-2011; Cooper, Alan/E-8171-2012; Zhang, Guojie/J-7273-2019; Wood, Jamie/A-9393-2008</t>
  </si>
  <si>
    <t>Waters, Jonathan/0000-0002-1514-7916; Mitchell, Kieren/0000-0002-3921-0262; Zhang, Guojie/0000-0001-6860-1521; Cooper, Alan/0000-0002-7738-7851; Shepherd, Lara/0000-0002-7136-0017; Cole, Theresa/0000-0002-0197-286X; Bover Arbos, Pedro/0000-0003-2942-2840; Fiddaman, Steven/0000-0001-8222-7687; Wood, Jamie/0000-0001-8008-6083</t>
  </si>
  <si>
    <t>Marsden Fund [UOO1112, LCR1102]; BGI Hong Kong; Australian Research Council; National Science Foundation [DEB 1556615]; Rutherford Discovery Fellowship [RDF-MNZ1201]; Landcare Research; University of Otago; Otago University Postgraduate Scholarship</t>
  </si>
  <si>
    <t>Marsden Fund(Royal Society of New ZealandMarsden Fund (NZ)); BGI Hong Kong; Australian Research Council(Australian Research Council); National Science Foundation(National Science Foundation (NSF)); Rutherford Discovery Fellowship(Royal Society of New Zealand); Landcare Research; University of Otago; Otago University Postgraduate Scholarship</t>
  </si>
  <si>
    <t>We thank M. Rayner (Auckland War Memorial Museum) for bone measurements; V. De Pietri, P. Scofield, E. Burns, and T. Webster for access to Canterbury and Otago Museum collections; J-C. Stahl for photographs; E. Fordyce, J. Scott, W. Lee, N. Mortimer, M. Knapp, and P. Scofield and T. Worthy for discussions; and S. Petersen and A. Black for field assistance. Ethics approval came from the University ofOtago, University of Oxford, University of Cape Town, Zoological Society of London and BGI Hong Kong. Collection permits were provided by the Government of South Georgia and the South Sandwich Islands and the South African National Antarctic Programme. This work was supported by the Marsden Fund (UOO1112, LCR1102), BGI Hong Kong, Australian Research Council, a National Science Foundation Award (DEB 1556615), a Rutherford Discovery Fellowship (RDF-MNZ1201), Landcare Research and the University of Otago. T.L.C. was funded by an Otago University Postgraduate Scholarship. Sequences and calibrated tree files are available on GenBank (MK290241-MK290284) and/or Figshare (doi: 10.6084/m9.figshare.c.4329029), and nomenclatural acts have been registered in ZooBank (urn: lsid: zoobank.org: act: 640EE978-13B5-4913-BB4E-6E16395325AC; urn: lsid: zoobank.org: act: 169A6F00-1564-4977-B56B-09005591A88E).</t>
  </si>
  <si>
    <t>0737-4038</t>
  </si>
  <si>
    <t>1537-1719</t>
  </si>
  <si>
    <t>MOL BIOL EVOL</t>
  </si>
  <si>
    <t>Mol. Biol. Evol.</t>
  </si>
  <si>
    <t>10.1093/molbev/msz017</t>
  </si>
  <si>
    <t>Biochemistry &amp; Molecular Biology; Evolutionary Biology; Genetics &amp; Heredity</t>
  </si>
  <si>
    <t>IG1VM</t>
  </si>
  <si>
    <t>Bronze, Green Submitted</t>
  </si>
  <si>
    <t>WOS:000473583700011</t>
  </si>
  <si>
    <t>Nachtsheim, DA; Ryan, S; Schröder, M; Jensen, L; Oosthuizen, WC; Bester, MN; Hagen, W; Bornemann, H</t>
  </si>
  <si>
    <t>Nachtsheim, Dominik A.; Ryan, Svenja; Schroeder, Michael; Jensen, Laura; Oosthuizen, W. Chris; Bester, Marthan N.; Hagen, Wilhelm; Bornemann, Horst</t>
  </si>
  <si>
    <t>Foraging behaviour of Weddell seals (Leptonychotes weddellii) in connection to oceanographic conditions in the southern Weddell Sea</t>
  </si>
  <si>
    <t>Marine top predators; Diving behaviour; Foraging metrics; Bio-telemetry; Weddell Sea; Physical oceanography</t>
  </si>
  <si>
    <t>CRAB-EATER SEALS; ELEPHANT SEALS; ANTARCTIC ICE; PLEURAGRAMMA-ANTARCTICUM; CONTINENTAL-SHELF; DIVING BEHAVIOR; MCMURDO-SOUND; ECOLOGY; WINTER; DIET</t>
  </si>
  <si>
    <t>The region of the Filchner Outflow System (FOS) in the southeastern Weddell Sea is characterized by intensive and complex interactions of different water masses. Dense Ice Shelf Water (ISW) emerging from beneath the ice shelf cavities on the continental shelf, meets Modified Warm Deep Water (MWDW) originating from the Antarctic Circumpolar Current at the sill of the Filchner Trough. These hydrographic features convert the FOS into an oceanographic key region, which may also show enhanced biological productivity and corresponding aggregations of marine top predators. In this context, six adult Weddell seals (Leptonychotes weddellii) were instrumented with CTD-combined satellite relay data loggers in austral summer 2014. By means of these long-term data loggers we aimed at investigating the influence of environmental conditions on the seals' foraging behaviour throughout seasons, focussing on the local oceanographic features. Weddell seals performed pelagic and demersal dives, mainly on the continental shelf, where they presumably exploited the abundant benthopelagic fish fauna. Diurnal and seasonal variations in light availability affected foraging activities. MWDW was associated with increased foraging effort. However, we observed differences in movements and habitat use between two different groups of Weddell seals. Seals tagged in the pack ice of the FOS focussed their foraging activities to the western and, partly, eastern flank of the Filchner Trough, which coincides with inflow pathways of MWDW. In contrast, Weddell seals tagged on the coastal fast ice exhibited typical central-place foraging and utilized resources close to their colony. High foraging effort in MWDW and high utilization of areas associated with an inflow of MWDW raise questions on the underlying biological features. This emphasizes the importance of further interdisciplinary ecological investigations in the near future, as the FOS may soon be impacted by predicted climatic changes.</t>
  </si>
  <si>
    <t>[Nachtsheim, Dominik A.; Ryan, Svenja; Schroeder, Michael; Jensen, Laura; Bornemann, Horst] Helmholtz Zentrum Polar &amp; Meeresforsch, Atfred Wegener Inst, Handelshafen 12, D-27570 Bremerhaven, Germany; [Nachtsheim, Dominik A.; Hagen, Wilhelm] Univ Bremen, Marine Zool, BreMarE Bremen Marine Ecol, POB 330490, D-28334 Bremen, Germany; [Oosthuizen, W. Chris; Bester, Marthan N.] Univ Pretoria, Mammal Res Inst, Dept Zool &amp; Entomol, Private Bag X20, ZA-0028 Pretoria, South Africa</t>
  </si>
  <si>
    <t>Helmholtz Association; Alfred Wegener Institute, Helmholtz Centre for Polar &amp; Marine Research; University of Bremen; University of Pretoria</t>
  </si>
  <si>
    <t>Nachtsheim, DA (corresponding author), Univ Vet Med Hannover, Inst Terr &amp; Aquat Wildlife Res, Werftstr 6, D-25761 Busum, Germany.</t>
  </si>
  <si>
    <t>dominik.nachtsheim@tiho-hannover.de</t>
  </si>
  <si>
    <t>Oosthuizen, W. Chris/I-2947-2016</t>
  </si>
  <si>
    <t>Oosthuizen, W. Chris/0000-0003-2905-6297; Ryan, Svenja/0000-0001-9427-2127; Jensen, Laura/0000-0002-8318-791X; Nachtsheim, Dominik Andre/0000-0002-1010-3527; Hagen, Wilhelm/0000-0002-7462-9931</t>
  </si>
  <si>
    <t>Department Logistics and Research Platforms of the Alfred-Wegener-Institute, Helmholtz-Zentrum fur Polar- und Meeresforschung, Germany [AWI_PS82_03]</t>
  </si>
  <si>
    <t>Department Logistics and Research Platforms of the Alfred-Wegener-Institute, Helmholtz-Zentrum fur Polar- und Meeresforschung, Germany</t>
  </si>
  <si>
    <t>We would like to thank captain Stefan Schwarze and the officers and crew of RV Polarstern as well as the chief pilot Lars Vaupel, the team of HeliService International GmbH, Polarstern chief scientist and scientific coordinator Rainer Knust, and our colleagues of the Department Logistics and Research Platforms of the Alfred-Wegener-Institute, Helmholtz-Zentrum fur Polar- und Meeresforschung, Germany for their excellent support during the expedition PS82 (Grant No. AWI_PS82_03). We are grateful to Fabien Roquet for outstanding care and processing of the seal -data within the MEOP project. The marine mammal data were collected and made freely available by the International MEOP Consortium and the national programs that contribute to it (http://www.meop.net). Furthermore, we are grateful to Karin Boos and Trevor McIntyre, who gave helpful advice in statistical issues and kindly provided their R scripts for parts of the analyses. We also thank Isabelle Ansorge and one anonymous reviewer for their constructive and helpful comments, which improved our manuscript substantially.</t>
  </si>
  <si>
    <t>10.1016/j.pocean.2019.02.013</t>
  </si>
  <si>
    <t>ID5TN</t>
  </si>
  <si>
    <t>hybrid, Green Published, Green Accepted</t>
  </si>
  <si>
    <t>WOS:000471739000012</t>
  </si>
  <si>
    <t>Nielsen, SB; Jochum, M; Pedro, JB; Eden, C; Nuterman, R</t>
  </si>
  <si>
    <t>Nielsen, Soren B.; Jochum, Markus; Pedro, Joel B.; Eden, Carsten; Nuterman, Roman</t>
  </si>
  <si>
    <t>Two-Timescale Carbon Cycle Response to an AMOC Collapse</t>
  </si>
  <si>
    <t>PALEOCEANOGRAPHY AND PALEOCLIMATOLOGY</t>
  </si>
  <si>
    <t>MERIDIONAL OVERTURNING CIRCULATION; EARTH SYSTEM MODEL; ATMOSPHERIC CO2; OCEAN CIRCULATION; GLACIAL CLIMATE; SOUTHERN-OCEAN; DISSIPATION; ICE; DECLINE; MONSOON</t>
  </si>
  <si>
    <t>Atmospheric CO2 concentrations (pCO(2)) varied on millennial timescales in phase with Antarctic temperature during the last glacial period. A prevailing view has been that carbon release and uptake by the Southern Ocean dominated this millennial-scale variability in pCO(2). Here, using Earth System Model experiments with an improved parameterization of ocean vertical mixing, we find a major role for terrestrial and oceanic carbon releases in driving the pCO(2) trend. In our simulations, a change in Northern Hemisphere insolation weakens the Atlantic Meridional Overturning Circulation (AMOC) leading to increasing pCO(2) and Antarctic temperatures. The simulated rise in pCO(2) is caused in equal parts by increased CO2 outgassing from the global ocean due to a reduced biological activity and changed ventilation rates, and terrestrial carbon release as a response to southward migration of the Intertropical Convergence Zone. The simulated terrestrial release of carbon could explain stadial declines in organic carbon reservoirs observed in recent ice core delta C-13 measurements. Our results show that parallel variations in Antarctic temperature and pCO(2) do not necessitate that the Southern Ocean dominates carbon exchange; instead, changes in carbon flux from the global ocean and land carbon reservoirs can explain the observed pCO(2) (and delta C-13) changes.</t>
  </si>
  <si>
    <t>[Nielsen, Soren B.; Jochum, Markus; Nuterman, Roman] Univ Copenhagen, Niels Bohr Inst, Climate &amp; Computat Geophys, Copenhagen, Denmark; [Pedro, Joel B.] Univ Tasmania, Antarctic Climate &amp; Ecosyst CRC, Hobart, Tas, Australia; [Pedro, Joel B.] UNI Res AS, Bergen, Norway; [Eden, Carsten] Univ Hamburg, Inst Meereskunde, Hamburg, Germany</t>
  </si>
  <si>
    <t>University of Copenhagen; Niels Bohr Institute; University of Tasmania; University of Bergen; University of Hamburg</t>
  </si>
  <si>
    <t>Nielsen, SB (corresponding author), Univ Copenhagen, Niels Bohr Inst, Climate &amp; Computat Geophys, Copenhagen, Denmark.</t>
  </si>
  <si>
    <t>soeren.nielsen@nbi.ku.dk</t>
  </si>
  <si>
    <t>jochum, markus/AAQ-7967-2020; jochum, markus/F-8237-2013; Thorsen, Soren Borg/E-4087-2015</t>
  </si>
  <si>
    <t>jochum, markus/0000-0003-2690-3139; Thorsen, Soren Borg/0000-0002-5031-9373</t>
  </si>
  <si>
    <t>Danish Council for Independent Research, Natural Sciences [4002-00397]; Danish Centre for Climate Computing at the University of Copenhagen; European Research Council under the European Community's Seventh Framework Programme (FP7/2007e2013)/ERC [610055]</t>
  </si>
  <si>
    <t>Danish Council for Independent Research, Natural Sciences(Det Frie Forskningsrad (DFF)); Danish Centre for Climate Computing at the University of Copenhagen; European Research Council under the European Community's Seventh Framework Programme (FP7/2007e2013)/ERC</t>
  </si>
  <si>
    <t>This study was supported by the Danish Council for Independent Research, Natural Sciences, 4002-00397. Simulations were done with support from the Danish Centre for Climate Computing at the University of Copenhagen. J. B. P. was supported by the European Research Council under the European Community's Seventh Framework Programme (FP7/2007e2013)/ERC grant agreement 610055 as part of the ice2ice project. Ocean and atmospheric model output means are available online at this website (https://sid.erda.dk/wsgi-bin/ls.py? share_id= h92uPoX96j). Other output fields are available from the lead author upon request.</t>
  </si>
  <si>
    <t>2572-4517</t>
  </si>
  <si>
    <t>2572-4525</t>
  </si>
  <si>
    <t>PALEOCEANOGR PALEOCL</t>
  </si>
  <si>
    <t>Paleoceanogr. Paleoclimatology</t>
  </si>
  <si>
    <t>10.1029/2018PA003481</t>
  </si>
  <si>
    <t>Geosciences, Multidisciplinary; Oceanography; Paleontology</t>
  </si>
  <si>
    <t>Geology; Oceanography; Paleontology</t>
  </si>
  <si>
    <t>HY2KQ</t>
  </si>
  <si>
    <t>Green Published, hybrid</t>
  </si>
  <si>
    <t>WOS:000467950300006</t>
  </si>
  <si>
    <t>Caballero-Gill, RP; Herbert, TD; Dowsett, HJ</t>
  </si>
  <si>
    <t>Caballero-Gill, R. P.; Herbert, T. D.; Dowsett, H. J.</t>
  </si>
  <si>
    <t>100-kyr Paced Climate Change in the Pliocene Warm Period, Southwest Pacific</t>
  </si>
  <si>
    <t>SEA-SURFACE TEMPERATURES; ANTARCTIC ICE-SHEET; ALKENONE UNSATURATION RATIOS; SUBTROPICAL FRONT REGION; LONG-CHAIN ALKENONES; NEW-ZEALAND; SOUTHERN-OCEAN; CHATHAM RISE; EAST; CARBON</t>
  </si>
  <si>
    <t>The mid to late Pliocene (similar to 4.2-2.8 Ma.) represents an experiment in climate sensitivity to orbital pacing in which nearly all continental ice was confined to the Southern Hemisphere. Most studies have emphasized the dominant role of obliquity in determining changes in ice volume and temperature at this time, although most records come from the Northern Hemisphere, instead of the hemisphere where the bulk of ice resided. We present the first orbitally-resolved, mid to late Pliocene Southern Hemisphere paired records of surface and subsurface variability from two deep ocean archives from the Southwest Pacific Ocean (Sites 594 and 1125). These records indicate dominance of low frequencies centered at similar to 100 kyr for this time period. Because these signatures extend coherently and synchronously from middepth water properties (delta C-13, delta O-18 of benthic foraminifera), which have their chemistry set in the subantarctic belt, to the surface (alkenone-derived surface temperature estimates, color reflectance, and magnetic susceptibility), we infer that the fingerprint of the similar to 100-kyr cycles must have extended over a large region of the Southern Hemisphere. We propose that nonlinearities in climate response to precessional forcing-most likely through ice sheet and/or carbon cycle behavior-generated the observed low frequency. A review of published mid to late Pliocene time series suggests that the similar to 100-kyr pacing may be a widespread phenomenon and that major approximately 100-kyr excursions in Pliocene climate were an important overlay to the underlying 41-kyr glacial-interglacial rhythm. These results caution against uncritical use of existing Pliocene isotopic templates to construct high-resolution age models. Plain Language Summary We recreated a detailed account of surface and subsurface ocean change at two locations within the Southern Hemisphere in the middle to late Pliocene Epoch (similar to 4.2-2.8 Ma) using data obtained from deep-ocean sediment cores. Our work showed that all variables measured (each representing a response from different parts of the climate system) fluctuated synchronously through time at specific rhythms and one of which, at approximately 100 kyr, was surprising to find. We found that the pervasive nature of this rhythm at similar to 100 kyr in our reconstructions is also found in other data sets connected to the Antarctic region. First, we propose that approximately 100-kyr excursions in Pliocene climate are an important component in the overall pacing of glacial to interglacial times in the Pliocene. Such large excursions in climate would require powerful nonlinear feedbacks to forcing from the Earth's orbital precession cycle, likely involving ice sheet or carbon cycle dynamics. Second, we suggest that current global benthic isotope stacks (taken as an average representation of deep ocean temperature and ice volume changes on Earth) may not be fully representative of climate variability in some intervals of the Pliocene and therefore must be used carefully if used as a means to convert depth to time.</t>
  </si>
  <si>
    <t>[Caballero-Gill, R. P.] George Mason Univ, Dept Atmospher Ocean &amp; Earm Sci, Fairfax, VA 22030 USA; [Caballero-Gill, R. P.; Herbert, T. D.] Brown Univ, Dept Earth Environm &amp; Planetary Sci, Providence, RI 02912 USA; [Dowsett, H. J.] US Geol Survey, Florence Bascom Geosci Ctr, 959 Natl Ctr, Reston, VA 22092 USA</t>
  </si>
  <si>
    <t>George Mason University; Brown University; United States Department of the Interior; United States Geological Survey</t>
  </si>
  <si>
    <t>Caballero-Gill, RP (corresponding author), George Mason Univ, Dept Atmospher Ocean &amp; Earm Sci, Fairfax, VA 22030 USA.;Caballero-Gill, RP (corresponding author), Brown Univ, Dept Earth Environm &amp; Planetary Sci, Providence, RI 02912 USA.</t>
  </si>
  <si>
    <t>rcaballero.gill@gmail.com</t>
  </si>
  <si>
    <t>Herbert, Timothy/0000-0003-1556-4290; Dowsett, Harry/0000-0003-1983-7524</t>
  </si>
  <si>
    <t>U.S. National Science Foundation Graduate STEM K12 fellowship; Consortium for Ocean Leadership; NSF [OCE1459280, OCE-1545859]; U.S. Geological Survey Land Change Science Program</t>
  </si>
  <si>
    <t>U.S. National Science Foundation Graduate STEM K12 fellowship; Consortium for Ocean Leadership; NSF(National Science Foundation (NSF)); U.S. Geological Survey Land Change Science Program</t>
  </si>
  <si>
    <t>R. P. C. G. acknowledges doctoral funding provided by U.S. National Science Foundation Graduate STEM K12 fellowship and by the Minorities in Scientific Ocean Drilling Fellowship from the Consortium for Ocean Leadership. T. D. H. acknowledges support through NSF grants OCE1459280 and OCE-1545859. H. J. D. acknowledges support from the U.S. Geological Survey Land Change Science Program. This research used samples and/or data provided by the International Ocean Discovery Program (IODP). We thank S. C. Clemens, J. Rodysill, A. Tzanova, and three anonymous reviewers for constructive comments on this paper. A. H. Martin, D. Musher, R. Lichtenberg, L. Messier, and E. Schibuk contributed to various aspects of data generation. Supporting data can be accessed from the Pangaea data publisher (https://doi.pangaea.de/10.1594/PANGAEA.898167) and the National Centers for Environmental Information (NCEI, https://www.ncdc.noaa.gov/paleo/study/25950).</t>
  </si>
  <si>
    <t>10.1029/2018PA003496</t>
  </si>
  <si>
    <t>WOS:000467950300007</t>
  </si>
  <si>
    <t>Bostock, HC; Prebble, JG; Cortese, G; Hayward, B; Calvo, E; Quirós-Collazos, L; Kienast, M; Kim, K</t>
  </si>
  <si>
    <t>Bostock, H. C.; Prebble, J. G.; Cortese, G.; Hayward, B.; Calvo, E.; Quiros-Collazos, L.; Kienast, M.; Kim, K.</t>
  </si>
  <si>
    <t>Paleoproductivity in the SW Pacific Ocean During the Early Holocene Climatic Optimum</t>
  </si>
  <si>
    <t>SOUTHEASTERN NEW-ZEALAND; WALLED DINOFLAGELLATE CYSTS; SEA-SURFACE TEMPERATURES; SOUTHERN-OCEAN; SOUTHWEST PACIFIC; SUBTROPICAL FRONT; CHATHAM RISE; SPLIT JET; INTERGLACIAL CHANGES; CALCIUM-CARBONATE</t>
  </si>
  <si>
    <t>The oceans are warming, but it is unclear how marine productivity will be affected under future climate change. In this study we examined a wide range of paleoproductivity proxies along a latitudinal transect (36-58 degrees S) in the SW Pacific during the early Holocene climatic optimum, to explore regional patterns of productivity in a slightly warmer-than-present world. During the early Holocene there is a small increase in productivity in the subtropical waters, no change at the subtropical frontal zone, and conflicting evidence in records immediately south of the subtropical front, where an increase is inferred from one core site, but not at the other. Evidence for an increase in productivity in Antarctic Surface Waters, south of the polar front, is also equivocal. We infer a small increase in productivity in subtropical waters, and the ocean just south of the subtropical front was associated with changes in the ocean circulation of the SW Pacific, driven by changes in the Southern Hemisphere Westerly Winds split jet structure in this region. The relatively modest warming during the early Holocene climatic optimum in the SW Pacific indicates that this time period may provide an analog for future productivity for the midcentury (2055) under Intergovernmental Panel on Climate Change Representative Concentration Pathway 8.5 or for the end of the century (2100) under Representative Concentration Pathway 4.5. However, higher-resolution, downscaled models, with realistic Southern Hemisphere Westerly Winds, will be necessary to forecast future productivity for this oceanographically complex region.</t>
  </si>
  <si>
    <t>[Bostock, H. C.] Natl Inst Water &amp; Atmospher Res, Wellington, New Zealand; [Prebble, J. G.; Cortese, G.] GNS Sci, Lower Hutt, New Zealand; [Hayward, B.] Geomarine Res, Auckland, New Zealand; [Calvo, E.; Quiros-Collazos, L.] Inst Marine Sci, Barcelona, Spain; [Kienast, M.] Dalhousie Univ, Dept Oceanog, Halifax, NS, Canada; [Kim, K.] Korea Polar Res Inst, Incheon, South Korea</t>
  </si>
  <si>
    <t>National Institute of Water &amp; Atmospheric Research (NIWA) - New Zealand; GNS Science - New Zealand; Consejo Superior de Investigaciones Cientificas (CSIC); CSIC - Centro Mediterraneo de Investigaciones Marinas y Ambientales (CMIMA); CSIC - Instituto de Ciencias del Mar (ICM); Dalhousie University; Korea Polar Research Institute (KOPRI)</t>
  </si>
  <si>
    <t>Bostock, HC (corresponding author), Natl Inst Water &amp; Atmospher Res, Wellington, New Zealand.</t>
  </si>
  <si>
    <t>helen.bostock@niwa.co.nz</t>
  </si>
  <si>
    <t>Calvo, Eva/C-2618-2014; Bostock, Helen/A-6834-2013; HAYWARD, BRUCE W/AAG-2597-2019</t>
  </si>
  <si>
    <t>Calvo, Eva/0000-0003-3659-4499; Bostock, Helen/0000-0002-8903-8958; Cortese, Giuseppe/0000-0003-1780-3371; Quiros Collazos, Lucia/0000-0003-1711-8745; Hayward, Bruce W./0000-0003-1302-7686</t>
  </si>
  <si>
    <t>New Zealand Antarctic Research Institute (NZARI); NIWA; GNS Global Change through Time program; KOPRI project [PE18030]</t>
  </si>
  <si>
    <t>New Zealand Antarctic Research Institute (NZARI); NIWA; GNS Global Change through Time program; KOPRI project(Korea Polar Research Institute of Marine Research Placement (KOPRI))</t>
  </si>
  <si>
    <t>This project was funded by the New Zealand Antarctic Research Institute (NZARI), with cofunding from NIWA core funding Coasts and Oceans Physical Resources program and GNS Global Change through Time program. This research was supported by KOPRI project (PE18030). We would like to thank Graham Rickard, Sara MikaloffFletcher, and Erik Behrens for their insights into the CMIP5 models and two anonymous reviewers. This work is a contribution to INQUA PALCOMM project 1302 SHAPE: Southern Hemisphere Assessment of PalaeoEnvironments. The data from this paper will be available at the Pangaea. de database.</t>
  </si>
  <si>
    <t>10.1029/2019PA003574</t>
  </si>
  <si>
    <t>WOS:000467950300010</t>
  </si>
  <si>
    <t>Auer, G; De Vleeschouwer, D; Smith, RA; Bogus, K; Groeneveld, J; Grunert, P; Castañeda, IS; Petrick, B; Christensen, B; Fulthorpe, C; Gallagher, SJ; Henderiks, J</t>
  </si>
  <si>
    <t>Auer, Gerald; De Vleeschouwer, David; Smith, Rebecca A.; Bogus, Kara; Groeneveld, Jeroen; Grunert, Patrick; Castaneda, Isla S.; Petrick, Benjamin; Christensen, Beth; Fulthorpe, Craig; Gallagher, Stephen J.; Henderiks, Jorijntje</t>
  </si>
  <si>
    <t>Timing and Pacing of Indonesian Throughflow Restriction and Its Connection to Late Pliocene Climate Shifts</t>
  </si>
  <si>
    <t>OXYGEN ISOTOPIC COMPOSITION; ANTARCTIC ICE-SHEET; SOUTH INDIAN-OCEAN; LEEUWIN CURRENT; ATLANTIC-OCEAN; SURFACE SEDIMENTS; CALCAREOUS NANNOFOSSILS; PLANKTONIC-FORAMINIFERA; ENVIRONMENTAL-CHANGES; HOLLOWAY CURRENT</t>
  </si>
  <si>
    <t>The Pliocene was characterized by a gradual shift of global climate toward cooler and drier conditions. This shift fundamentally reorganized Earth's climate from the Miocene state toward conditions similar to the present. During the Pliocene, the progressive restriction of the Indonesian Throughflow (ITF) is suggested to have enhanced this shift toward stronger meridional thermal gradients. Reduced ITF, caused by the northward movement of Australia and uplift of Indonesia, impeded global thermohaline circulation, also contributing to late Pliocene Northern Hemisphere cooling via atmospheric and oceanographic teleconnections. Here we present an orbitally tuned high-resolution sediment geochemistry, calcareous nannofossil, and X-ray fluorescence record between 3.65 and 2.97 Ma from the northwest shelf of Australia within the Leeuwin Current. International Ocean Discovery Program Site U1463 provides a record of local surface water conditions and Australian climate in relation to changing ITF connectivity. Modern analogue-based interpretations of nannofossil assemblages indicate that ITF configuration culminated similar to 3.54 Ma. A decrease in warm, oligotrophic taxa such as Umbilicosphaera sibogae, with a shift from Gephyrocapsa sp. to Reticulofenestra sp., and an increase of mesotrophic taxa (e.g., Umbilicosphaera jafari and Helicosphaera spp.) suggest that tropical Pacific ITF sources were replaced by cooler, fresher, northern Pacific waters. This initial tectonic reorganization enhanced the Indian Oceans sensitivity to orbitally forced cooling in the southern high latitudes culminating in the M2 glacial event (similar to 3.3 Ma). After 3.3 Ma the restructured ITF established the boundary conditions for the inception of the Sahul-Indian Ocean Bjerknes mechanism and increased the response to glacio-eustatic variability.</t>
  </si>
  <si>
    <t>[Auer, Gerald] Japan Agcy Marine Earth Sci &amp; Technol, Dept Biogeochem, Yokosuka, Kanagawa, Japan; [De Vleeschouwer, David; Groeneveld, Jeroen] Univ Bremen, MARUM Ctr Marine &amp; Environm Sci, Bremen, Germany; [Smith, Rebecca A.; Castaneda, Isla S.] Univ Massachusetts, Dept Geosci, Amherst, MA 01003 USA; [Bogus, Kara] Texas A&amp;M Univ, Int Ocean Discovery Program, College Stn, TX USA; [Bogus, Kara] Univ Exeter, Camborne Sch Mines, Penryn, England; [Grunert, Patrick] Univ Cologne, Inst Geol &amp; Mineral, Cologne, Germany; [Petrick, Benjamin] Max Planck Inst Chem, Mainz, Germany; [Christensen, Beth] Adelphi Univ, Environm Studies Program, Garden City, NY USA; [Fulthorpe, Craig] Univ Texas Austin, Inst Geophys, Austin, TX USA; [Gallagher, Stephen J.] Univ Melbourne, Sch Earth Sci, Melbourne, Vic, Australia; [Henderiks, Jorijntje] Uppsala Univ, Dept Earth Sci, Uppsala, Sweden</t>
  </si>
  <si>
    <t>Japan Agency for Marine-Earth Science &amp; Technology (JAMSTEC); University of Bremen; University of Massachusetts System; University of Massachusetts Amherst; Texas A&amp;M University System; Texas A&amp;M University College Station; University of Exeter; University of Cologne; Max Planck Society; Adelphi University; University of Texas System; University of Texas Austin; University of Melbourne; Melbourne Bioinformatics; Uppsala University</t>
  </si>
  <si>
    <t>Auer, G (corresponding author), Japan Agcy Marine Earth Sci &amp; Technol, Dept Biogeochem, Yokosuka, Kanagawa, Japan.</t>
  </si>
  <si>
    <t>gerald.auer@jamstec.go.jp</t>
  </si>
  <si>
    <t>Gallagher, Stephen/AFL-9448-2022; Henderiks, Jorijntje/ABB-1080-2020; Henderiks, Jorijntje/JGL-6527-2023; Auer, Gerald/AAE-5730-2021; Fulthorpe, Craig/AEV-6014-2022; De Vleeschouwer, David/ABA-6115-2020; Petrick, Benjamin F/JWP-5723-2024</t>
  </si>
  <si>
    <t>Gallagher, Stephen/0000-0002-5593-2740; De Vleeschouwer, David/0000-0002-3323-807X; Petrick, Benjamin F/0000-0002-4211-0625; Bogus, Kara/0000-0003-4690-0576; Henderiks, Jorijntje/0000-0001-9486-6275; Castaneda, Isla/0000-0002-2524-9326; Groeneveld, Jeroen/0000-0002-8382-8019; Grunert, Patrick/0000-0002-3633-8674; Auer, Gerald/0000-0002-2574-0027</t>
  </si>
  <si>
    <t>JSPS [17H07412]; DFG [VL96/1-1, 319497259, GR 3528/5-1]; Swedish Research Council [VR-2016-04434]; Australian IODP office; ARC Basins Genesis Hub grant [IH130200012]; Swedish Research Council [2016-04434] Funding Source: Swedish Research Council; Grants-in-Aid for Scientific Research [17H07412] Funding Source: KAKEN</t>
  </si>
  <si>
    <t>JSPS(Ministry of Education, Culture, Sports, Science and Technology, Japan (MEXT)Japan Society for the Promotion of Science); DFG(German Research Foundation (DFG)); Swedish Research Council(Swedish Research Council); Australian IODP office; ARC Basins Genesis Hub grant; Swedish Research Council(Swedish Research Council); Grants-in-Aid for Scientific Research(Ministry of Education, Culture, Sports, Science and Technology, Japan (MEXT)Japan Society for the Promotion of ScienceGrants-in-Aid for Scientific Research (KAKENHI))</t>
  </si>
  <si>
    <t>This work utilized samples and data provided by the International Ocean Discovery Program (IODP). We thank the staff and crew of the D/V JOIDES Resolution for their work during IODP Expedition 356, and the shipboard science party for generating the shipboard data. All shipboard data are publicly available from www.iodp.tamu.edu.Funding for this research was provided by JSPS grant 17H07412 (G. A.), DFG project VL96/1-1, project 319497259 (D. D. V.); DFG project GR 3528/5-1 (IDEAL; J. G.); Swedish Research Council grant VR-2016-04434 (J. H.), the Australian IODP office, and the ARC Basins Genesis Hub grant IH130200012 (S. J. G.). This work is part of a DAAD project DANA between S. J. G., D. D. V., and J. G. The authors also thank R. Furue and F. J. JimenezEspejo (JAMSTEC) for fruitful discussions. Two anonymous reviewers are thanked for their constructive comments. All data presented in this work are available in the supporting information. The authors declare no competing financial or nonfinancial interests.</t>
  </si>
  <si>
    <t>10.1029/2018PA003512</t>
  </si>
  <si>
    <t>WOS:000467950300013</t>
  </si>
  <si>
    <t>Maxson, CR; Bostock, HC; Mackintosh, A; Mikaloff-Fletcher, S; Mccave, N; Neil, HL</t>
  </si>
  <si>
    <t>Maxson, Charles R.; Bostock, Helen C.; Mackintosh, Andrew; Mikaloff-Fletcher, Sara; Mccave, Nick; Neil, Helen L.</t>
  </si>
  <si>
    <t>Modern, Preindustrial, and Past (Last 25 ka) Carbon Isotopic (δ13C) Variability in the Surface Waters of the Southwest Pacific</t>
  </si>
  <si>
    <t>SOUTHEASTERN NEW-ZEALAND; GLACIAL-INTERGLACIAL CHANGES; PLANKTONIC-FORAMINIFERA; SOUTHERN-OCEAN; SUBTROPICAL FRONT; SW PACIFIC; CLIMATE-CHANGE; CHATHAM RISE; SEA-ICE; GLOBIGERINA-BULLOIDES</t>
  </si>
  <si>
    <t>Carbon stable isotopes (delta C-13) in modern seawater samples and planktic foraminifera Globigerina bulloides from core top and downcore sediments are used to estimate the distribution of delta C-13 of dissolved inorganic carbon (DIC) in the surface waters of the southwest Pacific in the modern, preindustrial (PI), and over the last 25 kyr. The predicted delta C-13 distribution in the modern (delta C-13(DIC)), PI (delta C-13(PI)), and late Holocene (from planktic foraminifera Globigerina bulloides [temperature corrected delta C-13(G. )bulloidesTC] from core tops) displays a broad peak at the subtropical front) and subantarctic surface waters due to the combination of high biological productivity and thermodynamic air-sea gas exchange of CO2 in this region. The estimated delta C-13(PI) values and measured delta C-13-(G.)(bulloidesTC)( )values from the core tops are higher than the modern values due to the Suess Effect. However, there is poor agreement between the delta C-13(PI) values and core top delta(13)C(G.)(bulloidesTC )values south of 40 degrees S as the back-calculation approach using chlorofluorocarbon-11 (CFC-11) method for removing the anthropogenic delta C-13 is not effective at these higher southern latitudes. The delta(13)C(G.)(bulloidesTC)( )from a latitudinal transect of cores in the southwest Pacific were compiled by region using a Monte Carlo approach to determine the long-term trends in delta C-13 over the last 25 kyr. Glacial subantarctic delta C-13(G.)bulloidesTC values are low, while subtropical delta C-13(G.)bulloidesTC are high. The peak in delta C-13-(G.)(bulloidesTC)( )values shifts south in the early Holocene. These latitudinal variations in delta(13)C(G.)(bulloidesTC)( )are linked to changes in ocean circulation, biological productivity (associated with the shifts in the subtropical front), and air-sea CO2 exchange, likely related to the structure and position of the Southern Hemisphere Westerly Wind in the South Pacific region.</t>
  </si>
  <si>
    <t>[Maxson, Charles R.; Mackintosh, Andrew] Victoria Univ, Antarctic Res Ctr, Wellington, New Zealand; [Bostock, Helen C.; Mikaloff-Fletcher, Sara; Neil, Helen L.] Natl Inst Water &amp; Atmospher Res, Wellington, New Zealand; [Mccave, Nick] Univ Cambridge, Dept Earth Sci, Cambridge, England</t>
  </si>
  <si>
    <t>Victoria University Wellington; National Institute of Water &amp; Atmospheric Research (NIWA) - New Zealand; University of Cambridge</t>
  </si>
  <si>
    <t>McCave, I. Nick/O-3992-2018; Bostock, Helen/A-6834-2013</t>
  </si>
  <si>
    <t>McCave, I. Nick/0000-0002-4702-5489; Bostock, Helen/0000-0002-8903-8958; Mackintosh, Andrew/0000-0002-6430-4711; Maxson, Charles/0000-0003-0092-7802</t>
  </si>
  <si>
    <t>New Zealand government funding of program COPR; INQUA PALCOMM</t>
  </si>
  <si>
    <t>We would like to thank Alix Post, Andrew Moy, Elisabeth Sikes, and Katharina Pahnke for providing delta13CG. bulloides core top and downcore data and Jean Lynch-Stieglitz for the provision of the Hudson-70 data set. We are grateful to Rolf Sonnerup, Joe Prebble, and Gavin Dunbar for their feedback during the project and for technical input using R and to Jennifer Hertzberg and an anonymous reviewer for their constructive comments on the manuscript. H. B. and the majority of the stable isotopes for the NIWA cores were funded by the New Zealand government funding of program COPR. This paper is a contribution to the Southern Hemisphere Assessment of PaleoEnvironments (SHAPE) program, supported by INQUA PALCOMM. The stable isotope data and age models are available on the Pangaea website.</t>
  </si>
  <si>
    <t>10.1029/2018PA003441</t>
  </si>
  <si>
    <t>WOS:000467950300016</t>
  </si>
  <si>
    <t>Balco, G; Todd, C; Goehring, BM; Moening-swanson, I; Nichols, K</t>
  </si>
  <si>
    <t>Balco, Greg; Todd, Claire; Goehring, Brent M.; Moening-swanson, Isaac; Nichols, Keir</t>
  </si>
  <si>
    <t>GLACIAL GEOLOGY AND COSMOGENIC-NUCLIDE EXPOSURE AGES FROM THE TUCKER GLACIER - WHITEHALL GLACIER CONFLUENCE, NORTHERN VICTORIA LAND, ANTARCTICA</t>
  </si>
  <si>
    <t>AMERICAN JOURNAL OF SCIENCE</t>
  </si>
  <si>
    <t>Antarctica; Victoria Land; Tucker Glacier; Ross Sea; Last Glacial Maximum; exposure-dating; glacial geology; cosmogenic-nuclide geochemistry</t>
  </si>
  <si>
    <t>IN-SITU C-14; MARIE-BYRD-LAND; SEA-LEVEL; ROSS SEA; ICE-SHEET; HOLOCENE DEGLACIATION; PENSACOLA MOUNTAINS; SURFACE; AL-26; EXTRACTION</t>
  </si>
  <si>
    <t>We describe glacial-geological observations and cosmogenic-nuclide exposure ages from the vicinity of the present grounding line of Tucker Glacier, a large alpine glacier flowing from the mountains of northern Victoria Land, East Antarctica, into the outer Ross Sea. These data are relevant for constraining the extent of ice sheet expansion and retreat in the Ross Sea, and associated eustatic sea level impact, between the Last Glacial Maximum (LGM) and the present. In addition, a terrestrial geological record of ice thickness change from this region could provide evidence for or against the hypothesis that rapid eustatic sea-level rise during meltwater pulse 1A (MWP-1A) at 14.6 ka was in part the result of rapid, large-scale thinning or breakup of a marine-based portion of the LGM ice sheet in the outer Ross Sea. Glacial-geological observations, exposure ages on glacial deposits, and a novel application of in-situ-produced cosmogenic C-14 in quartz-bearing bedrock to identify the limits of LGM ice cover in the absence of direct geomorphic evidence, show that Tucker Glacier near its present grounding line was 300 to 350 m thicker than present during the LGM and thinned steadily between 17 to 5 ka. The largest possible rapid thickness change in the time period 14 to 15 ka that could be accommodated by the exposure-age data is similar to 50 m, which is a small fraction of that predicted for the western Ross Sea by model simulations of the Antarctic contribution to MWP-1A. There do exist possible scenarios in which hypothesized marine ice sheet collapse in the outer Ross Sea during MWP-1A might not be recorded by ice thickness changes at Tucker Glacier. However, our record of ice thickness changes spanning this time period is the closest such record to the outer Ross Sea that is likely to exist, and it agrees with all exposure-age deglaciation chronologies from other regions of the Ross embayment in providing no evidence for such an event.</t>
  </si>
  <si>
    <t>[Balco, Greg] Berkeley Geochronol Ctr, 2455 Ridge Rd, Berkeley, CA 94709 USA; [Todd, Claire; Moening-swanson, Isaac] Pacific Lutheran Univ, Tacoma, WA 98447 USA; [Goehring, Brent M.; Nichols, Keir] Tulane Univ, New Orleans, LA 70118 USA</t>
  </si>
  <si>
    <t>Berkeley Geochronolgy Center; Pacific Lutheran University; Tulane University</t>
  </si>
  <si>
    <t>Balco, G (corresponding author), Berkeley Geochronol Ctr, 2455 Ridge Rd, Berkeley, CA 94709 USA.</t>
  </si>
  <si>
    <t>balcs@bgc.org</t>
  </si>
  <si>
    <t>Todd, Claire/0000-0003-0545-6341; Goehring, Brent/0000-0001-6405-5156</t>
  </si>
  <si>
    <t>U.S. National Science Foundation, Office of Polar Programs [OPP-1341420, OPP-1341364, OPP-1460449]; Ann and Gordon Getty Foundation; NSF awards [OPP-1043681, OPP-1559691]</t>
  </si>
  <si>
    <t>U.S. National Science Foundation, Office of Polar Programs(National Science Foundation (NSF)); Ann and Gordon Getty Foundation; NSF awards(National Science Foundation (NSF))</t>
  </si>
  <si>
    <t>Primary funding and logistical support for this research was provided by the U.S. National Science Foundation, Office of Polar Programs, via grants OPP-1341420, OPP-1341364, and OPP-1460449. Support for GB was also provided by the Ann and Gordon Getty Foundation. We thank Chris Simmons of Simmons Mountain Works, LLC (http://simmonsmountain.works) for assistance in the field, as well as pilots and ground crew of Kenn Borek Air, Inc. and numerous U.S. Antarctic Program staff both at McMurdo Station and in the US. In addition, we thank: the Programma Nazionale di Ricerche in Antartide of Italy for logistical assistance in Antarctica; Alan Hidy, Susan Zimmerman, and Tom Guilderson of LLNL-CAMS for assistance with the AMS measurements; Stacy Kim for assistance with identification of benthic marine fauna; and Fred Davey for supplying the Ross Sea bathymetry shown in figure 1 in digital form. Satellite imagery in figure 2 was provided by the Polar Geospatial Center under NSF awards OPP-1043681 and OPP-1559691. Paul Bierman, Andrew Christ, and an anonymous reviewer provided helpful and comprehensive reviews.</t>
  </si>
  <si>
    <t>AMER JOURNAL SCIENCE</t>
  </si>
  <si>
    <t>NEW HAVEN</t>
  </si>
  <si>
    <t>YALE UNIV, PO BOX 208109, NEW HAVEN, CT 06520-8109 USA</t>
  </si>
  <si>
    <t>0002-9599</t>
  </si>
  <si>
    <t>1945-452X</t>
  </si>
  <si>
    <t>AM J SCI</t>
  </si>
  <si>
    <t>Am. J. Sci.</t>
  </si>
  <si>
    <t>10.2475/04.2019.01</t>
  </si>
  <si>
    <t>IC3AH</t>
  </si>
  <si>
    <t>WOS:000470830900001</t>
  </si>
  <si>
    <t>Lee, JH; Yoo, BC; Yang, YS; Lee, TH; Seo, JH</t>
  </si>
  <si>
    <t>Lee, Jun Hee; Yoo, Bong Chul; Yang, Yun-Seok; Lee, Tong Ha; Seo, Jung Hun</t>
  </si>
  <si>
    <t>Sphalerite geochemistry of the Zn-Pb orebodies in the Taebaeksan metallogenic province, Korea</t>
  </si>
  <si>
    <t>ORE GEOLOGY REVIEWS</t>
  </si>
  <si>
    <t>Taebaeksan metallogenic province; Zn-Pb deposit; Sphalerite geochemistry; Lead isotope; Magmatic-hydrothermal</t>
  </si>
  <si>
    <t>MINOR ELEMENTS; TRACE-ELEMENTS; HYDROTHERMAL EVOLUTION; FLUID INCLUSIONS; ISOTOPE EVIDENCE; LEAD-ISOTOPE; DEPOSIT; INSIGHTS; CADMIUM; EXAMPLE</t>
  </si>
  <si>
    <t>The Taebaeksan region, located in the northeastern part of South Korea, is an important metallogenic province which hosts numerous Zn-Pb-W-Mo-Fe-Cu (-Au-Ag) mineral systems. The Zn-Pb orebodies in the region (inclusive of skarn, carbonate replacement, and vein-breccia ore types) are hosted on the early Paleozoic carbonate sequences and they are associated with late Cretaceous to early Paleogene magmatic-hydrothermal activities. We collected Zn-Pb orebodies from 15 areas including non-metal deposits, such as high-Ca calcite marble, as well as exploration sites in the Taebaeksan metallogenic province. Thereafter, we studied the geochemistry of the sphalerite present in them to understand the regional Zn-Pb mineralization process and to establish an exploration strategy. The sphalerites collected from the region contained detectable amounts of Fe, Mn, Cd, Co, Cu, Ga, Ge, Mo, Ag, In, Sn, Sb, W, Tl, Pb, and Bi which were identified using microbeam techniques like EPMA and LA-ICP-MS. Sphalerites from economically significant Zn-Pb deposits characteristically have high Mn and low Cd content, while W (-Mo)-bearing deposits have remarkably high Cd content. Correlation trends between trace elements demonstrate the coupled substitution mechanisms such as 3 Zn2+ &lt;-&gt; 2 (Cu+ or Ag+) + Sn4+ and 2 Zn2+ &lt;-&gt; Cu+ + In3+, occurring in the sphalerite. High-temperature ores such as skarn and vein-breccia are relatively enriched with Co and In, while Ga, Ag, and Sn tend to be concentrated in the relatively low-temperature ores, such as carbonate replacement type ores. Lead isotope compositions of the sphalerites show a well-defined, positive, linear trend with those of the local Cretaceous intrusions and the sedimentary sequence of the Taebaeksan region. Major economic Zn-Pb deposits show relatively more signatures of non-radiogenic Pb isotope closer to the intrusions, as compared to the minor and sub-economic Zn-Pb orebodies. The Pb isotope signature suggests that Cretaceous magmatic-hydrothermal fluids with a minimal degree of fluid-rock interactions are required for economic Zn-Pb mineralization in the Taebaeksan metallogenic province.</t>
  </si>
  <si>
    <t>[Lee, Jun Hee; Yang, Yun-Seok; Lee, Tong Ha; Seo, Jung Hun] Inha Univ, Dept Energy &amp; Resources Engn, Incheon, South Korea; [Yoo, Bong Chul] Korea Inst Geosci &amp; Mineral Resources KIGAM, DMR, Daejeon, South Korea; [Yang, Yun-Seok] Korea Polar Res Inst KOPRI, Div Polar Earth Syst Sci, Incheon, South Korea</t>
  </si>
  <si>
    <t>Inha University; Korea Institute of Geoscience &amp; Mineral Resources (KIGAM); Korea Polar Research Institute (KOPRI)</t>
  </si>
  <si>
    <t>Seo, JH (corresponding author), Inha Univ, Dept Energy &amp; Resources Engn, Incheon, South Korea.</t>
  </si>
  <si>
    <t>seo@inha.ac.kr</t>
  </si>
  <si>
    <t>Lee, Tongha/0000-0002-6100-1803</t>
  </si>
  <si>
    <t>National Research Foundation (NRF) of Korea Grant - Korea government (MSIT) [2019R1C1C1002588]; KIGAM research project Geology and ore deposit survey, and origin study for securing potential orebody in the Taebaegsan metallogenic belt [16-3211]; KIGAM research project Verification of North Korean mineral resources exploration technologies and potential evaluation of North Korean mineral deposits [17-8901, 18-8901]; KOPRI research Evolution of West Antarctic Rift System (WARS): Study of tectonic activities and volcanism near the Adare Trough and Antarctic mid-ocean ridges [PE16050]</t>
  </si>
  <si>
    <t>National Research Foundation (NRF) of Korea Grant - Korea government (MSIT); KIGAM research project Geology and ore deposit survey, and origin study for securing potential orebody in the Taebaegsan metallogenic belt; KIGAM research project Verification of North Korean mineral resources exploration technologies and potential evaluation of North Korean mineral deposits; KOPRI research Evolution of West Antarctic Rift System (WARS): Study of tectonic activities and volcanism near the Adare Trough and Antarctic mid-ocean ridges</t>
  </si>
  <si>
    <t>This work was supported by the National Research Foundation (NRF) of Korea Grant funded by the Korea government (MSIT) (No. 2019R1C1C1002588) and by the KIGAM research projects Geology and ore deposit survey, and origin study for securing potential orebody in the Taebaegsan metallogenic belt (16-3211) and Verification of North Korean mineral resources exploration technologies and potential evaluation of North Korean mineral deposits (17-8901 and 18-8901). The EPMA analysis was supported by the KOPRI research Evolution of West Antarctic Rift System (WARS): Study of tectonic activities and volcanism near the Adare Trough and Antarctic mid-ocean ridges (PE16050). We are grateful to Prof. Franco Pirajno, Dr. Dominique Genna and an anonymous reviewer for their incisive and helpful comments that significantly improved the quality of the original manuscript.</t>
  </si>
  <si>
    <t>0169-1368</t>
  </si>
  <si>
    <t>1872-7360</t>
  </si>
  <si>
    <t>ORE GEOL REV</t>
  </si>
  <si>
    <t>Ore Geol. Rev.</t>
  </si>
  <si>
    <t>10.1016/j.oregeorev.2019.03.030</t>
  </si>
  <si>
    <t>Geology; Mineralogy; Mining &amp; Mineral Processing</t>
  </si>
  <si>
    <t>IB3UZ</t>
  </si>
  <si>
    <t>WOS:000470194300060</t>
  </si>
  <si>
    <t>Krymsky, RS; Antonov, AV; Belyatsky, BV; Sushchevskaya, NM; Sergeev, SA</t>
  </si>
  <si>
    <t>Krymsky, R. Sh.; Antonov, A. V.; Belyatsky, B. V.; Sushchevskaya, N. M.; Sergeev, S. A.</t>
  </si>
  <si>
    <t>The Age and Evolution of the Lithospheric Mantle in the East Antarctic Craton: Osmium Isotope Composition and the Distribution of Platinum Group Elements in Spinel Lherzolite Nodules</t>
  </si>
  <si>
    <t>DOKLADY EARTH SCIENCES</t>
  </si>
  <si>
    <t>PERIDOTITE XENOLITHS; GEOCHEMISTRY; SYSTEMATICS</t>
  </si>
  <si>
    <t>The mantle xenoliths of lherzolite composition from Mesozoic alkaline-ultrabasic diatremes of Jetty Oasis were studied. The treated xenoliths represent the mantle section of the East Antarctic Craton down to depths of 60-80 km. The osmium isotope composition of these nodules testifies to the beginning of the formation of the lithospheric mantle in the considered region of the craton 2400 Ma ago. The absence of any signs of Early Archeozoic lithosphere points either to partial destruction of the lithosphere at the convergent boundary of the plates in the Late Archean or to thermal erosion of the Archean lithosphere under the effect of a deep-seated plume in the Mesozoic during rift formation.</t>
  </si>
  <si>
    <t>[Krymsky, R. Sh.; Antonov, A. V.; Belyatsky, B. V.; Sergeev, S. A.] Karpinsky Russian Geol Res Inst VSEGEI, St Petersburg 199106, Russia; [Sushchevskaya, N. M.] Russian Acad Sci, Vernadskii Inst Geochem &amp; Analyt Chem, Moscow 119991, Russia; [Sergeev, S. A.] St Petersburg State Univ, Inst Earth Sci, St Petersburg 199034, Russia</t>
  </si>
  <si>
    <t>A.P. Karpinsky Russian Geological Research Institute (VSEGEI); Russian Academy of Sciences; Vernadsky Institute of Geochemistry &amp; Analytical Chemistry; Saint Petersburg State University</t>
  </si>
  <si>
    <t>Krymsky, RS (corresponding author), Karpinsky Russian Geol Res Inst VSEGEI, St Petersburg 199106, Russia.</t>
  </si>
  <si>
    <t>robert_krymsky@yahoo.com</t>
  </si>
  <si>
    <t>Belyatsky, Boris/V-6644-2019</t>
  </si>
  <si>
    <t>Belyatsky, Boris/0000-0002-4022-9366; Krymsky, Robert/0000-0001-5389-5651</t>
  </si>
  <si>
    <t>Russian Foundation for Basic Research [15-05-02086]</t>
  </si>
  <si>
    <t>This study was supported by the Russian Foundation for Basic Research, project no. 15-05-02086.</t>
  </si>
  <si>
    <t>MAIK NAUKA/INTERPERIODICA/SPRINGER</t>
  </si>
  <si>
    <t>233 SPRING ST, NEW YORK, NY 10013-1578 USA</t>
  </si>
  <si>
    <t>1028-334X</t>
  </si>
  <si>
    <t>1531-8354</t>
  </si>
  <si>
    <t>DOKL EARTH SCI</t>
  </si>
  <si>
    <t>Dokl. Earth Sci.</t>
  </si>
  <si>
    <t>10.1134/S1028334X19040226</t>
  </si>
  <si>
    <t>IB5MC</t>
  </si>
  <si>
    <t>WOS:000470314800022</t>
  </si>
  <si>
    <t>Ke, H; Yang, YD; Li, F; Wang, ZM; Sun, B; Dongchen, E; Jin, B; Ding, MH</t>
  </si>
  <si>
    <t>Ke, Hao; Yang, Yuande; Li, Fei; Wang, Zemin; Sun, Bo; Dongchen, E.; Jin, Bo; Ding, Minghu</t>
  </si>
  <si>
    <t>Re-establishment of ice-surface velocity field and snow surface elevation change around Dome Argus, East Antarctica</t>
  </si>
  <si>
    <t>ANNALS OF GLACIOLOGY</t>
  </si>
  <si>
    <t>International-Glaciological-Society Symposium on Timescales, Processes and Ice Sheet Changes</t>
  </si>
  <si>
    <t>JUN 03-08, 2018</t>
  </si>
  <si>
    <t>Buffalo, NY</t>
  </si>
  <si>
    <t>Antarctic glaciology; glacier mass balance; ice velocity</t>
  </si>
  <si>
    <t>ZHONGSHAN STATION; TRAVERSE ROUTE; TOPOGRAPHY; ACCUMULATION; ORIGIN</t>
  </si>
  <si>
    <t>In January 2016, static GPS measurements were carried out in a 30 x 30 km(2) area centered around Kunlun station at Dome Argus (Dome A), East Antarctica, to acquire high-precision 3-D geodetic coordinates at 49 sites. By comparing the coordinates with previous GPS measurements in 2008 and 2013 at the same sites, we constructed a detailed and long-term record of the ice-surface velocity field, 2008-2016, around Dome A. During this time span, the estimated ice-surface velocity ranges from 0.8 +/- 0.3 to 28.7 +/- 1.6 cm a(-1), with a mean of 10.4 +/- 0.3 cm a(-1). From 2013 to 2016, the surface elevation of most Dome A areas exhibits a rising trend, and the maximum increase of snow surface elevation is 84.8 cm. The mean snow surface elevation change rate at Dome A is estimated to be 6.6 +/- 0.7 cm a(-1). The difference of 1.0 cm a(-1) between the snow surface change rate derived from GPS and pole-height change rate from surface mass balance is suspected to be a result of a combination of firn densification and basal melt under Dome A.</t>
  </si>
  <si>
    <t>[Ke, Hao; Yang, Yuande; Li, Fei; Wang, Zemin; Dongchen, E.] Wuhan Univ, Chinese Antarctic Ctr Surveying &amp; Mapping, Wuhan 430079, Hubei, Peoples R China; [Sun, Bo] Polar Res Inst China, Shanghai 200136, Peoples R China; [Jin, Bo] Chinese Arctic &amp; Antarctic Adm, Beijing 100860, Peoples R China; [Ding, Minghu] Chinese Acad Meteorol Sci, Inst Climate Syst, Beijing 100081, Peoples R China</t>
  </si>
  <si>
    <t>Wuhan University; Polar Research Institute of China; China Meteorological Administration; Chinese Academy of Meteorological Sciences (CAMS)</t>
  </si>
  <si>
    <t>Wang, ZM (corresponding author), Wuhan Univ, Chinese Antarctic Ctr Surveying &amp; Mapping, Wuhan 430079, Hubei, Peoples R China.</t>
  </si>
  <si>
    <t>zmwang@whu.edu.cn</t>
  </si>
  <si>
    <t>Ding, Minghu/AFU-3600-2022; ZeMin, Wang/AAU-3422-2020; sun, bo/JFA-9978-2023</t>
  </si>
  <si>
    <t>Ding, Minghu/0000-0002-1142-6598; Ke, Hao/0000-0003-4997-6111</t>
  </si>
  <si>
    <t>Chinese Arctic and Antarctic Administration; State Oceanic Administration; National Key Research and Development Program of China [2017YFA0603104]; National Natural Science Foundation of China [41531069, 41506120]; Chinese Polar Environment Comprehensive Investigation and Assessment Programs [CHINARE2016-02-02]</t>
  </si>
  <si>
    <t>Chinese Arctic and Antarctic Administration; State Oceanic Administration; National Key Research and Development Program of China; National Natural Science Foundation of China(National Natural Science Foundation of China (NSFC)); Chinese Polar Environment Comprehensive Investigation and Assessment Programs</t>
  </si>
  <si>
    <t>We thank the Chinese Arctic and Antarctic Administration, and the State Oceanic Administration, for sponsoring the field survey and research work. This research is funded by the National Key Research and Development Program of China (2017YFA0603104), the National Natural Science Foundation of China (41531069 and 41506120), and Chinese Polar Environment Comprehensive Investigation and Assessment Programs (CHINARE2016-02-02).</t>
  </si>
  <si>
    <t>CAMBRIDGE UNIV PRESS</t>
  </si>
  <si>
    <t>EDINBURGH BLDG, SHAFTESBURY RD, CB2 8RU CAMBRIDGE, ENGLAND</t>
  </si>
  <si>
    <t>0260-3055</t>
  </si>
  <si>
    <t>1727-5644</t>
  </si>
  <si>
    <t>ANN GLACIOL</t>
  </si>
  <si>
    <t>Ann. Glaciol.</t>
  </si>
  <si>
    <t>10.1017/aog.2019.3</t>
  </si>
  <si>
    <t>IA8CQ</t>
  </si>
  <si>
    <t>WOS:000469785700002</t>
  </si>
  <si>
    <t>Still, H; Campbell, A; Hulbe, C</t>
  </si>
  <si>
    <t>Still, Holly; Campbell, Adam; Hulbe, Christina</t>
  </si>
  <si>
    <t>Mechanical analysis of pinning points in the Ross Ice Shelf, Antarctica</t>
  </si>
  <si>
    <t>Antarctic glaciology; ice rise; ice shelves</t>
  </si>
  <si>
    <t>GROUNDING-LINE DYNAMICS; STREAM; FLOW; STABILITY; SLOWDOWN; REGIME; SEA</t>
  </si>
  <si>
    <t>Ice shelves regulate the rate of ice-sheet discharge along much of the Antarctic coastline. Pinning points, sites of localised grounding within floating ice, can in turn, regulate the flow and thickness of an ice shelf. While the net resistive effect of ice shelves has been quantified in a systematic way, few extant pinning points have been examined in detail. Here, complete force budgets are calculated and examined for ice rises and rumples in the Ross Ice Shelf, West Antarctica. The diverse features have different effects on ice shelf mechanics that do not depend simply on their size but may, we conclude, depend on the properties of seafloor materials.</t>
  </si>
  <si>
    <t>[Still, Holly; Campbell, Adam; Hulbe, Christina] Univ Otago, Natl Sch Surveying, Dunedin, New Zealand</t>
  </si>
  <si>
    <t>Still, H (corresponding author), Univ Otago, Natl Sch Surveying, Dunedin, New Zealand.</t>
  </si>
  <si>
    <t>holly.still@otago.ac.nz</t>
  </si>
  <si>
    <t>Campbell, Adam/0000-0003-2366-2894; Hulbe, Christina/0000-0003-4765-7037; Still, Holly/0000-0002-6021-1964</t>
  </si>
  <si>
    <t>New Zealand Post Antarctic Scholarship; New Zealand Antarctic Research Institute (NZARI)</t>
  </si>
  <si>
    <t>This work was supported by the New Zealand Post Antarctic Scholarship and the New Zealand Antarctic Research Institute (NZARI) funded Aotearoa New Zealand Ross Ice Shelf Programme, 'Vulnerability of the Ross Ice Shelf in a Warming World'. We thank the editor and three reviewers for comments that helped us to improve the manuscript.</t>
  </si>
  <si>
    <t>10.1017/aog.2018.31</t>
  </si>
  <si>
    <t>WOS:000469785700005</t>
  </si>
  <si>
    <t>da Costa, RV; de Moraes, R; Trouw, RAJ; Simoes, LSA; Mendes, JC</t>
  </si>
  <si>
    <t>da Costa, Rodrigo Vinagre; de Moraes, Renato; Johannes Trouw, Rudolph Allard; Amarante Simoes, Luiz Sergio; Mendes, Julio Cezar</t>
  </si>
  <si>
    <t>High-pressure medium-temperature metamorphism of semi-pelitic rocks in the Scotia Metamorphic Complex, Powell Island, South Orkney Islands, Antarctica</t>
  </si>
  <si>
    <t>JOURNAL OF SOUTH AMERICAN EARTH SCIENCES</t>
  </si>
  <si>
    <t>Metamorphic petrology; Mineral chemistry; Accretionary prism; Thermobarometry</t>
  </si>
  <si>
    <t>SUBDUCTION COMPLEX; SHETLAND ISLANDS; ALMAGRO ISLAND; SIGNY-ISLAND; FACIES ROCKS; EVOLUTION; BLUESCHIST; ACCRETION; ECLOGITE; CONSTRAINTS</t>
  </si>
  <si>
    <t>The Antarctic continent constituted the southwestern margin of Gondwana until its break-up in the early Cretaceous, when new margins were created along the separating fragments of South America and Antarctica, forming the Scotia Arc. In the Jurassic, part of this passive continental margin became active with subduction of oceanic lithosphere, leading to the introduction of ocean floor material into the accretionary wedge accompanied by deformation and metamorphism. One of these margins is preserved in the South Orkney Microcontinent, and crops out at the South Orkney Islands. At Powell Island, situated in the center of the South Orkney Islands, a gradual transition from very low-grade metarenite, interlayered with metasiltite and slate of the Greywacke Shale Formation, in the south, to biotite-garnet schist, in the north, belonging to the Scotia Metamorphic Complex, is present. The metamorphic map presents from south to north a pumpellyite muscovite chlorite zone, a garnet zone, a biotite-garnet zone and an abundant biotite-garnet zone. Thermobarometric calculations yielded for the garnet and garnet-biotite zones temperatures between 498 and 517 degrees C with pressures of 9-11 kbar and for the abundant biotite-garnet zone temperatures between 522 and 550 degrees C and pressures between 11.8 and 13 kbar. These results align well with earlier obtained data for the lower grade rocks and confirm the idea of metamorphism in an accretionary wedge. The relatively high-pressure is interpreted to be responsible for the inversion of the biotite and garnet isograds, for the albitic composition of plagioclase and for the relatively Ca-rich garnet. P-T conditions fall in the transitional field between greenschist, amphibolite, blueschist and eclogite facies.</t>
  </si>
  <si>
    <t>[da Costa, Rodrigo Vinagre; Johannes Trouw, Rudolph Allard; Mendes, Julio Cezar] Univ Fed Rio de Janeiro, Dept Geol, IGEO, Rio De Janeiro, Brazil; [de Moraes, Renato] Univ Sao Paulo, Dept Mineral &amp; Geotecton, Inst Geociencias, Sao Paulo, Brazil; [Amarante Simoes, Luiz Sergio] Univ Estado Sao Paulo, Dept Geol, Sao Paulo, Brazil</t>
  </si>
  <si>
    <t>Universidade Federal do Rio de Janeiro; Universidade de Sao Paulo</t>
  </si>
  <si>
    <t>da Costa, RV (corresponding author), Av Athos Silveira Ramos,274 CCMN,Room J2-24, BR-21941916 Rio De Janeiro, RJ, Brazil.</t>
  </si>
  <si>
    <t>rodrigogeologo@yahoo.com.br</t>
  </si>
  <si>
    <t>Simoes, Luiz/0000-0002-5198-8210; Moraes, Renato/0000-0001-6917-3696</t>
  </si>
  <si>
    <t>CAPES; CNPq</t>
  </si>
  <si>
    <t>CAPES(Coordenacao de Aperfeicoamento de Pessoal de Nivel Superior (CAPES)); CNPq(Conselho Nacional de Desenvolvimento Cientifico e Tecnologico (CNPQ))</t>
  </si>
  <si>
    <t>Cees Passchier and Julio Cesar Horta de Almeida are acknowledged for assistance in the field. We thank the employees of LABSONDA/UFRJ and the other laboratories involved in the acquisition of data. CAPES is acknowledged for the post -doctoral scholarship, PNPD granted to Dr. Rodrigo Vinagre da Costa, through the Postgraduate Program Geosciences (Mineralogy and Petrology, USP). RAJT acknowledges CNPq for research funding. CNPq is acknowledged for financial support for field work during the OPERANTAR during the summers of 1989 and 1992.</t>
  </si>
  <si>
    <t>0895-9811</t>
  </si>
  <si>
    <t>J S AM EARTH SCI</t>
  </si>
  <si>
    <t>J. South Am. Earth Sci.</t>
  </si>
  <si>
    <t>10.1016/j.jsames.2019.01.002</t>
  </si>
  <si>
    <t>IA9SH</t>
  </si>
  <si>
    <t>WOS:000469896600002</t>
  </si>
  <si>
    <t>Milanese, F; Rapalini, A; Slotznick, SP; Tobin, TS; Kirschvink, J; Olivero, E</t>
  </si>
  <si>
    <t>Milanese, Florencia; Rapalini, Augusto; Slotznick, Sarah P.; Tobin, Thomas S.; Kirschvink, Joseph; Olivero, Eduardo</t>
  </si>
  <si>
    <t>Late Cretaceous paleogeography of the Antarctic Peninsula: New paleomagnetic pole from the James Ross Basin</t>
  </si>
  <si>
    <t>Paleomagnetism; Apparent polar wander path; Marambio group; Gustav group</t>
  </si>
  <si>
    <t>TIERRA-DEL-FUEGO; BACK-ARC BASIN; SOUTH-AMERICA; PATAGONIAN OROCLINE; TECTONIC EVOLUTION; SEDIMENTARY-ROCKS; IGNEOUS ROCKS; DRAKE PASSAGE; GUSTAV-GROUP; SCOTIA SEA</t>
  </si>
  <si>
    <t>Two paleomagnetic poles of 80 and 75 Ma have been computed from 191 to 123 paleomagnetic samples, respectively, of the marine sedimentary units of the Upper Cretaceous Marambio Group exposed in the James Ross Island, Antarctic Peninsula. Paleomagnetic behaviors during stepwise thermal demagnetization and rock magnetic analyses indicate that magnetization is likely primary and carried by SD-PSD detrital titanomagnetite. Application of an inclination shallowing correction by the elongation-inclination method yielded a significant inclination shallowing affecting the older (ca. 80 Ma) succession exposed in the northwest area of the island. However, the paleomagnetic directions computed from the younger (ca. 75 Ma) succession outcropping in the southeast corner of the island yielded an indeterminate result using the same analysis. The inclination shallowing-corrected 80 Ma paleopole position plus previous ones of ca.110, 90 and 55 Ma were used to construct the Apparent Polar Wander Path (APWP) for the Antarctic Peninsula during the Late Cretaceous-Paleocene. This path confirms that oroclinal bending of the Antarctic Peninsula as well as relative displacement with respect to East Antarctica are negligible since 110 Ma. Comparison with the apparent polar wander path for South America for the 130-45 Ma period suggests that this continent and the Antarctic Peninsula kept a very similar relative paleogeographic position since 110 Ma until 55 Ma, which likely meant a physical link between both continental masses. During that period, both continents underwent a relatively fast southward displacement of around 7 degrees and a clockwise rotation relative to the Earth spin axis that can be bracketed between around 100 and 90 Ma. Oroclinal bending of the Fuegian Andes was likely due to tectonic interactions between the Patagonian-Fuegian Andes and the Antarctic Peninsula promoted, at least partially, by such displacements. By 55 Ma the Antarctic Peninsula probably was starting or about to start its final separation from South America.</t>
  </si>
  <si>
    <t>[Milanese, Florencia; Rapalini, Augusto] Univ Buenos Aires, Inst Geociencias Bas Aplicadas &amp; Ambientales Buen, CONICET, Buenos Aires, DF, Argentina; [Slotznick, Sarah P.] Univ Calif Berkeley, Berkeley, CA 94720 USA; [Tobin, Thomas S.] Univ Alabama, Tuscaloosa, AL USA; [Kirschvink, Joseph] CALTECH, Div Geol &amp; Planetary Sci, Pasadena, CA 91125 USA; [Kirschvink, Joseph; Olivero, Eduardo] Tokyo Inst Technol, Earth Life Sci Inst, Meguro Ku, Tokyo, Japan; [Olivero, Eduardo] Consejo Nacl Invest Cient &amp; Tecn, CADIC, Bernardo Houssay 200, RA-9410 Ushuaia, Argentina</t>
  </si>
  <si>
    <t>University of Buenos Aires; Consejo Nacional de Investigaciones Cientificas y Tecnicas (CONICET); University of California System; University of California Berkeley; University of Alabama System; University of Alabama Tuscaloosa; California Institute of Technology; Tokyo Institute of Technology; Consejo Nacional de Investigaciones Cientificas y Tecnicas (CONICET)</t>
  </si>
  <si>
    <t>Milanese, F (corresponding author), Univ Buenos Aires, Inst Geociencias Bas Aplicadas &amp; Ambientales Buen, CONICET, Buenos Aires, DF, Argentina.</t>
  </si>
  <si>
    <t>fnmilanese@gl.fcen.uba.ar</t>
  </si>
  <si>
    <t>Kirschvink, Joseph L/U-5844-2017</t>
  </si>
  <si>
    <t>Kirschvink, Joseph/0000-0001-9486-6689; Tobin, Thomas/0000-0003-0992-7809; Slotznick, Sarah/0000-0001-8374-3173</t>
  </si>
  <si>
    <t>NSF Office of Polar Programs (NSF) [1341729, 0739541]; ANPCyT [PICTO 2010-0114]; Universidad de Buenos Aires [UBACyT 20020130100465BA]; Office of Polar Programs (OPP); Directorate For Geosciences [0739541, 1341729] Funding Source: National Science Foundation</t>
  </si>
  <si>
    <t>NSF Office of Polar Programs (NSF); ANPCyT(ANPCyT); Universidad de Buenos Aires(University of Buenos Aires); Office of Polar Programs (OPP); Directorate For Geosciences(National Science Foundation (NSF)NSF - Directorate for Geosciences (GEO))</t>
  </si>
  <si>
    <t>To the Institute Antartico Argentino for the logistic support during the Antarctic field seasons, and the NSF Office of Polar Programs (NSF grant 1341729 to JLK, #0739541) for support of the laboratory work at Caltech. Grants from ANPCyT (PICTO 2010-0114 to E. Olivero) and Universidad de Buenos Aires (UBACyT 20020130100465BA to A. Rapalini) provided additional support for this research. Constructive comments from to anonymous reviewers helped us to improve the final version of the manuscript.</t>
  </si>
  <si>
    <t>10.1016/j.jsames.2019.01.012</t>
  </si>
  <si>
    <t>WOS:000469896600013</t>
  </si>
  <si>
    <t>Devloo-Delva, F; Maes, GE; Hernández, SI; Mcallister, JD; Gunasekera, RM; Grewe, PM; Thomson, RB; Feutry, P</t>
  </si>
  <si>
    <t>Devloo-Delva, Floriaan; Maes, Gregory E.; Hernandez, Sebastian I.; Mcallister, Jaime D.; Gunasekera, Rasanthi M.; Grewe, Peter M.; Thomson, Robin B.; Feutry, Pierre</t>
  </si>
  <si>
    <t>Accounting for kin sampling reveals genetic connectivity in Tasmanian and New Zealand school sharks, Galeorhinus galeus</t>
  </si>
  <si>
    <t>ECOLOGY AND EVOLUTION</t>
  </si>
  <si>
    <t>close kin; genetic structure assessment; population genomics; sampling bias; shark fisheries; single nucleotide polymorphisms</t>
  </si>
  <si>
    <t>POPULATION-STRUCTURE; MITOCHONDRIAL-DNA; R PACKAGE; DIFFERENTIATION; INFERENCE; CONSERVATION; CHALLENGES; DISPERSAL; DIVERSITY; PROGRAM</t>
  </si>
  <si>
    <t>Fishing represents a major problem for conservation of chondrichthyans, with a quarter of all species being overexploited. School sharks, Galeorhinus galeus, are targeted by commercial fisheries in Australia and New Zealand. The Australian stock has been depleted to below 20% of its virgin biomass, and the species is recorded as Conservation Dependent within Australia. Individuals are known to move between both countries, but it is disputed whether the stocks are reproductively linked. Accurate and unbiased determination of stock and population connectivity is crucial to inform effective management. In this study, we assess the genetic composition and population connectivity between Australian and New Zealand school sharks using genome-wide SNPs, while accounting for non-random kin sampling. Between 2009 and 2013, 88 neonate and juvenile individuals from Tasmanian and New Zealand nurseries were collected and genotyped. Neutral loci were analyzed to detect fine-scale signals of reproductive connectivity. Seven full-sibling groups were identified and removed for unbiased analysis. Based on 6,587 neutral SNPs, pairwise genetic differentiation from Tasmanian and New Zealand neonates was non-significant (F-ST=0.0003, CI95=[-0.0002, 0.0009], p=0.1163; D-est=0.00060.0002). This pattern was supported by clustering results. In conclusion, we show a significant effect of non-random sampling of kin and identify fine-scale reproductive connectivity between Australian and New Zealand school sharks.</t>
  </si>
  <si>
    <t>[Devloo-Delva, Floriaan; Gunasekera, Rasanthi M.; Grewe, Peter M.; Thomson, Robin B.; Feutry, Pierre] CSIRO, Oceans &amp; Atmosphere, Hobart, Tas, Australia; [Devloo-Delva, Floriaan] Univ Tasmania, Sch Nat Sci Quantitat Marine Sci, Hobart, Tas, Australia; [Maes, Gregory E.] James Cook Univ, Coll Marine &amp; Environm Sci, Ctr Sustainable Trop Fisheries &amp; Aquaculture, Comparat Genom Ctr, Townsville, Qld, Australia; [Maes, Gregory E.] Katholieke Univ Leuven, Lab Biodivers &amp; Evolutionary Genom, Leuven, Belgium; [Maes, Gregory E.] Katholieke Univ Leuven, Ctr Human Genet, UZ Leuven Genom Core, Leuven, Belgium; [Hernandez, Sebastian I.] Univ Veritas, Biomol Lab, Ctr Int Program, San Jose, Costa Rica; [Hernandez, Sebastian I.] Univ Catolica Norte, Fac Ciencias Mar, Sala Colecc, Coquimbo, Chile; [Mcallister, Jaime D.] Univ Tasmania, Inst Marine &amp; Antarctic Studies, Fisheries &amp; Aquaculture Ctr, Hobart, Tas, Australia</t>
  </si>
  <si>
    <t>Commonwealth Scientific &amp; Industrial Research Organisation (CSIRO); University of Tasmania; James Cook University; KU Leuven; KU Leuven; Universidad Catolica del Norte; University of Tasmania</t>
  </si>
  <si>
    <t>Devloo-Delva, F (corresponding author), CSIRO, Oceans &amp; Atmosphere, Hobart, Tas, Australia.</t>
  </si>
  <si>
    <t>Floriaan.Devloo-Delva@csiro.au</t>
  </si>
  <si>
    <t>Devloo-Delva, Floriaan/L-8657-2016; Maes, Gregory/N-4983-2019; Grewe, Peter/AAJ-5227-2021; Feutry, Pierre/D-7469-2011; Gunasekera, Rasanthi/A-2318-2012</t>
  </si>
  <si>
    <t>Devloo-Delva, Floriaan/0000-0002-6757-2949; Maes, Gregory/0000-0002-1531-7321; Grewe, Peter/0000-0001-7111-4150; Hernandez, Sebastian/0000-0002-2908-6050; Feutry, Pierre/0000-0001-8492-5382; McAllister, Jaime/0000-0002-0878-7421; Gunasekera, Rasanthi/0000-0003-1990-2752</t>
  </si>
  <si>
    <t>Fisheries Research and Development Corporation [FRDC 2014-024]</t>
  </si>
  <si>
    <t>Fisheries Research and Development Corporation</t>
  </si>
  <si>
    <t>Fisheries Research and Development Corporation, Grant/Award Number: FRDC 2014-024</t>
  </si>
  <si>
    <t>2045-7758</t>
  </si>
  <si>
    <t>ECOL EVOL</t>
  </si>
  <si>
    <t>Ecol. Evol.</t>
  </si>
  <si>
    <t>10.1002/ece3.5012</t>
  </si>
  <si>
    <t>Ecology; Evolutionary Biology</t>
  </si>
  <si>
    <t>Environmental Sciences &amp; Ecology; Evolutionary Biology</t>
  </si>
  <si>
    <t>HV6PB</t>
  </si>
  <si>
    <t>WOS:000466104200014</t>
  </si>
  <si>
    <t>Emmerson, L; Walsh, S; Southwell, C</t>
  </si>
  <si>
    <t>Emmerson, Louise; Walsh, Sarina; Southwell, Colin</t>
  </si>
  <si>
    <t>Nonbreeder birds at colonies display qualitatively similar seasonal mass change patterns as breeders</t>
  </si>
  <si>
    <t>appetite; food requirements; hormonal drivers; Pygoscelis adeliae; Pygoscelis papua</t>
  </si>
  <si>
    <t>ADELIE-PENGUIN; BODY-MASS; REPRODUCTIVE CONSEQUENCES; REFEEDING SIGNAL; SOUTHERN-OCEAN; KING PENGUINS; SEABIRDS; RECRUITMENT; POPULATION; CORTICOSTERONE</t>
  </si>
  <si>
    <t>The difficulty in studying nonbreeding birds means that little is known about them or their resource requirements, despite forming a large and significant component of a population. One way to assess food requirements is to examine changes in body mass, because it indicates the amount of food acquired. In terms of body mass changes, our expectation is that nonbreeders will either (a) be in poorer condition than the breeders which potentially explains why they do not breed or (b) remain at a stable higher mass as they are unconstrained by the physiological costs associated with rearing chicks. Here, we interrogate body mass datasets of breeding and nonbreeding birds of two penguin species to assess these predictions and determine whether differences in mass exist between these two groups throughout the breeding season. The first dataset is from a wild Adelie penguin population, where bird mass was recorded automatically and breeding status determined from a resighting program. A second population of captive gentoo penguins were weighed regularly each breeding season. We demonstrate that although there were times in each year when breeders were heavier than their nonbreeding counterparts for both populations, the mass changes showed qualitatively similar patterns throughout the breeding season irrespective of breeding status. Heavier breeders at times during the breeding season are not unexpected but the overall similar pattern of mass change irrespective of breeding status is in contrast to expectations. It appears that breeding status per se and the constraints that breeding places on birds are not the only driver of changes in mass throughout the breeding season and, although not explicitly studied here, the role of hormones in driving changes in appetite could be key to explain these results. These results present a significant step toward understanding food requirements of nonbreeders in avian populations.</t>
  </si>
  <si>
    <t>[Emmerson, Louise; Southwell, Colin] Australian Antarctic Div, Environm &amp; Energy Dept, Kingston, Tas, Australia; [Walsh, Sarina] Melbourne Aquarium, Melbourne, Vic, Australia</t>
  </si>
  <si>
    <t>Australian Antarctic Division; Melbourne Genomics Health Alliance</t>
  </si>
  <si>
    <t>Emmerson, L (corresponding author), Australian Antarctic Div, Environm &amp; Energy Dept, Kingston, Tas, Australia.</t>
  </si>
  <si>
    <t>Louise.Emmerson@aad.gov.au</t>
  </si>
  <si>
    <t>Australian Antarctic Science AAS project [4087]; ASAC projects [2722, 2205]</t>
  </si>
  <si>
    <t>Australian Antarctic Science AAS project; ASAC projects</t>
  </si>
  <si>
    <t>We thank the Bechervaise Island field teams, Knowles Kerry, and Judy Clarke for establishing the program and the Australian Antarctic program for logistics and support in the field. The Sea Life Melbourne Aquarium provided access to gentoo penguin data, their feeding regime, and the aquarium temperature and light profiles. This work contributes to Australian Antarctic Science AAS project #4087 drawing on data from ASAC projects #2722 and 2205.</t>
  </si>
  <si>
    <t>10.1002/ece3.5067</t>
  </si>
  <si>
    <t>WOS:000466104200026</t>
  </si>
  <si>
    <t>Li, T; Zhang, BG; Cheng, X; Westoby, MJ; Li, ZH; Ma, C; Hui, FM; Shokr, M; Liu, Y; Chen, ZQ; Zhai, MX; Li, XQ</t>
  </si>
  <si>
    <t>Li, Teng; Zhang, Baogang; Cheng, Xiao; Westoby, Matthew J.; Li, Zhenhong; Ma, Chi; Hui, Fengming; Shokr, Mohammed; Liu, Yan; Chen, Zhuoqi; Zhai, Mengxi; Li, Xinqing</t>
  </si>
  <si>
    <t>Resolving Fine-Scale Surface Features on Polar Sea Ice: A First Assessment of UAS Photogrammetry Without Ground Control</t>
  </si>
  <si>
    <t>landfast sea ice; unmanned aerial system (UAS); Antarctic expedition; structure from motion (SfM); surface features; photogrammetry</t>
  </si>
  <si>
    <t>STRUCTURE-FROM-MOTION; UNMANNED AERIAL VEHICLE; ROUGHNESS; DEFORMATION; TRAFFICABILITY; GENERATION; ACCURACY; SYSTEMS; MAPS; UAVS</t>
  </si>
  <si>
    <t>Mapping landfast sea ice at a fine spatial scale is not only meaningful for geophysical study, but is also of benefit for providing information about human activities upon it. The combination of unmanned aerial systems (UAS) with structure from motion (SfM) methods have already revolutionized the current close-range Earth observation paradigm. To test their feasibility in characterizing the properties and dynamics of fast ice, three flights were carried out in the 2016-2017 austral summer during the 33rd Chinese National Antarctic Expedition (CHINARE), focusing on the area of the Prydz Bay in East Antarctica. Three-dimensional models and orthomosaics from three sorties were constructed from a total of 205 photos using Agisoft PhotoScan software. Logistical challenges presented by the terrain precluded the deployment of a dedicated ground control network; however, it was still possible to indirectly assess the performance of the photogrammetric products through an analysis of the statistics of the matching network, bundle adjustment, and Monte-Carlo simulation. Our results show that the matching networks are quite strong, given a sufficient number of feature points (mostly &gt; 20,000) or valid matches (mostly &gt; 1000). The largest contribution to the total error using our direct georeferencing approach is attributed to inaccuracies in the onboard position and orientation system (POS) records, especially in the vehicle height and yaw angle. On one hand, the 3D precision map reveals that planimetric precision is usually about one-third of the vertical estimate (typically 20 cm in the network centre). On the other hand, shape-only errors account for less than 5% for the X and Y dimensions and 20% for the Z dimension. To further illustrate the UAS's capability, six representative surface features are selected and interpreted by sea ice experts. Finally, we offer pragmatic suggestions and guidelines for planning future UAS-SfM surveys without the use of ground control. The work represents a pioneering attempt to comprehensively assess UAS-SfM survey capability in fast ice environments, and could serve as a reference for future improvements.</t>
  </si>
  <si>
    <t>[Li, Teng; Zhang, Baogang; Cheng, Xiao; Ma, Chi; Hui, Fengming; Liu, Yan; Chen, Zhuoqi; Zhai, Mengxi; Li, Xinqing] Beijing Normal Univ, Coll Global Change &amp; Earth Syst Sci GCESS, State Key Lab Remote Sensing Sci, Beijing 100875, Peoples R China; [Li, Teng; Westoby, Matthew J.] Northumbria Univ, Dept Geog &amp; Environm Sci, Engn &amp; Environm, Newcastle Upon Tyne NE1 8ST, Tyne &amp; Wear, England; [Li, Teng; Zhang, Baogang; Cheng, Xiao; Ma, Chi; Hui, Fengming; Liu, Yan; Chen, Zhuoqi; Zhai, Mengxi; Li, Xinqing] JCGCS, Beijing 100875, Peoples R China; [Li, Teng; Zhang, Baogang; Cheng, Xiao; Hui, Fengming; Liu, Yan; Chen, Zhuoqi; Zhai, Mengxi; Li, Xinqing] UCPR, Beijing 100875, Peoples R China; [Li, Zhenhong] Newcastle Univ, Sch Engn, Newcastle Upon Tyne NE1 7RU, Tyne &amp; Wear, England; [Shokr, Mohammed] Environm Canada, Sci &amp; Technol Branch, Toronto, ON M3H 5T4, Canada</t>
  </si>
  <si>
    <t>Beijing Normal University; Northumbria University; Newcastle University - UK; Environment &amp; Climate Change Canada</t>
  </si>
  <si>
    <t>Cheng, X (corresponding author), Beijing Normal Univ, Coll Global Change &amp; Earth Syst Sci GCESS, State Key Lab Remote Sensing Sci, Beijing 100875, Peoples R China.;Cheng, X (corresponding author), JCGCS, Beijing 100875, Peoples R China.;Cheng, X (corresponding author), UCPR, Beijing 100875, Peoples R China.</t>
  </si>
  <si>
    <t>litengbnu@foxmail.com; zhang_bob@bnu.edu.cn; xcheng@bnu.edu.cn; matt.westoby@northumbria.ac.uk; zhenhong.li@ncl.ac.uk; machi63269@126.com; huifm@bnu.edu.cn; mo.shokr.ms@gmail.com; lyxixi_2003@163.com; chenzq@bnu.edu.cn; Mengxi.zhai@mail.bnu.edu.cn; lixinqing0710@163.com</t>
  </si>
  <si>
    <t>Liu）, 刘岩（Yan/AAT-5481-2020; Li, Xinqing/AAT-5475-2020; Westoby, Matthew/JNE-9260-2023; Li, Teng/E-9284-2018; Li, Zhenhong/F-8705-2010; Westoby, Matthew/D-3880-2016</t>
  </si>
  <si>
    <t>Li, Xinqing/0000-0002-3984-3203; Li, Zhenhong/0000-0002-8054-7449; Li, Teng/0000-0002-5620-3662; Westoby, Matthew/0000-0002-2070-5580; Cheng, Xiao/0000-0001-6910-6565; Zhang, Baogang/0000-0002-0686-9220</t>
  </si>
  <si>
    <t>National key research and development Program of China [2018YFA0605403]; National Natural Science Foundation of China [41830536, 41676176, 41676182]; Chinese Polar Environment Comprehensive Investigation and Assessment Program; Qian Xuesen Lab.-DFH Sat. Co. Joint Research and Development Fund; Fundamental Research Funds for the Central Universities in China; UK NERC, through the Centre for the Observation and Modelling of Earthquakes, Volcanoes, and Tectonics (COMET) [come30001]; European Space Agency through the ESA-MOST DRAGON-4 project [32244]; NERC [NE/K010794/1, come30001] Funding Source: UKRI</t>
  </si>
  <si>
    <t>National key research and development Program of China; National Natural Science Foundation of China(National Natural Science Foundation of China (NSFC)); Chinese Polar Environment Comprehensive Investigation and Assessment Program; Qian Xuesen Lab.-DFH Sat. Co. Joint Research and Development Fund; Fundamental Research Funds for the Central Universities in China; UK NERC, through the Centre for the Observation and Modelling of Earthquakes, Volcanoes, and Tectonics (COMET); European Space Agency through the ESA-MOST DRAGON-4 project; NERC(UK Research &amp; Innovation (UKRI)Natural Environment Research Council (NERC))</t>
  </si>
  <si>
    <t>This work was supported by the National key research and development Program of China (No. 2018YFA0605403), National Natural Science Foundation of China (Grant No. 41830536, 41676176 and 41676182); the Chinese Polar Environment Comprehensive Investigation and Assessment Program; Qian Xuesen Lab.-DFH Sat. Co. Joint Research and Development Fund; and the Fundamental Research Funds for the Central Universities in China. This work was also supported by the UK NERC, through the Centre for the Observation and Modelling of Earthquakes, Volcanoes, and Tectonics (COMET, ref.: come30001) and by the European Space Agency through the ESA-MOST DRAGON-4 project (ref. 32244).</t>
  </si>
  <si>
    <t>10.3390/rs11070784</t>
  </si>
  <si>
    <t>HU8OS</t>
  </si>
  <si>
    <t>WOS:000465549300049</t>
  </si>
  <si>
    <t>Zhou, CX; Zhang, T; Zheng, L</t>
  </si>
  <si>
    <t>Zhou, Chunxia; Zhang, Teng; Zheng, Lei</t>
  </si>
  <si>
    <t>The Characteristics of Surface Albedo Change Trends over the Antarctic Sea Ice Region during Recent Decades</t>
  </si>
  <si>
    <t>Antarctica; ensemble empirical mode; sea ice albedo; sea ice concentration; sea surface temperature</t>
  </si>
  <si>
    <t>EMPIRICAL MODE DECOMPOSITION; AVHRR CLOUD DETECTION; SOUTHERN-OCEAN; DYNAMIC THRESHOLDS; ANNULAR MODE; ARCTIC-OCEAN; TIME-SERIES; TEMPERATURE; RADIATION; PACIFIC</t>
  </si>
  <si>
    <t>Based on a long-time series (1982-2015) of remote sensing data, we analyzed the change in surface albedo (SAL) during summer (from December to the following February) for the entire Antarctic Sea Ice Region (ASIR) and five longitudinal sectors around Antarctica: (1). the Weddell Sea (WS), (2). Indian Ocean, (3). Pacific Ocean (PO), (4). Ross Sea, and (5). Bellingshausen-Amundsen Sea (BS). Empirical mode decomposition was used to extract the trend of the original signal, and then a slope test method was utilized to identify a transition point. The SAL provided by the CM SAF cloud, Albedo, and Surface Radiation dataset from AVHRR data-Second Edition was validated at Neumayer station. Sea ice concentration (SIC) and sea surface temperature (SST) were also analyzed. The trend of the SAL/SIC was positive during summer over the ASIR and five longitudinal sectors, except for the BS (-2.926% and -4.596% per decade for SAL and SIC, correspondingly). Moreover, the largest increasing trend of SAL and SIC appeared in the PO at approximately 3.781% and 3.358% per decade, respectively. However, the decreasing trend of SAL/SIC in the BS slowed down, and the increasing trend of SAL/SIC in the PO accelerated. The trend curves of the SST exhibited a crest around 2000-2005; thus, the slope lines of the SST showed an increasing-decreasing type for the ASIR and the five longitudinal sectors. The evolution of summer albedo decreased rapidly in the early summer and then maintained a relatively stable level for the whole ASIR. The change of it mainly depended on the early melt of sea ice during the entire summer. The change of sea ice albedo had a narrow range when compared with composite albedo and SIC over the five longitudinal sectors and reached a stable level earlier. The transition point of SAL/SIC in several sectors appeared around the year 2000, whereas that of the SST for the entire ASIR occurred in 2003-2005. A high value of SAL/SIC and a low value of the SST existed in the WS which can be displayed by the spatial distribution of pixel average. In addition, the lower the latitude was, the lower the SAL/SIC and the higher the SST would be. A transition point of SAL appeared in 2001 in most areas of West Antarctica. This transition point could be illustrated by anomaly maps. The spatial distribution of the pixel-based trend of SAL demonstrated that the change in SAL in East Antarctica has exhibited a positive trend in recent decades. However, in West Antarctica, the change of SAL presented a decreasing trend before 2001 and transformed into an increasing trend afterward, especially in the east of the Antarctic Peninsula.</t>
  </si>
  <si>
    <t>[Zhou, Chunxia; Zhang, Teng; Zheng, Lei] Wuhan Univ, Chinese Antarctic Ctr Surveying &amp; Mapping, Wuhan 430079, Hubei, Peoples R China</t>
  </si>
  <si>
    <t>Wuhan University</t>
  </si>
  <si>
    <t>Zhang, T (corresponding author), Wuhan Univ, Chinese Antarctic Ctr Surveying &amp; Mapping, Wuhan 430079, Hubei, Peoples R China.</t>
  </si>
  <si>
    <t>zhoucx@whu.edu.cn; moxiaobei@whu.edu.cn; zhenglei007@whu.edu.cn</t>
  </si>
  <si>
    <t>Zheng, Lei/AAU-3788-2020</t>
  </si>
  <si>
    <t>National Natural Science Foundation of China [41376187, 41531069, 41776200]; National Key Research and Development Program of China [2018YFC1406100]</t>
  </si>
  <si>
    <t>National Natural Science Foundation of China(National Natural Science Foundation of China (NSFC)); National Key Research and Development Program of China</t>
  </si>
  <si>
    <t>This research was supported by the National Natural Science Foundation of China (No. 41376187, 41531069 and 41776200) and the National Key Research and Development Program of China (2018YFC1406100).</t>
  </si>
  <si>
    <t>10.3390/rs11070821</t>
  </si>
  <si>
    <t>gold, Green Submitted</t>
  </si>
  <si>
    <t>WOS:000465549300086</t>
  </si>
  <si>
    <t>Tapia, CA; Grant, GR; Turner, GM; Sefton, JP; Naish, TR; Dunbar, G; Ohneiser, C</t>
  </si>
  <si>
    <t>Tapia, Claudio A.; Grant, Georgia R.; Turner, Gillian M.; Sefton, Juliet P.; Naish, Tim R.; Dunbar, Gavin; Ohneiser, Christian</t>
  </si>
  <si>
    <t>High-resolution magnetostratigraphy of mid-Pliocene (3.3-3.0 Ma) shallow-marine sediments, Whanganui Basin, New Zealand</t>
  </si>
  <si>
    <t>GEOPHYSICAL JOURNAL INTERNATIONAL</t>
  </si>
  <si>
    <t>Sea level change; New Zealand; Magnetostratigraphy; Marine magnetics and palaeomagnetics; Reversals: process, timescale, magnetostratigraphy</t>
  </si>
  <si>
    <t>SEA-LEVEL FLUCTUATIONS; WANGANUI BASIN; MAGNETIC-PROPERTIES; REMAGNETIZATION CIRCLES; GEOMAGNETIC-FIELD; SHELF SEQUENCES; POLAR WANDER; LATE MIOCENE; PLEISTOCENE; CONSTRAINTS</t>
  </si>
  <si>
    <t>Orbital timescale, well-dated, shallow-marine records of the mid-Pliocene warm period (3.3-3.0 Ma) from tectonically uncomplicated continental margins are rare. They are, however, of interest for understanding global sea level changes in a climate characterised by atmospheric CO2 concentrations of similar to 400 ppm and temperatures 2-3 degrees C warmer than pre-industrial times. We present here a new high-resolution magnetostratigraphy for two laterally adjacent drill cores (Tiriraukawa-1 and Siberia-1) from the Whanganui Basin of New Zealand, that continuously recovered (98 per cent) a similar to 350-m-thick succession of cyclical shallow-marine (inner to outer shelf) sediments, spanning the mid- (3.3-3.0 Ma) to late Pliocene (3.0-2.6 Ma). Palaeomagnetic analysis was carried out on 1282 specimens, taken at intervals of 1 m (corresponding to approximately 1000 yr) throughout both cores. The sediments show very weak natural remanent magnetization (NRM) and magnetic susceptibility, in the ranges of 10(-4)-10(-3) A m(-1) and 10(-4)-10(-3) SI, respectively. NRMs generally comprise three components, a variable low blocking temperature (T-b) component interpreted to be thermoviscous; an intermediate (150-290 degrees C) T-b component, which is thought to be the survivor of the primary detrital magnetization; and a high (&gt;290 degrees C) T-b component, considered to be secondary in origin and often antipodal to the characteristic intermediate T-b component. Despite thermal alteration hindering the separation of these components, progressive demagnetization enables recognition of the polarity of the characteristic remanent magnetization in most cases. Magnetic polarity zonations of the two cores are consistent and show a bottom to top sequence of polarity intervals: R1-N1-R2-N2-R3. Independent age constraints and the previously defined basin chronostratigraphic framework enable a clear correlation to the Gauss Chron of the Geomagnetic Polarity Timescale (GPTS; Ogg 2012) including subchrons C2An.2r (Mammoth), C2An.2n, C2An.1r (Kaena) and C2An.1n. The uppermost reversed polarity interval, R3, which is estimated to have occurred between 3.02 and 2.99 Ma with a duration of about 30 000 yr, is currently not recognized in the GPTS (Ogg 2012).</t>
  </si>
  <si>
    <t>[Tapia, Claudio A.] Univ Catolica Temuco, Fac Ingn, Dept Obras Civiles &amp; Geol, Ave Alemania 021,Casilla 15-D, Temuco, Chile; [Grant, Georgia R.; Naish, Tim R.; Dunbar, Gavin] Victoria Univ Wellington, Antarctic Res Ctr, POB 600, Wellington 6012, New Zealand; [Turner, Gillian M.] Victoria Univ Wellington, Sch Chem &amp; Phys Sci, Wellington, New Zealand; [Sefton, Juliet P.] Univ Durham, Dept Geog, South Rd, Durham DH1 3LE, England; [Ohneiser, Christian] Univ Otago, Dept Geol, POB 56, Dunedin 9054, New Zealand</t>
  </si>
  <si>
    <t>Universidad Catolica de Temuco; Victoria University Wellington; Victoria University Wellington; Durham University; University of Otago</t>
  </si>
  <si>
    <t>Tapia, CA (corresponding author), Univ Catolica Temuco, Fac Ingn, Dept Obras Civiles &amp; Geol, Ave Alemania 021,Casilla 15-D, Temuco, Chile.</t>
  </si>
  <si>
    <t>claudio.tapia@uct.cl</t>
  </si>
  <si>
    <t>Sefton, Juliet/AAJ-3932-2021</t>
  </si>
  <si>
    <t>Sefton, Juliet/0000-0001-7063-6029; Tapia, Claudio A./0000-0001-7653-738X</t>
  </si>
  <si>
    <t>Royal Society of New Zealand [13 VUW 112]</t>
  </si>
  <si>
    <t>Royal Society of New Zealand(Royal Society of New Zealand)</t>
  </si>
  <si>
    <t>This research was funded by Royal Society of New Zealand Marsden Grant 13 VUW 112. We thank Conall Mac Niocaill and one anonymous reviewer for comments and very careful and useful reviews. The authors like to thank Tim Sherry for helping with the sampling process.</t>
  </si>
  <si>
    <t>0956-540X</t>
  </si>
  <si>
    <t>1365-246X</t>
  </si>
  <si>
    <t>GEOPHYS J INT</t>
  </si>
  <si>
    <t>Geophys. J. Int.</t>
  </si>
  <si>
    <t>10.1093/gji/ggz004</t>
  </si>
  <si>
    <t>HU9GS</t>
  </si>
  <si>
    <t>WOS:000465603300003</t>
  </si>
  <si>
    <t>Schimschal, CM; Jokat, W</t>
  </si>
  <si>
    <t>Schimschal, Claudia Monika; Jokat, Wilfried</t>
  </si>
  <si>
    <t>The Falkland Plateau in the context of Gondwana breakup</t>
  </si>
  <si>
    <t>GONDWANA RESEARCH</t>
  </si>
  <si>
    <t>Falkland Islands; Maurice Ewing Bank; Wide-angle seismic data; GPlates; Thick oceanic crust</t>
  </si>
  <si>
    <t>FILCHNER-RONNE-SHELF; SOUTH ATLANTIC; CRUSTAL STRUCTURE; RIFT SYSTEM; ISLANDS; SEA; ANTARCTICA; MAGMATISM; EVOLUTION; GRAVITY</t>
  </si>
  <si>
    <t>During the Jurassic, the Falkland Plateau was part of Gondwana and occupied a position between the African and Antarctic plates. Several contrasting models exist for the breakup of Gondwana that depend on assumptions about the currently unknown crustal structure of the Falkland Plateau. Here, we present the results of recently acquired wide-angle seismic data along the entire plateau that provide sound constraints on its role in geodynamic reconstructions. In contrast to published crustal models, the new data show that the Falkland Plateau Basin consists of up to 20 km thick oceanic crust, which is bounded to the east by a continental fragment, the Maurice Ewing Bank. In a refined geodynamic model, rifting started between the Falkland Islands and the Maurice Ewing Bank at-178 Ma and ceased at around-154 Ma. The plateau's exceptionally thick oceanic crust likely results from its position in an extensional back-arc-regime situated over a mantle thermal anomaly that was also responsible for the extensive onshore Karoo-Ferrar and Chon Aike volcanic provinces. (C) 2018 International Association for Gondwana Research. Published by Elsevier B.V. All rights reserved.</t>
  </si>
  <si>
    <t>[Schimschal, Claudia Monika; Jokat, Wilfried] Alfred Wegener Inst, Dept Geophys, Helmholtz Ctr Polar &amp; Marine Res, Handelshafen 12, D-27570 Bremerhaven, Germany; [Jokat, Wilfried] Univ Bremen, Dept Geosci, Klagenfurterstr 4, D-28359 Bremen, Germany</t>
  </si>
  <si>
    <t>Schimschal, CM (corresponding author), Alfred Wegener Inst, Dept Geophys, Helmholtz Ctr Polar &amp; Marine Res, Handelshafen 12, D-27570 Bremerhaven, Germany.</t>
  </si>
  <si>
    <t>Claudia.Klemt@awi.de; Wilfried.Jokat@awi.de</t>
  </si>
  <si>
    <t>Schimschal, Claudia Monika/0000-0002-3156-9393; Jokat, Wilfried/0000-0002-7793-5854</t>
  </si>
  <si>
    <t>AWI</t>
  </si>
  <si>
    <t>AWI(Helmholtz Association)</t>
  </si>
  <si>
    <t>We thank the captain and crew of R/V Polarstern as well as the geophysical team for their support and assistance during the cruise. We acknowledge the Geomar, Kiel for providing the OBS/H stations. We thank Victor A. Ramos, Tom Jordan and one anonymous reviewer for their reviews, that improved the manuscript. This work was supported by AWI internal funding.</t>
  </si>
  <si>
    <t>1342-937X</t>
  </si>
  <si>
    <t>1878-0571</t>
  </si>
  <si>
    <t>GONDWANA RES</t>
  </si>
  <si>
    <t>Gondwana Res.</t>
  </si>
  <si>
    <t>10.1016/j.gr.2018.11.011</t>
  </si>
  <si>
    <t>HY6NO</t>
  </si>
  <si>
    <t>WOS:000468247200008</t>
  </si>
  <si>
    <t>Skákala, J; Smyth, TJ; Torres, R; Buckingham, CE; Brearley, A; Hyder, P; Coward, AC</t>
  </si>
  <si>
    <t>Skakala, Jozef; Smyth, Tim J.; Torres, Ricardo; Buckingham, Christian E.; Brearley, Alexander; Hyder, Pat; Coward, Andrew C.</t>
  </si>
  <si>
    <t>SST Dynamics at Different Scales: Evaluating the Oceanographic Model Resolution Skill to Represent SST Processes in the Southern Ocean</t>
  </si>
  <si>
    <t>JOURNAL OF GEOPHYSICAL RESEARCH-OCEANS</t>
  </si>
  <si>
    <t>model resolution skill; scaling analysis; Southern Ocean; sea surface temperature drivers</t>
  </si>
  <si>
    <t>SEA-SURFACE TEMPERATURE; NORTH PACIFIC; HEAT-BUDGET; SATELLITE-OBSERVATIONS; MULTIFRACTAL ANALYSIS; MESOSCALE EDDIES; ROSSBY RADIUS; ICE MODEL; EDDY; TRANSPORT</t>
  </si>
  <si>
    <t>In this study we demonstrate the many strengths of scale analysis: we use it to evaluate the Nucleus for European Modelling of the Ocean model skill in representing sea surface temperature (SST) in the Southern Ocean by comparing three model resolutions: 1/12 degrees, 1/4 degrees, and 1 degrees. We show that while 4-5 times resolution scale is sufficient for each model resolution to reproduce the magnitude of satellite Earth Observation (EO) SST spatial variability to within 10%, the representation of approximate to 100-km SST variability patterns is substantially (e.g., approximate to 50% at 750km) improved by increasing model resolution from 1 degrees to 1/12 degrees. We also analyzed the dominant scales of the SST model input drivers (short-wave radiation, air-sea heat fluxes, wind stress components, wind stress curl, and bathymetry) variability with the purpose of determining the optimal SST model input driver resolution. The SST magnitude of variability is shown to scale with two power law regimes separated by a scaling break at approximate to 200-km scale. The analysis of the spatial and temporal scales of dominant SST driver impact helps to interpret this scaling break as a separation between two different dynamical regimes: the (relatively) fast SST dynamics below approximate to 200km governed by eddies, fronts, Ekman upwelling, and air-sea heat exchange, while above approximate to 200km the SST variability is dominated by long-term (seasonal and supraseasonal) modes and the SST geography.</t>
  </si>
  <si>
    <t>[Skakala, Jozef; Smyth, Tim J.; Torres, Ricardo] Plymouth Marine Lab, Plymouth, Devon, England; [Skakala, Jozef] Natl Ctr Earth Observat, Plymouth, Devon, England; [Buckingham, Christian E.; Brearley, Alexander] British Antarctic Survey, Cambridge, England; [Hyder, Pat] Hadley Ctr, Met Off, Exeter, Devon, England; [Coward, Andrew C.] Natl Oceanog Ctr, European Way, Southampton, Hants, England</t>
  </si>
  <si>
    <t>Plymouth Marine Laboratory; UK Research &amp; Innovation (UKRI); Natural Environment Research Council (NERC); NERC National Centre for Earth Observation; UK Research &amp; Innovation (UKRI); Natural Environment Research Council (NERC); NERC British Antarctic Survey; Met Office - UK; Hadley Centre; University of Southampton; NERC National Oceanography Centre</t>
  </si>
  <si>
    <t>Skákala, J (corresponding author), Plymouth Marine Lab, Plymouth, Devon, England.;Skákala, J (corresponding author), Natl Ctr Earth Observat, Plymouth, Devon, England.</t>
  </si>
  <si>
    <t>jos@pml.ac.uk</t>
  </si>
  <si>
    <t>Smyth, Tim/D-2008-2012; Buckingham, Christian E./ABC-7842-2020; Brearley, Alexander/C-3313-2012; Torres, Ricardo/HTP-7351-2023</t>
  </si>
  <si>
    <t>Smyth, Tim/0000-0003-0659-1422; Buckingham, Christian E./0000-0001-9355-9038; Torres, Ricardo/0000-0002-9035-2637; Brearley, Alexander/0000-0003-3700-8017</t>
  </si>
  <si>
    <t>Natural Environment Research Council (ORCHESTRA) [NE/N018095/1]; NERC [NE/L011166/1, NE/R015953/1, noc010010, pml010006, bas0100033, NE/N018095/1] Funding Source: UKRI</t>
  </si>
  <si>
    <t>Natural Environment Research Council (ORCHESTRA); NERC(UK Research &amp; Innovation (UKRI)Natural Environment Research Council (NERC))</t>
  </si>
  <si>
    <t>The three model runs were performed using the ARCHER UK National Supercomputing Service (http://www.archer.ac.uk).This work was supported by the Natural Environment Research Council (ORCHESTRA, grant NE/N018095/1). The NASA Group High Resolution Sea Surface Temperature (GHRSST) and the British Oceanographic Data Centre General Bathymetric Charts of the Oceans (GEBCO) data sets used in this analysis can be freely downloaded from (GHRSST) ftp://podaac. jpl. nasa. gov/allData/ghrsst/retired/L4/GLOB/REMSS/mw_ir_OI/2010/001/and (GEBCO) http://www.gebco.net/data_and_products/gridded_bathymetry_data/gebco_30_second_grid/websites.The wind scaling was validated using NASA/GSFC/NOAA Cross-Calibrated Multi-Platform Ocean Surface Wind Vector L3.0 First-Look Analyses, Ver. 1, PODAAC, CA, USA, Dataset (https://doi.org/10.5067/CCF30-01XXX).The NEMO ORCA12, ORCA4, and ORCA1 outputs are stored at the Centre for Environmental Data Analysis JASMIN servers and can be provided upon request. Computer code for 2-D scaling analysis can be downloaded from the website (https://github.com/JOZSKA/Multifractal_extrapolation).The authors would like to thank Helene Hewitt for her comments on the manuscript and Peter Cornillon for discussions on the EO data.</t>
  </si>
  <si>
    <t>2169-9275</t>
  </si>
  <si>
    <t>2169-9291</t>
  </si>
  <si>
    <t>J GEOPHYS RES-OCEANS</t>
  </si>
  <si>
    <t>J. Geophys. Res.-Oceans</t>
  </si>
  <si>
    <t>10.1029/2018JC014791</t>
  </si>
  <si>
    <t>HY2KU</t>
  </si>
  <si>
    <t>WOS:000467950800016</t>
  </si>
  <si>
    <t>Toggweiler, JR; Druffel, ERM; Key, RM; Galbraith, ED</t>
  </si>
  <si>
    <t>Toggweiler, J. R.; Druffel, Ellen R. M.; Key, Robert M.; Galbraith, Eric D.</t>
  </si>
  <si>
    <t>Upwelling in the Ocean Basins North of the ACC: 1. On the Upwelling Exposed by the Surface Distribution of 14C</t>
  </si>
  <si>
    <t>radiocarbon; ocean circulation; upwelling; overturning circulation</t>
  </si>
  <si>
    <t>ANNUAL CORAL RINGS; DISSOLVED INORGANIC RADIOCARBON; BOMB-PRODUCED RADIOCARBON; PACIFIC-OCEAN; INDIAN-OCEAN; DELTA-R; OVERTURNING CIRCULATION; RESERVOIR CORRECTIONS; SEASONAL RADIOCARBON; NATURAL-RADIOCARBON</t>
  </si>
  <si>
    <t>The upwelling associated with the ocean's overturning circulation is hard to observe directly. Here, a large data set of surface C-14 measurements is compiled in order to show where deep water is brought back up to the surface in the ocean basins north of the Antarctic Circumpolar Current (ACC). Maps constructed from the data set show that low-C-14 deep water from the ACC is drawn up to the surface in or near the upwelling zones off Northwest Africa and Namibia in the Atlantic, off Costa Rica and Peru in the Pacific, and in the northern Arabian Sea in the Indian Ocean. Deep water also seems to be reaching the surface in the subarctic Pacific gyre near the Kamchatka Peninsula. The low-C-14 water drawn up to the surface in the upwelling zones is also shown to spread across the ocean basins. It is easily seen, for example, in the western Atlantic off Florida and in the western Pacific off New Guinea and Palau. The spreading allows one to estimate the volumes of upwelling, which, it turns out, are similar to the volumes of large-scale upwelling derived from inverse box models. This means that very large volumes of cool subsurface water are reaching the surface in and near the upwelling zonesmuch larger volumes than would be expected from the local winds. Plain Language Summary The deep layers of the ocean are filled with cold dense water that sinks from the surface near Antarctica and in the northern North Atlantic. This process is understood reasonably well. The countervailing processthe way that the dense water is brought back up to the surfaceis not as well understood. Oceanographers now agree that the ocean's deep water is drawn back up to the surface (upwelled) mainly around Antarctica as part of the wind-driven overturning in the Antarctic Circumpolar Current (ACC). But cool water is also known to reach the surface in upwelling zones around the ocean's margins. Here we map the upwelling north of the ACC with the radioactive isotope carbon-14 and show that the deep water upwelled to the surface around Antarctica seems to be drawn up to the surface a second time in the upwelling zones. The water drawn up to the surface in the upwelling zones then flows back to the North Atlantic and sinks again to complete the cycle.</t>
  </si>
  <si>
    <t>[Toggweiler, J. R.] NOAA, Geophys Fluid Dynam Lab, Princeton, NJ 08540 USA; [Druffel, Ellen R. M.] Univ Calif Irvine, Dept Earth Syst Sci, Irvine, CA USA; [Key, Robert M.] Princeton Univ, Atmospher &amp; Ocean Sci Program, Princeton, NJ 08544 USA; [Galbraith, Eric D.] ICREA, Barcelona, Spain; [Galbraith, Eric D.] Univ Autonoma Barcelona, ICTA, Barcelona, Spain</t>
  </si>
  <si>
    <t>National Oceanic Atmospheric Admin (NOAA) - USA; University of California System; University of California Irvine; National Oceanic Atmospheric Admin (NOAA) - USA; Princeton University; ICREA; Autonomous University of Barcelona</t>
  </si>
  <si>
    <t>Toggweiler, JR (corresponding author), NOAA, Geophys Fluid Dynam Lab, Princeton, NJ 08540 USA.</t>
  </si>
  <si>
    <t>robbie.toggweiler@noaa.gov</t>
  </si>
  <si>
    <t>Druffel, Ellen/0000-0002-7139-1075; Toggweiler, J. R./0000-0001-6345-5756</t>
  </si>
  <si>
    <t>U.S. National Science Foundation; NSF Division of Ocean Sciences [OCE-0551940, OCE-1458941, OCE-0961980, OCE-0825163, OCE-1155983, OCE-1558740]</t>
  </si>
  <si>
    <t>U.S. National Science Foundation(National Science Foundation (NSF)); NSF Division of Ocean Sciences(National Science Foundation (NSF))</t>
  </si>
  <si>
    <t>This study is based on hundreds of Delta14C measurements made by other investigators. The authors would first like to acknowledge the important contributions made by the people who produced the measurements. The documentation for these contributions is given in the Supporting Information S1. The seawater measurements used in this study were made primarily at the National Ocean Sciences Accelerator Mass Spectrometry Facility (NOSAMS) at the Woods Hole Oceanographic Institution, and the authors would especially like to acknowledge Ann McNichol and Al Gagnon at NOSAMS for their contributions. Funding for this portion of the project was provided by U.S. National Science Foundation, through its support for NOSAMS and through numerous grants to R. M. K. and Ann McNichol during the WOCE, CLIVAR, and GO-SHIPS programs. E. R. M. D. would like to acknowledge support from the NSF Divison of Ocean Sciences (OCE-0551940, OCE-1458941, and OCE-0961980). R. M. K. would also like to acknowledge support from NSF Division of Ocean Sciences grants OCE-0825163, OCE-1155983, OCE-1558740, and their predecessors. The authors would also like to thank Harold Hudson who collected the coral head that was used to reconstruct the Delta14C for the Florida Keys during the WOCE and CLIVAR eras. Reviews by John Dunne, Rong Zhang, Andrew Shao, Jorge Sarmiento, and two anonymous reviewers greatly improved the paper. Jeff Varanyak, Cathy Raphael, and Brendan Carter provided help with the figures. Gail Haller helped with the references.</t>
  </si>
  <si>
    <t>10.1029/2018JC014794</t>
  </si>
  <si>
    <t>WOS:000467950800018</t>
  </si>
  <si>
    <t>Upwelling in the Ocean Basins North of the ACC: 2. How Cool Subantarctic Water Reaches the Surface in the Tropics</t>
  </si>
  <si>
    <t>ocean circulation; numerical modeling; upwelling; overturning circulation</t>
  </si>
  <si>
    <t>OVERTURNING CIRCULATION; SOUTH-ATLANTIC; INDIAN-OCEAN; ANNUAL CYCLE; PART I; PACIFIC; SIMULATION; VARIABILITY; FORMULATION; HEAT</t>
  </si>
  <si>
    <t>Large volumes of cool water are drawn up to the surface in the tropical oceans. A companion paper shows that the cool water reaches the surface in or near the upwelling zones off northern and southern Africa and Peru. The cool water has a subantarctic origin and spreads extensively across the Atlantic and Pacific basins after it reaches the surface. Here, we look at the spreading in two low-resolution ocean general circulation models and find that the spreading in the models is much less extensive than observed. The problem seems to be the way the upwelling and the spreading are connected (or not connected) to the ocean's large-scale overturning. As proposed here, the cool upwelling develops when warm buoyant water in the western tropics is drawn away to become deep water in the North Atlantic. The drawing away shoals the tropical thermocline in a way that allows cool subantarctic water to be drawn up to the surface along the eastern margins. The amounts of upwelling produced this way exceed the amounts generated by the winds in the upwelling zones by as much as 4 times. Flow restrictions make it difficult for the warm buoyant water in our models to be drawn away. Plain Language Summary A companion paper uses the radioactive isotope carbon-14 to map the upwelling in the ocean basins north of the Antarctic Circumpolar Current (ACC). It shows that deep water drawn up to the surface to the south of the ACC is drawn up to the surface a second time in a number of upwelling areas in the tropics. In this paper, we attempt to simulate the tropical upwelling in an ocean circulation model and find that it is largely missing. Other circulation features are missing as well. The other features operate on the opposite sides of the ocean basins from the upwelling areas and help carry warm water out of the tropics (outflows). The combination of missing elements leads to a hypothesis about the upwelling mechanism. Our hypothesis is that the tropical upwelling is driven by the outflows and the fact that the warm water being carried away ultimately becomes deep water again in the North Atlantic.</t>
  </si>
  <si>
    <t>Toggweiler, J. R./0000-0001-6345-5756; Druffel, Ellen/0000-0002-7139-1075</t>
  </si>
  <si>
    <t>This study is based on hundreds of Delta14C measurements made by other investigators. The authors would first like to acknowledge the important contributions made by the people who produced these measurements. The documentation for these contributions is given in the supporting information for the companion paper. The seawater measurements used in this study were made primarily at the National Ocean Sciences Accelerator Mass Spectrometry Facility (NOSAMS) at the Woods Hole Oceanographic Institution, and the authors would especially like to acknowledge Ann McNichol and Al Gagnon at NOSAMS for their contributions. Funding for this portion of the project was provided by U.S. National Science Foundation, through its support for NOSAMS and through numerous grants to R. M. K. and Ann McNichol during the WOCE, CLIVAR, and GO-SHIPS programs. E. R. M. D. would like to acknowledge support from the NSF Division of Ocean Sciences (OCE-0551940, OCE-1458941, and OCE-0961980). R. M. K. would also like to acknowledge support from NSF Division of Ocean Sciences grants OCE-0825163, OCE-1155983, and OCE-1558740, and their predecessors. The model simulations were carried out on the SciNet cluster at the University of Toronto using a resource allocation to E. D. G. from Compute Canada. Information about CM2Mc can be found at https://earthsystemdynamics.org/models/cm2mc-simulation-library/website.Reviews by John Dunne, Rong Zhang, Andrew Shao, Jorge Sarmiento, and two anonymous reviewers greatly improved the paper. The authors would also like to thank Lori Sentman and Matt Harrison for their help with ESM 2G. Jeff Varanyak and Cathy Raphael helped with the figures; Gail Haller helped with the references.</t>
  </si>
  <si>
    <t>10.1029/2018JC014795</t>
  </si>
  <si>
    <t>WOS:000467950800019</t>
  </si>
  <si>
    <t>Echevarria, ER; Hemer, MA; Holbrook, NJ</t>
  </si>
  <si>
    <t>Echevarria, E. R.; Hemer, M. A.; Holbrook, N. J.</t>
  </si>
  <si>
    <t>Seasonal Variability of the Global Spectral Wind Wave Climate</t>
  </si>
  <si>
    <t>directional wave spectra; CAWCR wave hindcast; global wave climate; seasonal variability; EOF; wave modes</t>
  </si>
  <si>
    <t>SEA CLIMATE; OCEAN; SWELL; ATLANTIC; IMPACTS</t>
  </si>
  <si>
    <t>Our understanding of the seasonal variability in the global wind wave field is revisited here using a novel analysis that resolves the directional wave spectra. Empirical orthogonal function analysis was applied to modeled wave spectral data from a WAVEWATCH III hindcast across a sparse global grid to identify the main patterns of the climatological wave spectral variability at each grid point. Prior methods have focused on the variability of two modes of the wave fieldlocally generated sea and the primary swell component. Our results also consider additional wave modes at each location, enabling us to track the passage of the less dominant swell modes. Consistent with existing climatological knowledge, the main modes of wave spectral variability at high latitudes are related to eastward propagating waves that disperse equatorward as swell following great circle paths. However, despite being the less energetic mode, the Northern Hemisphere generated swell is found to propagate into the Southern Hemisphere further than the more energetic Southern Hemisphere swell which propagates northward. In the equatorial zone, a complex multimodal wave climate is found, with the spectra variability modulated by remotely generated swell and higher-frequency waves associated with the prevailing winds. The evolution of these patterns throughout the year is clearly depicted. Overall, our approach captures a more complete picture of the seasonal variability of the global wave field, by accounting for all the wave modes observed in the spectra at each location together with their temporal variability. Plain Language Summary Waves generated by the wind blowing over the surface of the ocean are able to travel immense distances and reach distant coasts (e.g., it has been recognized since the 1950s that the coasts of California receive waves generated in the Southern Ocean). This means that the wave climate of a given region can be very complex, having waves generated by local winds but also from many remote places at once (multiple swell fields). In this study, we present a new method to examine seasonal variations in the global wave climate which accounts for the full directional wave spectra and includes wave systems with different frequencies and directions separately, as opposed to using integrated wave parameters, such as significant wave height or mean direction. Our results show how low-frequency swell waves propagate across ocean basins from high to low latitudes of both hemispheres, higher-frequency waves that are a product of the local winds, and the variation in the intensity of these signals throughout the year. We believe future wave studies can benefit from this approach, since a concise and yet more complete representation of the wave climate variability can be achieved.</t>
  </si>
  <si>
    <t>[Echevarria, E. R.; Hemer, M. A.] CSIRO Oceans &amp; Atmosphere, Hobart, Tas, Australia; [Echevarria, E. R.; Holbrook, N. J.] Univ Tasmania, Inst Marine &amp; Antarctic Studies, Hobart, Tas, Australia; [Echevarria, E. R.; Holbrook, N. J.] Univ Tasmania, Australian Res Council, Ctr Excellence Climate Extremes, Hobart, Tas, Australia</t>
  </si>
  <si>
    <t>Commonwealth Scientific &amp; Industrial Research Organisation (CSIRO); University of Tasmania; University of Tasmania</t>
  </si>
  <si>
    <t>Echevarria, ER (corresponding author), CSIRO Oceans &amp; Atmosphere, Hobart, Tas, Australia.;Echevarria, ER (corresponding author), Univ Tasmania, Inst Marine &amp; Antarctic Studies, Hobart, Tas, Australia.;Echevarria, ER (corresponding author), Univ Tasmania, Australian Res Council, Ctr Excellence Climate Extremes, Hobart, Tas, Australia.</t>
  </si>
  <si>
    <t>emilio.echevarria@csiro.au</t>
  </si>
  <si>
    <t>Echevarria, Emilio/AFW-5225-2022; Hemer, Mark A/M-1905-2013; Holbrook, Neil/M-7544-2013</t>
  </si>
  <si>
    <t>Echevarria, Emilio/0000-0003-1267-2587; Holbrook, Neil/0000-0002-3523-6254</t>
  </si>
  <si>
    <t>Australian Government Pacific-Australia Climate Change Science and Adaptation Program; UTASCSIRO Quantitative Marine Science Program; Institute for Marine and Antarctic Studies; CSIRO Office of the Chief Executive top-up scholarship; Australian Government National Environmental Science Program Earth Systems and Climate Change (NESP ESCC) Hub; Australian Research Council Centre of Excellence for Climate Extremes [CE170100023]</t>
  </si>
  <si>
    <t>Australian Government Pacific-Australia Climate Change Science and Adaptation Program; UTASCSIRO Quantitative Marine Science Program; Institute for Marine and Antarctic Studies; CSIRO Office of the Chief Executive top-up scholarship; Australian Government National Environmental Science Program Earth Systems and Climate Change (NESP ESCC) Hub; Australian Research Council Centre of Excellence for Climate Extremes(Australian Research Council)</t>
  </si>
  <si>
    <t>The authors wish to thank the two anonymous reviewers for their detailed reviews which helped to significantly improve the quality of this manuscript. The authors acknowledge the availability of the CAWCR wave hindcast, funded through the Australian Government Pacific-Australia Climate Change Science and Adaptation Program. The CAWCR hindcast data are available at http://data-cbr.csiro.au/thredds/catalog/catch_all/CMAR_CAWCR-Wave_archive/CAWCR_Wave_Hindcast_1979-2010/catalog.html and http://data-cbr.csiro.au/thredds/catalog/catch_ all/CMAR_CAWCR-Wave_archive/CAWCR_Wave_Hindcast_Jun_2013_-_Jul_2014/catalog. html. We also acknowledge the U.S. NDBC for availability of directional wave spectra used to validate the spectral performance of the model and the suitability of our method. The NDBC buoy data are available at the website (https://www.ndbc.noaa.gov/).E.E.is supported by funding from the UTASCSIRO Quantitative Marine Science Program, the Institute for Marine and Antarctic Studies, and a CSIRO Office of the Chief Executive top-up scholarship. M. H. is supported by the Australian Government National Environmental Science Program Earth Systems and Climate Change (NESP ESCC) Hub. N. H. acknowledges support from the Australian Research Council Centre of Excellence for Climate Extremes (grant CE170100023).</t>
  </si>
  <si>
    <t>10.1029/2018JC014620</t>
  </si>
  <si>
    <t>WOS:000467950800036</t>
  </si>
  <si>
    <t>Liang, Q; Zhou, CX; Howat, IM; Jeong, S; Liu, RX; Chen, YM</t>
  </si>
  <si>
    <t>Liang, Qi; Zhou, Chunxia; Howat, Ian M.; Jeong, Seongsu; Liu, Ruixi; Chen, Yiming</t>
  </si>
  <si>
    <t>Ice flow variations at Polar Record Glacier, East Antarctica</t>
  </si>
  <si>
    <t>JOURNAL OF GLACIOLOGY</t>
  </si>
  <si>
    <t>glacier flow; ice velocity; melt-surface</t>
  </si>
  <si>
    <t>SURFACE VELOCITY; OUTLET GLACIERS; SHELF; VARIABILITY; MELANGE; DRIVEN; DYNAMICS; RETREAT; IMPACT; MOTION</t>
  </si>
  <si>
    <t>Relatively little is known about the physical mechanisms that drive the dynamics of the East Antarctic outlet glaciers. Here we conduct a remote-sensing investigation of the Polar Record Glacier (PRG), East Antarctica to analyze its ice flow acceleration, ice front variations and ice surface melting. Ice flow speeds at PRG increased by up to 15% from 2005 to 2015, with substantial interannual fluctuations. The ice velocities also showed seasonal variations, accelerating by up to 9% between September and January. Multiple mechanisms contribute to the observed seasonal variations: the initial acceleration may result from the lost back-stress provided by the sea ice in the austral spring and the later speedup relate to the surface meltwater that leads to weakened ice shelf and shear margins. The sensitivity of the PRG to oceanic forcing is confirmed by comparing the secular ice velocity increases with ocean temperatures. These measurements suggest that the dynamics of East Antarctic ice shelves are sensitive to melt at both the surface and base, at a range of timescales.</t>
  </si>
  <si>
    <t>[Liang, Qi; Zhou, Chunxia; Liu, Ruixi; Chen, Yiming] Wuhan Univ, Chinese Antarctic Ctr Surveying &amp; Mapping, Wuhan, Hubei, Peoples R China; [Liang, Qi; Zhou, Chunxia; Liu, Ruixi; Chen, Yiming] Wuhan Univ, Natl Adm Surveying Mapping &amp; Geoinformat, Key Lab Polar Surveying &amp; Mapping, Wuhan, Hubei, Peoples R China; [Liang, Qi; Howat, Ian M.] Ohio State Univ, Sch Earth Sci, Columbus, OH 43210 USA; [Howat, Ian M.; Jeong, Seongsu] Ohio State Univ, Byrd Polar &amp; Climate Res Ctr, Columbus, OH 43210 USA; [Jeong, Seongsu] Univ Calif Irvine, Irvine, CA USA</t>
  </si>
  <si>
    <t>Wuhan University; Wuhan University; University System of Ohio; Ohio State University; University System of Ohio; Ohio State University; University of California System; University of California Irvine</t>
  </si>
  <si>
    <t>Zhou, CX (corresponding author), Wuhan Univ, Chinese Antarctic Ctr Surveying &amp; Mapping, Wuhan, Hubei, Peoples R China.;Zhou, CX (corresponding author), Wuhan Univ, Natl Adm Surveying Mapping &amp; Geoinformat, Key Lab Polar Surveying &amp; Mapping, Wuhan, Hubei, Peoples R China.</t>
  </si>
  <si>
    <t>zhoucx@whu.edu.cn</t>
  </si>
  <si>
    <t>Liang, Qi/AAI-4973-2020; Howat, Ian/A-3474-2008</t>
  </si>
  <si>
    <t>Howat, Ian/0000-0002-8072-6260; Chen, Yiming/0000-0002-6886-1179; Jeong, Seongsu/0000-0002-6844-5925; Liang, Qi/0000-0002-6766-9361</t>
  </si>
  <si>
    <t>National Natural Science Foundation of China (NSFC) [41776200, 41531069, 41376187]; Fundamental Research Funds for the Central Universities [2042015kf0189]; China Scholarship Council [201506270085]</t>
  </si>
  <si>
    <t>National Natural Science Foundation of China (NSFC)(National Natural Science Foundation of China (NSFC)); Fundamental Research Funds for the Central Universities(Fundamental Research Funds for the Central Universities); China Scholarship Council(China Scholarship Council)</t>
  </si>
  <si>
    <t>This research was funded by the National Natural Science Foundation of China (NSFC) (41776200, 41531069 and 41376187), the Fundamental Research Funds for the Central Universities (2042015kf0189) and the China Scholarship Council (201506270085).</t>
  </si>
  <si>
    <t>0022-1430</t>
  </si>
  <si>
    <t>1727-5652</t>
  </si>
  <si>
    <t>J GLACIOL</t>
  </si>
  <si>
    <t>J. Glaciol.</t>
  </si>
  <si>
    <t>10.1017/jog.2019.6</t>
  </si>
  <si>
    <t>HY8DX</t>
  </si>
  <si>
    <t>WOS:000468368700010</t>
  </si>
  <si>
    <t>Rix, J; Mulvaney, R; Hong, JL; Ashurst, D</t>
  </si>
  <si>
    <t>Rix, Julius; Mulvaney, Robert; Hong, Jialin; Ashurst, Dan</t>
  </si>
  <si>
    <t>Development of the British Antarctic Survey Rapid Access Isotope Drill</t>
  </si>
  <si>
    <t>glaciological instruments and methods; ice chronology/dating; ice coring</t>
  </si>
  <si>
    <t>ICE SHEETS</t>
  </si>
  <si>
    <t>The British Antarctic Survey Rapid Access Isotope Drill is an innovative new class of electromechanical ice drill, which has recently been used to drill the deepest dry hole drilled by an electromechanical auger drill. The record-breaking depth of 461.58 m was drilled in just over 104 hours at Little Dome C. The drill collects ice chippings, for water stable isotope analysis, rather than an ice core. By not collecting a core the winch can be geared for speed rather than core breaking and is lightweight. Furthermore, emptying of the chippings is performed by simply reversing the drill motor on the surface reducing the overall drilling time significantly. The borehole is then available for instrumentation. We describe the drill in its current state including modifications carried out since it was last deployed. Test seasons and the lessons learned from each are outlined. Finally, future developments for this class of drill are discussed.</t>
  </si>
  <si>
    <t>[Rix, Julius; Mulvaney, Robert; Ashurst, Dan] British Antarctic Survey, Cambridge, England; [Hong, Jialin] Jilin Univ, Polar Res Ctr, Changchun, Jilin, Peoples R China</t>
  </si>
  <si>
    <t>UK Research &amp; Innovation (UKRI); Natural Environment Research Council (NERC); NERC British Antarctic Survey; Jilin University</t>
  </si>
  <si>
    <t>Rix, J (corresponding author), British Antarctic Survey, Cambridge, England.</t>
  </si>
  <si>
    <t>jrix@bas.ac.uk</t>
  </si>
  <si>
    <t>Mulvaney, Robert/K-3929-2012</t>
  </si>
  <si>
    <t>Mulvaney, Robert/0000-0002-5372-8148; Rix, Julius/0000-0002-8048-9445; Hong, Jialin/0000-0002-9664-6361</t>
  </si>
  <si>
    <t>NERC [bas0100034, bas0100024, bas010011] Funding Source: UKRI</t>
  </si>
  <si>
    <t>NERC(UK Research &amp; Innovation (UKRI)Natural Environment Research Council (NERC))</t>
  </si>
  <si>
    <t>10.1017/jog.2019.9</t>
  </si>
  <si>
    <t>Green Accepted, gold</t>
  </si>
  <si>
    <t>WOS:000468368700011</t>
  </si>
  <si>
    <t>Macdonald, GJ; Banwell, AF; Willis, IC; Mayer, DP; Goodsell, B; MacAyeal, DR</t>
  </si>
  <si>
    <t>Macdonald, Grant J.; Banwell, Alison F.; Willis, Ian C.; Mayer, David P.; Goodsell, Becky; MacAyeal, Douglas R.</t>
  </si>
  <si>
    <t>Formation of pedestalled, relict lakes on the McMurdo Ice Shelf, Antarctica</t>
  </si>
  <si>
    <t>Glacier hydrology; Ice shelves; Supraglacial debris</t>
  </si>
  <si>
    <t>SUPRAGLACIAL LAKES; SEASONAL EVOLUTION; TIDAL FLEXURE; SURFACE MELT; SHEET; MELTWATER</t>
  </si>
  <si>
    <t>Surface debris covers much of the western portion of the McMurdo Ice Shelf and has a strong influence on the local surface albedo and energy balance. Differential ablation between debris-covered and debris-free areas creates an unusual heterogeneous surface of topographically low, high-ablation, and topographically raised ('pedestalled'), low-ablation areas. Analysis of Landsat and MODIS satellite imagery from 1999 to 2018, alongside field observations from the 2016/2017 austral summer, shows that pedestalled relict lakes ('pedestals') form when an active surface meltwater lake that develops in the summer, freezes-over in winter, resulting in the lake-bottom debris being masked by a high-albedo, superimposed, ice surface. If this ice surface fails to melt during a subsequent melt season, it experiences reduced surface ablation relative to the surrounding debris-covered areas of the ice shelf. We propose that this differential ablation, and resultant hydrostatic and flexural readjustments of the ice shelf, causes the former supraglacial lake surface to become increasingly pedestalled above the lower topography of the surrounding ice shelf. Consequently, meltwater streams cannot flow onto these pedestalled features, and instead divert around them. We suggest that the development of pedestals has a significant influence on the surface-energy balance, hydrology and flexure of the ice shelf.</t>
  </si>
  <si>
    <t>[Macdonald, Grant J.; Goodsell, Becky; MacAyeal, Douglas R.] Univ Chicago, Dept Geophys Sci, 5734 S Ellis Ave, Chicago, IL 60637 USA; [Banwell, Alison F.; Willis, Ian C.] Univ Colorado, Cooperat Inst Res Environm Sci, Boulder, CO 80309 USA; [Banwell, Alison F.; Willis, Ian C.] Univ Cambridge, Scott Polar Res Inst, Cambridge, England; [Mayer, David P.] US Geol Survey, Astrogeol Sci Ctr, Flagstaff, AZ 86001 USA</t>
  </si>
  <si>
    <t>University of Chicago; University of Colorado System; University of Colorado Boulder; University of Cambridge; United States Department of the Interior; United States Geological Survey</t>
  </si>
  <si>
    <t>Macdonald, GJ (corresponding author), Univ Chicago, Dept Geophys Sci, 5734 S Ellis Ave, Chicago, IL 60637 USA.</t>
  </si>
  <si>
    <t>gjmacdonald@uchicago.edu</t>
  </si>
  <si>
    <t>Mayer, David/JVN-0476-2024; Banwell, Alison/W-8180-2018</t>
  </si>
  <si>
    <t>Mayer, David/0000-0001-8351-1807; Banwell, Alison/0000-0001-9545-829X; Macdonald, Grant/0000-0002-9295-085X; Willis, Ian/0000-0002-0750-7088; MacAyeal, Douglas/0000-0003-0647-6176</t>
  </si>
  <si>
    <t>U.S. National Science Foundation [PLR-1443126]; NASA Earth and Space Science Fellowship [NNX15AN44H]; Leverhulme/Newton Trust Early Career Fellowship; Cooperative Institute for Research in Environmental Sciences (CIRES) Postdoctoral Visiting Fellowship; CIRES Sabbatical Fellowship; NASA [NNX15AN44H, 800309] Funding Source: Federal RePORTER</t>
  </si>
  <si>
    <t>U.S. National Science Foundation(National Science Foundation (NSF)); NASA Earth and Space Science Fellowship; Leverhulme/Newton Trust Early Career Fellowship; Cooperative Institute for Research in Environmental Sciences (CIRES) Postdoctoral Visiting Fellowship; CIRES Sabbatical Fellowship; NASA(National Aeronautics &amp; Space Administration (NASA))</t>
  </si>
  <si>
    <t>This work was supported by U.S. National Science Foundation grant PLR-1443126. Additionally, GJM acknowledges support from a NASA Earth and Space Science Fellowship (NNX15AN44H), AFB acknowledges support from a Leverhulme/Newton Trust Early Career Fellowship and a Cooperative Institute for Research in Environmental Sciences (CIRES) Postdoctoral Visiting Fellowship and ICW acknowledges support from a CIRES Sabbatical Fellowship. We are very grateful to the staff of the U.S. Antarctic Program and McMurdo Station that made our successful field campaign possible. We are grateful to UNAVCO, particularly Brendan Hodge, who supplied and helped us with the roving GPS, and to the Polar Geospatial Center for support, particularly Mike Cloutier. We thank Emily Hansen for support in applying the supervised classification of imagery. Finally, we thank the Editor, Carleen TijmReijmer and two anonymous reviewers whose helpful comments enabled us to considerably improve the paper.</t>
  </si>
  <si>
    <t>10.1017/jog.2019.17</t>
  </si>
  <si>
    <t>WOS:000468368700015</t>
  </si>
  <si>
    <t>Samaran, F; Berne, A; Leroy, EC; Moreira, S; Stafford, KM; Maia, M; Royer, JY</t>
  </si>
  <si>
    <t>Samaran, Flore; Berne, Adrien; Leroy, Emmanuelle C.; Moreira, Sergio; Stafford, Kathleen M.; Maia, Marcia; Royer, Jean-Yves</t>
  </si>
  <si>
    <t>Antarctic blue whales (Balaenoptera musculus intermedia) recorded at the Equator in the Atlantic Ocean</t>
  </si>
  <si>
    <t>MARINE MAMMAL SCIENCE</t>
  </si>
  <si>
    <t>ACOUSTIC PRESENCE; CALLS</t>
  </si>
  <si>
    <t>[Samaran, Flore; Berne, Adrien] ENSTA Bretagne, UMR CNRS 6285 Lab STICC, F-29806 Brest 9, France; [Leroy, Emmanuelle C.; Maia, Marcia; Royer, Jean-Yves] Univ Brest, CNRS, Lab Geosci Ocean, IUEM, F-29280 Plouzane, France; [Moreira, Sergio] Univ Fed Rio de Janeiro, Dept Vertebrates, Natl Museum, BR-2194190 Rio De Janeiro, Brazil; [Stafford, Kathleen M.] Univ Washington, Appl Phys Lab, Seattle, WA 98105 USA</t>
  </si>
  <si>
    <t>Centre National de la Recherche Scientifique (CNRS); ENSTA Bretagne; Universite de Bretagne Occidentale; Institut Universitaire Europeen de la Mer (IUEM); Centre National de la Recherche Scientifique (CNRS); Universidade Federal do Rio de Janeiro; University of Washington; University of Washington Seattle</t>
  </si>
  <si>
    <t>Samaran, F (corresponding author), ENSTA Bretagne, UMR CNRS 6285 Lab STICC, F-29806 Brest 9, France.</t>
  </si>
  <si>
    <t>flore.samaran@ensta-bretagne.fr</t>
  </si>
  <si>
    <t>Maia, Marcia/A-7076-2010; Royer, Jean-Yves/B-4312-2010; Leroy, Emmanuelle/Q-9995-2019</t>
  </si>
  <si>
    <t>Royer, Jean-Yves/0000-0002-7653-7715; Leroy, Emmanuelle/0000-0002-6469-1758; Stafford, Kathleen Mary/0000-0003-0039-5025</t>
  </si>
  <si>
    <t>French Ministry of Research; Brazilian Navy; SECIRM, Brazilian Navy</t>
  </si>
  <si>
    <t>French Ministry of Research(Ministry of Research, France); Brazilian Navy; SECIRM, Brazilian Navy</t>
  </si>
  <si>
    <t>The authors wish to thank the captains and crews of R/V L'Atalante and NPAOC Araguari for the deployment and recovery, respectively, of the COLMEIA-HYDRO hydrophones. These expeditions were funded by the French Ministry of Research and the Brazilian Navy, with additional support for the hydroacoustic experiment from CNRS-INSU, the Labex Mer, and the Regional Council of Brittany. We are grateful to SECIRM, Brazilian Navy, for their help and support to this project.</t>
  </si>
  <si>
    <t>0824-0469</t>
  </si>
  <si>
    <t>1748-7692</t>
  </si>
  <si>
    <t>MAR MAMMAL SCI</t>
  </si>
  <si>
    <t>Mar. Mamm. Sci.</t>
  </si>
  <si>
    <t>10.1111/mms.12559</t>
  </si>
  <si>
    <t>HY3QE</t>
  </si>
  <si>
    <t>WOS:000468040700013</t>
  </si>
  <si>
    <t>Shaughnessy, PD; Southwell, C</t>
  </si>
  <si>
    <t>Shaughnessy, Peter D.; Southwell, Colin</t>
  </si>
  <si>
    <t>Are crabeater seals, Lobodon carcinophaga, sexually dimorphic for size during the breeding season?</t>
  </si>
  <si>
    <t>PACK-ICE SEALS; ABUNDANCE; LAND</t>
  </si>
  <si>
    <t>[Shaughnessy, Peter D.] South Australian Museum, North Terrace, Adelaide, SA 5000, Australia; [Southwell, Colin] Australian Antarctic Div, Channel Highway, Kingston, Tas 7050, Australia; [Shaughnessy, Peter D.] CSIRO Sustainable Ecosyst, Canberra, ACT, Australia</t>
  </si>
  <si>
    <t>South Australian Museum; Australian Antarctic Division; Commonwealth Scientific &amp; Industrial Research Organisation (CSIRO)</t>
  </si>
  <si>
    <t>Shaughnessy, PD (corresponding author), South Australian Museum, North Terrace, Adelaide, SA 5000, Australia.;Shaughnessy, PD (corresponding author), CSIRO Sustainable Ecosyst, Canberra, ACT, Australia.</t>
  </si>
  <si>
    <t>peter.shaughnessy@samuseum.sa.gov.au</t>
  </si>
  <si>
    <t>Shaughnessy, Peter/AAG-6689-2021</t>
  </si>
  <si>
    <t>AAS projects [69, 775]</t>
  </si>
  <si>
    <t>AAS projects</t>
  </si>
  <si>
    <t>We thank the Director, Australian Antarctic Division and K. Kerry for providing logistic support, and the many expeditioners who assisted in the field. We also thank the editor, two anonymous reviewers and Tom Gelatt for helpful comments on drafts of the manuscript. This work was carried out under AAS projects 69 and 775, undertaken under permits of the Commonwealth of Australia Antarctic Seals Conservation Regulations, and was approved by the Animal Ethics Committee of CSIRO Sustainable Ecosystems and the (Australian) Antarctic Animals Ethics Committee.</t>
  </si>
  <si>
    <t>10.1111/mms.12549</t>
  </si>
  <si>
    <t>WOS:000468040700016</t>
  </si>
  <si>
    <t>Mironov, EU; Klyachkin, SV; Yulin, AV</t>
  </si>
  <si>
    <t>Mironov, E. U.; Klyachkin, S. V.; Yulin, A. V.</t>
  </si>
  <si>
    <t>New Methods and Technologies of Ice Forecasts for the Arctic Seas</t>
  </si>
  <si>
    <t>RUSSIAN METEOROLOGY AND HYDROLOGY</t>
  </si>
  <si>
    <t>Ice forecast methods; numerical modeling; Arctic seas</t>
  </si>
  <si>
    <t>Methodological approaches in the area of long- and short-range ice forecasts are discussed. Three basic modern directions of long-term ice forecast development are shown. New methods of long-range ice forecasts developed in the recent decade are presented. The ways of improving the AARI short-range ice forecast method based on the coupled ice-ocean dynamic-thermodynamic model are considered. It is shown that the numerical modeling as a specific branch of ice forecasting requires permanent development. The automation of ice forecasts can be implemented as an automated workplace or as a hardware-software complex.</t>
  </si>
  <si>
    <t>[Mironov, E. U.; Klyachkin, S. V.; Yulin, A. V.] Arctic &amp; Antarctic Res Inst, Ul Beringa 38, St Petersburg 199397, Russia</t>
  </si>
  <si>
    <t>Arctic &amp; Antarctic Research Institute</t>
  </si>
  <si>
    <t>Mironov, EU (corresponding author), Arctic &amp; Antarctic Res Inst, Ul Beringa 38, St Petersburg 199397, Russia.</t>
  </si>
  <si>
    <t>mir@aari.ru</t>
  </si>
  <si>
    <t>Aleksandr, Yulin/Z-5911-2019; Mironov, Yevgeny Uarovich/ADV-4713-2022</t>
  </si>
  <si>
    <t>Mironov, Yevgeny Uarovich/0000-0001-8390-8011</t>
  </si>
  <si>
    <t>PLEIADES PUBLISHING INC</t>
  </si>
  <si>
    <t>MOSCOW</t>
  </si>
  <si>
    <t>PLEIADES PUBLISHING INC, MOSCOW, 00000, RUSSIA</t>
  </si>
  <si>
    <t>1068-3739</t>
  </si>
  <si>
    <t>1934-8096</t>
  </si>
  <si>
    <t>RUSS METEOROL HYDRO+</t>
  </si>
  <si>
    <t>Russ. Meteorol. Hydrol.</t>
  </si>
  <si>
    <t>10.3103/S1068373919040022</t>
  </si>
  <si>
    <t>HX1PX</t>
  </si>
  <si>
    <t>WOS:000467166700002</t>
  </si>
  <si>
    <t>Ivanov, VV; Timokhov, LA</t>
  </si>
  <si>
    <t>Ivanov, V. V.; Timokhov, L. A.</t>
  </si>
  <si>
    <t>Atlantic Water in the Arctic Circulation Transpolar System</t>
  </si>
  <si>
    <t>Atlantic water; Arctic Ocean; Arctic Transpolar System</t>
  </si>
  <si>
    <t>OSCILLATION</t>
  </si>
  <si>
    <t>The water of Atlantic origin (Atlantic water) is of special importance for the formation of the hydrological regime of the Arctic Ocean and provides a building material for the main water masses in the surface and intermediate layers. Atlantic water are structurally included to the Arctic Transpolar System (ATS); it is a multicomponent physical object whose state defines the role of the Arctic Ocean in the planetary climate. The recent advances in the Atlantic water research are discussed, in particular, the role of Atlantic water in the Arctic sea ice reduction. Particular attention is paid to the possible activation of feedbacks in ATS that may result in an accelerated Arctic sea ice loss recorded after 2007.</t>
  </si>
  <si>
    <t>[Ivanov, V. V.] Lomonosov Moscow State Univ, GSP-1, Moscow 119991, Russia; [Ivanov, V. V.; Timokhov, L. A.] Arctic &amp; Antarctic Res Inst, Ul Beringa 38, St Petersburg 199397, Russia</t>
  </si>
  <si>
    <t>Lomonosov Moscow State University; Arctic &amp; Antarctic Research Institute</t>
  </si>
  <si>
    <t>Ivanov, VV (corresponding author), Lomonosov Moscow State Univ, GSP-1, Moscow 119991, Russia.;Ivanov, VV (corresponding author), Arctic &amp; Antarctic Res Inst, Ul Beringa 38, St Petersburg 199397, Russia.</t>
  </si>
  <si>
    <t>vladimir.ivanov@aari.ru</t>
  </si>
  <si>
    <t>Ivanov, Vladimir/J-5979-2014</t>
  </si>
  <si>
    <t>Ivanov, Vladimir/0000-0003-2569-6027</t>
  </si>
  <si>
    <t>Ministry of Education and Science of the Russian Federation [RFMEFI61617X0076]</t>
  </si>
  <si>
    <t>Ministry of Education and Science of the Russian Federation(Ministry of Education and Science, Russian Federation)</t>
  </si>
  <si>
    <t>The paper was supported by the Ministry of Education and Science of the Russian Federation (the unique identifier of the project is RFMEFI61617X0076).</t>
  </si>
  <si>
    <t>10.3103/S1068373919040034</t>
  </si>
  <si>
    <t>WOS:000467166700003</t>
  </si>
  <si>
    <t>Smirnov, VG; Bychkova, IA; Mikhal'tseva, SV; Platonova, EV</t>
  </si>
  <si>
    <t>Smirnov, V. G.; Bychkova, I. A.; Mikhal'tseva, S. V.; Platonova, E. V.</t>
  </si>
  <si>
    <t>Satellite Monitoring of Icebergs in the Arctic Seas</t>
  </si>
  <si>
    <t>Iceberg; Barents Sea; Kara Sea; satellite monitoring; optical spectralrange; synthetic aperture radar; high-resolution imagery</t>
  </si>
  <si>
    <t>The study present the results of the satellite monitoring of Arctic icebergs formed from the outlet glaciers of the Severnaya Zemlya, Novaya Zemlya, and Franz Josef Land archipelagos during the autumn-winter and spring periods. The algorithms for iceberg detection in satellite images under different meteorological and ice conditions are described.</t>
  </si>
  <si>
    <t>[Smirnov, V. G.; Bychkova, I. A.; Mikhal'tseva, S. V.; Platonova, E. V.] Arctic &amp; Antarctic Res Inst, Ul Beringa 38, St Petersburg 199397, Russia</t>
  </si>
  <si>
    <t>Smirnov, VG (corresponding author), Arctic &amp; Antarctic Res Inst, Ul Beringa 38, St Petersburg 199397, Russia.</t>
  </si>
  <si>
    <t>aaricoop@aari.ru</t>
  </si>
  <si>
    <t>Russian Science Foundation [17-77-30019]; Russian Foundation for Basic Research [18-05-60124]</t>
  </si>
  <si>
    <t>Russian Science Foundation(Russian Science Foundation (RSF)); Russian Foundation for Basic Research(Russian Foundation for Basic Research (RFBR)Spanish Government)</t>
  </si>
  <si>
    <t>The research was carried out at the Russian State Ilydrometeorological University and was supported by the Russian Science Foundation (grant 17-77-30019) and Russian Foundation for Basic Research (Investigating Icebergs in the Ice Cover, grant 18-05-60124).</t>
  </si>
  <si>
    <t>10.3103/S1068373919040058</t>
  </si>
  <si>
    <t>WOS:000467166700005</t>
  </si>
  <si>
    <t>Ivakhov, VM; Paramonova, NN; Privalov, VI; Zinchenko, AV; Loskutova, MA; Makshtas, AP; Kustov, VY; Laurila, T; Aurela, M; Asmi, E</t>
  </si>
  <si>
    <t>Ivakhov, V. M.; Paramonova, N. N.; Privalov, V. I.; Zinchenko, A. V.; Loskutova, M. A.; Makshtas, A. P.; Kustov, V. Y.; Laurila, T.; Aurela, M.; Asmi, E.</t>
  </si>
  <si>
    <t>Atmospheric Concentration of Carbon Dioxide at Tiksi and Cape Baranov Stations in 2010-2017</t>
  </si>
  <si>
    <t>Greenhouse gases; carbon dioxide; concentration; observations; Arctic; Tiksi; Cape Baranov Ice Base</t>
  </si>
  <si>
    <t>The study presents the results of continuous measurements of carbon dioxide concentration in the atmospheric surface layer at Tiksi and Cape Baranov Arctic stations over the period of August 2010-May 2017 and over the whole 2016, respectively. The amplitude of diurnal variations in the CO2 concentration in Tiksi from June to September is 1.1 +/- 1.3, 2.4 +/- 2.0, 4.1 +/- 2.3, and 2.0 +/- 2.4 ppm. Diurnal variations in CO2 at Cape Baranov station are absent. The observed seasonal variations in the CO2 concentration are compared with the data of the MBL empirical model for the marine atmospheric boundary layer of the Arctic region. In 2016, the difference between the observed and model concentrations at Tiksi and Cape Baranov stations amounted to 1.7 and 0.5 ppm, respectively, in winter and -3.0 and -1.9 ppm, respectively, in summer. It is shown that wildfires in Siberia caused a long synchronous increase in the CO2 concentration by 20 ppm in Tiksi and by 15 ppm at Cape Baranov station.</t>
  </si>
  <si>
    <t>[Ivakhov, V. M.; Paramonova, N. N.; Privalov, V. I.; Zinchenko, A. V.] Voeikov Main Geophys Observ, Ul Karbysheva 7, St Petersburg 194021, Russia; [Loskutova, M. A.; Makshtas, A. P.; Kustov, V. Y.] Arctic &amp; Antarctic Res Inst, Ul Beringa 38, St Petersburg 199397, Russia; [Laurila, T.; Aurela, M.; Asmi, E.] Finnish Meteorol Inst, Erik Palmenin Aukio 1, Helsinki 00560, Finland</t>
  </si>
  <si>
    <t>Arctic &amp; Antarctic Research Institute; Finnish Meteorological Institute</t>
  </si>
  <si>
    <t>Ivakhov, VM (corresponding author), Voeikov Main Geophys Observ, Ul Karbysheva 7, St Petersburg 194021, Russia.</t>
  </si>
  <si>
    <t>ivakhooo@mail.ru</t>
  </si>
  <si>
    <t>Ivakhov, Viktor M/B-4333-2018; Aurela, Mika/L-4724-2014; Paramonova, Nina/ABE-1791-2020</t>
  </si>
  <si>
    <t>Ivakhov, Viktor M/0000-0003-4572-4734; Aurela, Mika/0000-0002-4046-7225; Asmi, Eija/0000-0002-9226-2360</t>
  </si>
  <si>
    <t>Ministry of Education and Science of the Russian Federation [RFMEFI6161X0076]; Academy of Finland [269095, 296888, 296302]; European Commission; Academy of Finland (AKA) [296888, 269095, 296302] Funding Source: Academy of Finland (AKA)</t>
  </si>
  <si>
    <t>Ministry of Education and Science of the Russian Federation(Ministry of Education and Science, Russian Federation); Academy of Finland(Research Council of Finland); European Commission(European Union (EU)European Commission Joint Research Centre); Academy of Finland (AKA)(Research Council of Finland)</t>
  </si>
  <si>
    <t>The analysis of data was supported by the Ministry of Education and Science of the Russian Federation (project RFMEFI6161X0076), the Academy of Finland (Greenhouse Gas, Aerosol and Albedo Variations in the Changing Arctic (project 269095), Carbon Dynamics across Arctic Landscape Gradients: Past, Present and Future (project 296888), and Novel Assessment of Black Carbon in the Eurasian Arctic: From Historical Concentrations and Sources to Future Climate Impacts (NABCEA) (project 296302)), and the European Commission (Changing Permafrost in the Arctic and Its Global Effects in the 21st Century (PAGE21)).</t>
  </si>
  <si>
    <t>10.3103/S1068373919040095</t>
  </si>
  <si>
    <t>WOS:000467166700009</t>
  </si>
  <si>
    <t>Danilov, AI; Mel'kov, SA; Solov'eva, NV; Mikryukov, VO; Lyabakh, AY</t>
  </si>
  <si>
    <t>Danilov, A. I.; Mel'kov, S. A.; Solov'eva, N. V.; Mikryukov, V. O.; Lyabakh, A. Yu.</t>
  </si>
  <si>
    <t>Experience of Interaction between the EMERCOM of Russia and Roshydromet to Provide the Safety of Population and Territories in the Russian Arctic</t>
  </si>
  <si>
    <t>The Russian Arctic; Arctic complex emergency-rescue centers; hydrometeorological security; EMERCOM of Russia; security provision; Roshydromet; technogenic safety</t>
  </si>
  <si>
    <t>The study considers the experience of interaction between Roshydromet and EMERCOM of Russia in the Russian Arctic and its development under conditions of extending economic activity and climate change. The aim is to increase the readiness to respond to emergencies in the Arctic region. Concrete measures are proposed to use the available experience for organizing the network of Arctic complex emergency-rescue centers.</t>
  </si>
  <si>
    <t>[Danilov, A. I.] Arctic &amp; Antarctic Res Inst, Ul Beringa 38, St Petersburg 199397, Russia; [Mel'kov, S. A.; Solov'eva, N. V.; Lyabakh, A. Yu.] EMERCOM Russia, Civil Def Acad, Chimki 141435, Moscow Oblast, Russia; [Solov'eva, N. V.] Fed Serv Hydrometeorol &amp; Environm Monitoring, Novovagan Kovskii Per 8, Moscow 123995, Russia; [Solov'eva, N. V.] High Mt Geophys Inst, Pr Lenina 2, Nalchik 360030, Russia; [Mikryukov, V. O.] Elect Off Syst, Ul Shumkina 20 Str 1, Moscow 107113, Russia</t>
  </si>
  <si>
    <t>Danilov, AI (corresponding author), Arctic &amp; Antarctic Res Inst, Ul Beringa 38, St Petersburg 199397, Russia.</t>
  </si>
  <si>
    <t>aid@aari.ru</t>
  </si>
  <si>
    <t>10.3103/S1068373919040101</t>
  </si>
  <si>
    <t>WOS:000467166700010</t>
  </si>
  <si>
    <t>Di Minin, E; Brooks, TM; Toivonen, T; Butchart, SHM; Heikinheimo, V; Watson, JEM; Burgess, ND; Challender, DWS; Goettsch, B; Jenkins, R; Moilanen, A</t>
  </si>
  <si>
    <t>Di Minin, Enrico; Brooks, Thomas M.; Toivonen, Tuuli; Butchart, Stuart H. M.; Heikinheimo, Vuokko; Watson, James E. M.; Burgess, Neil D.; Challender, Daniel W. S.; Goettsch, Barbara; Jenkins, Richard; Moilanen, Atte</t>
  </si>
  <si>
    <t>Identifying global centers of unsustainable commercial harvesting of species</t>
  </si>
  <si>
    <t>PROTECTED AREA EXPANSION; BIODIVERSITY CONSERVATION; LAND-USE; IMPACT; PRIORITIES</t>
  </si>
  <si>
    <t>Overexploitation is one of the main threats to biodiversity, but the intensity of this threat varies geographically. We identified global concentrations, on land and at sea, of 4543 species threatened by unsustainable commercial harvesting. Regions under high-intensity threat (based on accessibility on land and on fishing catch at sea) cover 4.3% of the land and 6.1% of the seas and contain 82% of all species threatened by unsustainable harvesting and &gt; 80% of the ranges of Critically Endangered species threatened by unsustainable harvesting. Currently, only 16% of these regions are covered by protected areas on land and just 6% at sea. Urgent actions are needed in these centers of unsustainable harvesting to ensure that use of species is sustainable and to prevent further species' extinctions.</t>
  </si>
  <si>
    <t>[Di Minin, Enrico; Toivonen, Tuuli; Heikinheimo, Vuokko; Moilanen, Atte] Univ Helsinki, Dept Geosci &amp; Geog, FI-00014 Helsinki, Finland; [Di Minin, Enrico; Toivonen, Tuuli; Heikinheimo, Vuokko] Univ Helsinki, Helsinki Inst Sustainabil Sci, FI-00014 Helsinki, Finland; [Di Minin, Enrico] Univ KwaZulu Natal, Sch Life Sci, ZA-4041 Durban, South Africa; [Brooks, Thomas M.] IUCN, 28 Rue Mauverney, CH-1196 Gland, Switzerland; [Brooks, Thomas M.] Univ Philippines Los Banos, World Agroforestry Ctr ICRAF, Laguna 4031, Philippines; [Brooks, Thomas M.] Univ Tasmania, Inst Marine &amp; Antarctic Studies, Hobart, Tas 7001, Australia; [Butchart, Stuart H. M.] BirdLife Int, David Attenborough Bldg,Pembroke St, Cambridge CB2 3QZ, England; [Butchart, Stuart H. M.] Univ Cambridge, Dept Zool, Downing St, Cambridge CB2 3EJ, England; [Watson, James E. M.] Wildlife Conservat Soc, New York, NY USA; [Watson, James E. M.] Univ Queensland, Sch Earth &amp; Environm Sci, Brisbane, Qld, Australia; [Burgess, Neil D.] UN Environm World Conservat Monitoring Ctr UNEP W, 219 Huntingdon Rd, Cambridge, England; [Burgess, Neil D.] Nat Hist Museum, CMEC, Univ Pk 15, DK-2100 Copenhagen, Denmark; [Challender, Daniel W. S.] Univ Oxford, Dept Zool, 11a Mansfield Rd, Oxford OX1 3SZ, England; [Challender, Daniel W. S.] Univ Oxford, Oxford Martin Sch, 11a Mansfield Rd, Oxford OX1 3SZ, England; [Goettsch, Barbara; Jenkins, Richard] IUCN, Global Species Programme, Cambridge, England; [Moilanen, Atte] Univ Helsinki, Finnish Museum Nat Hist, POB 17, FI-00014 Helsinki, Finland</t>
  </si>
  <si>
    <t>University of Helsinki; University of Helsinki; University of Kwazulu Natal; CGIAR; World Agroforestry (ICRAF); University of the Philippines System; University of the Philippines Los Banos; University of Tasmania; BirdLife International; University of Cambridge; Wildlife Conservation Society; University of Queensland; University of Oxford; University of Oxford; University of Helsinki</t>
  </si>
  <si>
    <t>Di Minin, E (corresponding author), Univ Helsinki, Dept Geosci &amp; Geog, FI-00014 Helsinki, Finland.;Di Minin, E (corresponding author), Univ Helsinki, Helsinki Inst Sustainabil Sci, FI-00014 Helsinki, Finland.;Di Minin, E (corresponding author), Univ KwaZulu Natal, Sch Life Sci, ZA-4041 Durban, South Africa.</t>
  </si>
  <si>
    <t>enrico.di.minin@helsinki.fi</t>
  </si>
  <si>
    <t>Butchart, Stuart/AAJ-1852-2021; Moilanen, Atte/A-5005-2011; Watson, James Edward Maxwell/D-8779-2013; Di Minin, Enrico/J-6904-2013</t>
  </si>
  <si>
    <t>Butchart, Stuart/0000-0002-1140-4049; Watson, James Edward Maxwell/0000-0003-4942-1984; Di Minin, Enrico/0000-0002-5562-318X; Brooks, Thomas/0000-0001-8159-3116; Toivonen, Tuuli/0000-0002-6625-4922; Challender, Dan/0000-0002-0606-1715; Heikinheimo, Vuokko/0000-0001-5119-0957</t>
  </si>
  <si>
    <t>Academy of Finland 2016-2019 [296524]; Kone Foundation; CSC-IT Center for Science Ltd.</t>
  </si>
  <si>
    <t>Academy of Finland 2016-2019(Research Council of Finland); Kone Foundation; CSC-IT Center for Science Ltd.</t>
  </si>
  <si>
    <t>E.D.M. thanks the Academy of Finland 2016-2019 (grant no. 296524) for support. V.H. thanks the Kone Foundation for grant to T.T.A.M. thanks the Finnish Ministry of Environment. We would also like to thank the CSC-IT Center for Science Ltd. for its support and high-performance computing services.</t>
  </si>
  <si>
    <t>eaau2879</t>
  </si>
  <si>
    <t>10.1126/sciadv.aau2879</t>
  </si>
  <si>
    <t>HW0UY</t>
  </si>
  <si>
    <t>WOS:000466398400008</t>
  </si>
  <si>
    <t>Willeit, M; Ganopolski, A; Calov, R; Brovkin, V</t>
  </si>
  <si>
    <t>Willeit, M.; Ganopolski, A.; Calov, R.; Brovkin, V.</t>
  </si>
  <si>
    <t>Mid-Pleistocene transition in glacial cycles explained by declining CO2 and regolith removal</t>
  </si>
  <si>
    <t>MIDDLE PLEISTOCENE TRANSITION; ANTARCTIC ICE-SHEET; SEA-LEVEL; TRANSIENT NATURE; CARBON-DIOXIDE; SYSTEM MODEL; CLIMATE; EVOLUTION; TEMPERATURE; VOLUME</t>
  </si>
  <si>
    <t>Variations in Earth's orbit pace the glacial-interglacial cycles of the Quaternary, but the mechanisms that transform regional and seasonal variations in solar insolation into glacial-interglacial cycles are still elusive. Here, we present transient simulations of coevolution of climate, ice sheets, and carbon cycle over the past 3 million years. We show that a gradual lowering of atmospheric CO2 and regolith removal are essential to reproduce the evolution of climate variability over the Quaternary. The long-term CO2 decrease leads to the initiation of Northern Hemisphere glaciation and an increase in the amplitude of glacial-interglacial variations, while the combined effect of CO2 decline and regolith removal controls the timing of the transition from a 41,000-to 100,000-year world. Our results suggest that the current CO2 concentration is unprecedented over the past 3 million years and that global temperature never exceeded the preindustrial value by more than 2 degrees C during the Quaternary.</t>
  </si>
  <si>
    <t>[Willeit, M.; Ganopolski, A.; Calov, R.] Potsdam Inst Climate Impact Res, Potsdam, Germany; [Brovkin, V.] Max Planck Inst Meteorol, Hamburg, Germany</t>
  </si>
  <si>
    <t>Potsdam Institut fur Klimafolgenforschung; Max Planck Society</t>
  </si>
  <si>
    <t>Willeit, M (corresponding author), Potsdam Inst Climate Impact Res, Potsdam, Germany.</t>
  </si>
  <si>
    <t>willeit@pik-potsdam.de</t>
  </si>
  <si>
    <t>Brovkin, Victor/C-2803-2016; Willeit, Matteo/GWQ-9457-2022</t>
  </si>
  <si>
    <t>Brovkin, Victor/0000-0001-6420-3198; Willeit, Matteo/0000-0003-3998-6404; Ganopolski, Andrey/0000-0002-3199-5624</t>
  </si>
  <si>
    <t>German Science Foundation (DFG) [GA 1202/2-1]; BMBF-funded project PalMod</t>
  </si>
  <si>
    <t>German Science Foundation (DFG)(German Research Foundation (DFG)); BMBF-funded project PalMod</t>
  </si>
  <si>
    <t>M.W. acknowledges support by German Science Foundation (DFG) grant GA 1202/2-1. M.W. and R.C. acknowledge support by the BMBF-funded project PalMod.</t>
  </si>
  <si>
    <t>eaav7337</t>
  </si>
  <si>
    <t>10.1126/sciadv.aav7337</t>
  </si>
  <si>
    <t>WOS:000466398400075</t>
  </si>
  <si>
    <t>Loza, CM; Krmpotic, CM; Galliari, FC; Laube, PFA; Negrete, J; Scarano, AC; Loureiro, J; Carlini, AA; Barbeito, CG</t>
  </si>
  <si>
    <t>Loza, Cleopatra M.; Krmpotic, Cecilia M.; Galliari, Fernando C.; Andres Laube, Pedro F.; Negrete, Javier; Scarano, Alejo C.; Loureiro, Julio; Carlini, Alfredo A.; Barbeito, Claudio G.</t>
  </si>
  <si>
    <t>Adaptations to a semiaquatic lifestyle in the external ear of southern pinnipeds (Otariidae and Phocidae, Carnivora): Morphological evidences</t>
  </si>
  <si>
    <t>ZOOLOGY</t>
  </si>
  <si>
    <t>southern seals; fur seals; myxoid tissue; external ear; histology</t>
  </si>
  <si>
    <t>SEALS LEPTONYCHOTES-WEDDELLII; UNDERWATER VOCALIZATIONS; ELEPHANT SEALS; LEOPARD SEALS; MYXOID TISSUE; MIROUNGA-LEONINA; HARP SEAL; HISTOCHEMISTRY; BEHAVIOR; ORIGIN</t>
  </si>
  <si>
    <t>Pinnipeds are semiaquatic carnivorans that spend most of their lives in water and use coastal terrestrial, or ice pack, environments to breed, molt and rest. Certain characteristics of the ear have been linked to ecological aspects. In our contribution we focus on the study of the macroscopic and microscopic morphology of the external ear (with the exception of the osseous outer ear canal) of six species of Southern pinnipeds. In order to recognize the different components of tissues, sections were stained following several routine protocols. In addition, double-staining and enzymatic clearing (Alcian blue-alizarin red) was performed to assess the arrangement of skeletal elements in the OEC. The basic structure of the pinna in the southern otariids studied match those previously analyzed for Northern Hemisphere species. The cartilage macro anatomy of the OEC of Mirounga leonina and Arctocephallus gazella is different from that of the Northern Hemisphere species, with only one plate of cartilage, but markedly different between them. The histology of the otariids OEC is homogeneous along the entire extension, but phocids has three different regions (distal, middle, and proximal). The cartilage histology of most phocids is also different from that of analyzed otariids, with an elastic cartilage that resembles a myxoid-like tissue, but is not present in M. leonina, were the tissue around the OEC is very rich in adipocytes. The southern elephant seal M. leonina OEC has a combination of features similar to both the rest of the phocids and to the otariids. An auditory organ that is functional both over and under water could be essential for social behavior in these species.</t>
  </si>
  <si>
    <t>[Loza, Cleopatra M.; Krmpotic, Cecilia M.; Galliari, Fernando C.; Scarano, Alejo C.; Carlini, Alfredo A.] Univ Nacl La Plata, Fac Ciencias Nat &amp; Museo, Lab Morfol Evolut &amp; Desarrollo MORPHOS, Paseo Bosque S-N, RA-1900 La Plata, Buenos Aires, Argentina; [Loza, Cleopatra M.; Krmpotic, Cecilia M.; Scarano, Alejo C.; Carlini, Alfredo A.; Barbeito, Claudio G.] Consejo Nacl Invest Cient &amp; Tecn, Buenos Aires, DF, Argentina; [Loza, Cleopatra M.; Krmpotic, Cecilia M.; Galliari, Fernando C.; Scarano, Alejo C.; Carlini, Alfredo A.] Museo La Plata, Div Paleontol Vertebrados, Buenos Aires, DF, Argentina; [Andres Laube, Pedro F.; Barbeito, Claudio G.] Univ Nacl La Plata, Fac Ciencias Vet, LHYEDEC, Buenos Aires, DF, Argentina; [Negrete, Javier] Inst Antart Argentina, Dept Biol Predadores Tope, Buenos Aires, DF, Argentina; [Scarano, Alejo C.] Univ Nacl Avellaneda, Dept Ambiente &amp; Turismo, Buenos Aires, DF, Argentina; [Loureiro, Julio] Fdn Mundo Marino, Buenos Aires, DF, Argentina</t>
  </si>
  <si>
    <t>National University of La Plata; Museo La Plata; Consejo Nacional de Investigaciones Cientificas y Tecnicas (CONICET); National University of La Plata; Museo La Plata; National University of La Plata; Instituto Antartico Argentino</t>
  </si>
  <si>
    <t>Loza, CM; Krmpotic, CM (corresponding author), Univ Nacl La Plata, Fac Ciencias Nat &amp; Museo, Lab Morfol Evolut &amp; Desarrollo MORPHOS, Paseo Bosque S-N, RA-1900 La Plata, Buenos Aires, Argentina.</t>
  </si>
  <si>
    <t>cleopatramara@fcnym.unlp.edu.ar; ckrmpotic_pv@fcnym.unlp.edu.ar</t>
  </si>
  <si>
    <t>Barbeito, Claudio/AAM-5227-2020</t>
  </si>
  <si>
    <t>Barbeito, Claudio/0000-0001-9459-138X; Negrete, Javier/0000-0001-6853-8307</t>
  </si>
  <si>
    <t>University of La Plata, Argentine [N-724, V-239, N-871]</t>
  </si>
  <si>
    <t>University of La Plata, Argentine</t>
  </si>
  <si>
    <t>The authors wish to thank the scientific and military staff of Instituto Antartico Argentino, especially Dr. Leopoldo Soibelzon and Augusto Menucci, for providing part of the Antarctic material. Lic. Gabriela Gorriti from La Plata zoo, for the donation of a specimen for this study, and to Htc. Ruben Mario for help with the histological processing of samples. Dr. Cecilia Morgan for language revision on earlier versions of the manuscript. We also specially thank to the two anonymous reviewers and the Editor for their constructive suggestions. This work was partially supported by the University of La Plata, Argentine (Research project code: N-724, V-239, and N-871).The authors have no competing interests to declare.</t>
  </si>
  <si>
    <t>ELSEVIER GMBH</t>
  </si>
  <si>
    <t>MUNICH</t>
  </si>
  <si>
    <t>HACKERBRUCKE 6, 80335 MUNICH, GERMANY</t>
  </si>
  <si>
    <t>0944-2006</t>
  </si>
  <si>
    <t>1873-2720</t>
  </si>
  <si>
    <t>10.1016/j.zool.2019.02.006</t>
  </si>
  <si>
    <t>HY6RT</t>
  </si>
  <si>
    <t>WOS:000468258100007</t>
  </si>
  <si>
    <t>Dilley, BJ; Davies, D; Stevens, K; Schoombie, S; Schoombie, J; Ryan, PG</t>
  </si>
  <si>
    <t>Dilley, Ben J.; Davies, Delia; Stevens, Kim; Schoombie, Stefan; Schoombie, Janine; Ryan, Peter G.</t>
  </si>
  <si>
    <t>Burrow wars and sinister behaviour among burrow-nesting petrels at sub-Antarctic Marion Island</t>
  </si>
  <si>
    <t>ARDEA</t>
  </si>
  <si>
    <t>Procellariiformes; Procellaria; burrow evictions; burrow competition; intra-species provisioning; misdirected feeding</t>
  </si>
  <si>
    <t>REPRODUCTIVE SUCCESS</t>
  </si>
  <si>
    <t>Competition for nest sites is relatively common amongst burrow-nesting Procellariiformes, especially on some sub-Antarctic islands where there is limited availability of good burrow-nesting habitat. Where space is limited, petrels may even successfully share a common burrow entrance or nest chamber and burrow densities can reach &gt;7000 burrows/ha. Interspecies burrow competition and chick evictions generally occur as a result of an overlap in breeding seasons, yet there are few documented records of this behaviour and even within study colonies many evictions are unconfirmed or probably go undetected. Here we report on interactions among three burrow-nesting petrels (White-chinned Petrels Procellaria aequinoctialis, Grey Petrels P. cinerea and Great-winged Petrels Pterodroma macroptera) at Marion Island which we observed through regular nest checks with a burrowscope and using infra-red video cameras inside burrow chambers. Despite relatively low petrel densities, White-chinned Petrels were responsible for 17% (8/46) of the Great-winged Petrel chick mortalities over the five breeding seasons (3% of the breeding attempts), but two were also recorded feeding Great-winged Petrel chicks. A pair of White-chinned Petrels evicted a Grey Petrel chick, but then had their own chick killed by Grey Petrels the following season, who went on to breed successfully in the same burrow. Feral Cats Fe/is catus were eradicated in 1991 and the greatly reduced petrel populations are slowly recovering, which could exacerbate competition for burrows on Marion.</t>
  </si>
  <si>
    <t>[Dilley, Ben J.; Davies, Delia; Stevens, Kim; Schoombie, Stefan; Schoombie, Janine; Ryan, Peter G.] Univ Cape Town, FitzPatrick Inst Africa Ornithol, DST NRF Ctr Excellence, ZA-7701 Rondebosch, South Africa</t>
  </si>
  <si>
    <t>National Research Foundation - South Africa; University of Cape Town</t>
  </si>
  <si>
    <t>Dilley, BJ (corresponding author), Univ Cape Town, FitzPatrick Inst Africa Ornithol, DST NRF Ctr Excellence, ZA-7701 Rondebosch, South Africa.</t>
  </si>
  <si>
    <t>dilleyben@gmail.com</t>
  </si>
  <si>
    <t>University of Cape Town; National Research Foundation (SANAP)</t>
  </si>
  <si>
    <t>The Department of Environmental Affairs provided logistical support through the South African National Antarctic Programme (SANAP). Financial support was received from the University of Cape Town and the National Research Foundation (SANAP). We thank Rory Meyer and Fred Fourie for technical support with the burrow cameras.</t>
  </si>
  <si>
    <t>NEDERLANDSE ORNITHOLOGISCHE UNIE</t>
  </si>
  <si>
    <t>ZEIST</t>
  </si>
  <si>
    <t>C/O PAUL STARMANS, OUDE ARNHEMSEWEG 261, 3705 BD ZEIST, NETHERLANDS</t>
  </si>
  <si>
    <t>0373-2266</t>
  </si>
  <si>
    <t>2213-1175</t>
  </si>
  <si>
    <t>Ardea</t>
  </si>
  <si>
    <t>10.5253/arde.v107i1.a5</t>
  </si>
  <si>
    <t>Ornithology</t>
  </si>
  <si>
    <t>HX2ZW</t>
  </si>
  <si>
    <t>WOS:000467261900010</t>
  </si>
  <si>
    <t>Ivanov, V; Varentsov, M; Matveeva, T; Repina, I; Artamonov, A; Khavina, E</t>
  </si>
  <si>
    <t>Ivanov, Vladimir; Varentsov, Mikhail; Matveeva, Tatiana; Repina, Irina; Artamonov, Arseniy; Khavina, Elena</t>
  </si>
  <si>
    <t>Arctic Sea Ice Decline in the 2010s: The Increasing Role of the OceanAir Heat Exchange in the Late Summer</t>
  </si>
  <si>
    <t>ATMOSPHERE</t>
  </si>
  <si>
    <t>Arctic Ocean; ocean-air interaction; sea ice; climate change; seasonal memory</t>
  </si>
  <si>
    <t>FLUX; DECAY</t>
  </si>
  <si>
    <t>This study is focused on the specific features of ocean-air interaction in the Laptev Sea, in the late summer, on the basis of recurrent measurements during four expeditions in the 2000s and 2010s, atmospheric reanalysis products, and satellite ice concentration data. It was established that in the icy years, the accumulation of heat in the upper ocean layer is insignificant for the subsequent ice formation. In the ice-free years, the accumulated heat storage in the upper mixed layer depends on the duration of open water and the distance of the point of interest to the nearest ice edge. In a broader context, we considered possible links between the average ice area/extent in the August-September-October (ASO) period, and in the December-January-February (DJF) period, for two representative Arctic regions; that is, the Eurasian segment, defined within the bounds 60-120 degrees E, 65-80 degrees N, and the American segment, defined within the bounds 150 degrees E-150 degrees W, 65-80 degrees N. Significant seasonal memory, characterized by the consistent change of the ice cover parameters in sequential seasons, was revealed in the Eurasian segment between 2007 and 2017. No linkage on a seasonal time scale was found in the American segment. A possible explanation for the distinguished contrast between the two geographical regions is proposed.</t>
  </si>
  <si>
    <t>[Ivanov, Vladimir] Arctic &amp; Antarctic Res Inst, 38 Beringa St, St Petersburg 199397, Russia; [Ivanov, Vladimir; Varentsov, Mikhail; Matveeva, Tatiana; Repina, Irina] Lomonosov Moscow State Univ, Fac Geog, Res Comp Ctr, 1 Leninskiye Gory, Moscow 119991, Russia; [Varentsov, Mikhail] Hydrometeorol Res Ctr Russian Federat, 11-13 Bolshoy Predtechensky Per, Moscow 123242, Russia; [Varentsov, Mikhail; Matveeva, Tatiana; Repina, Irina; Artamonov, Arseniy] Russian Acad Sci, AM Obukhov Inst Atmospher Phys, 3 Pyzhyovskiy Pereulok, Moscow 119017, Russia; [Matveeva, Tatiana] Russian Acad Sci, Inst Geog, 29 Staromonetniy Per, Moscow 119017, Russia; [Khavina, Elena] Moscow Inst Phys &amp; Technol, 9 Inst Skiy Per, Dolgoprudnyi 141701, Moscow Region, Russia</t>
  </si>
  <si>
    <t>Arctic &amp; Antarctic Research Institute; Lomonosov Moscow State University; Russian Academy of Sciences; Obukhov Institute of Atmospheric Physics of Russian Academy of Sciences; Russian Academy of Sciences; Institute of Geography, Russian Academy of Sciences; Moscow Institute of Physics &amp; Technology</t>
  </si>
  <si>
    <t>Varentsov, M (corresponding author), Lomonosov Moscow State Univ, Fac Geog, Res Comp Ctr, 1 Leninskiye Gory, Moscow 119991, Russia.;Varentsov, M (corresponding author), Hydrometeorol Res Ctr Russian Federat, 11-13 Bolshoy Predtechensky Per, Moscow 123242, Russia.;Varentsov, M (corresponding author), Russian Acad Sci, AM Obukhov Inst Atmospher Phys, 3 Pyzhyovskiy Pereulok, Moscow 119017, Russia.</t>
  </si>
  <si>
    <t>vladimir.ivanov@aari.ru; mvar91@gmail.com; matania.777@gmail.com; iar.ifaran@gmail.com; sailer@ifaran.ru; khavina.lx@phystech.edu</t>
  </si>
  <si>
    <t>Aldonina, Tatiana/AAE-7982-2019; Varentsov, Mikhail/F-7851-2017; Varentsov, Mikhail/KHY-6674-2024; Ivanov, Vladimir/J-5979-2014; Arseniy, Artamonov/S-2004-2017; Repina, Irina A/H-3530-2016</t>
  </si>
  <si>
    <t>Aldonina, Tatiana/0000-0002-8130-5169; Varentsov, Mikhail/0000-0001-9095-5334; Ivanov, Vladimir/0000-0003-2569-6027; Arseniy, Artamonov/0000-0002-7949-7069;</t>
  </si>
  <si>
    <t>Russian Ministry of Science and Higher Education [RFMEFI61617X0076]; Russian Foundation of Basic Research [18-35-00604, 17-05-01221, 18-05-60184]</t>
  </si>
  <si>
    <t>Russian Ministry of Science and Higher Education; Russian Foundation of Basic Research(Russian Foundation for Basic Research (RFBR))</t>
  </si>
  <si>
    <t>Vladimir Ivanov was supported by the Russian Ministry of Science and Higher Education, project No. RFMEFI61617X0076; Mikhail Varentsov, Irina Repina and Arseniy Artamonov were supported were supported by Russian Foundation of Basic Research, project No. 18-35-00604 (M.V.), 17-05-01221 (I.R., A.A.) 18-05-60184 (M.V., I.R., A.A.);</t>
  </si>
  <si>
    <t>2073-4433</t>
  </si>
  <si>
    <t>ATMOSPHERE-BASEL</t>
  </si>
  <si>
    <t>Atmosphere</t>
  </si>
  <si>
    <t>10.3390/atmos10040184</t>
  </si>
  <si>
    <t>HX3SR</t>
  </si>
  <si>
    <t>Green Accepted, Green Submitted, gold</t>
  </si>
  <si>
    <t>WOS:000467313400023</t>
  </si>
  <si>
    <t>Kusahara, K; Williams, GD; Massom, R; Reid, P; Hasumi, H</t>
  </si>
  <si>
    <t>Kusahara, Kazuya; Williams, Guy D.; Massom, Robert; Reid, Philip; Hasumi, Hiroyasu</t>
  </si>
  <si>
    <t>Spatiotemporal dependence of Antarctic sea ice variability to dynamic and thermodynamic forcing: a coupled ocean-sea ice model study</t>
  </si>
  <si>
    <t>CLIMATE DYNAMICS</t>
  </si>
  <si>
    <t>Antarctic sea ice variability; An ocean-sea ice model; Wind stress; Thermodynamic forcing</t>
  </si>
  <si>
    <t>RECENT TRENDS; WIND; BELLINGSHAUSEN; CLIMATE</t>
  </si>
  <si>
    <t>Satellite-derived Antarctic sea ice extent has displayed a slight upward since 1979, but with strong temporal and regional variabilitythe drivers of which are poorly understood. Here, we conduct numerical experiments with a circum-Antarctic ocean-sea ice-ice shelf model driven by realistic atmospheric surface boundary conditions to examine the factors responsible for the temporal and spatial patterns in observed Antarctic sea ice variability. The model successfully reproduces observed seasonal and interannual variability in total sea ice extent and the temporal/spatial patterns of sea ice concentration and seasonality (days of advance and retreat and actual ice days) for 1979-2014. Sensitivity experiments are performed, in which the interannual variability in wind stress or thermodynamic surface forcing is ignored, to delineate their contributions to Antarctic sea ice fields. The results demonstrate that: (1) thermodynamic forcing plays a key role in driving interannual variability in sea ice extent and seasonality in most Antarctic sectors; (2) only in the Ross Sea the wind stress does become the main driver of sea ice extent variability; (3) thermodynamic forcing largely regulates interannual variability in the timing of sea ice advance, while wind stress largely controls the timing of the sea ice retreat; and (4) although both wind stress and thermodynamic forcing contribute to variability in total sea ice volume, the wind stress plays a dominant role in regulating sea ice volume variability in the near-coastal zone.</t>
  </si>
  <si>
    <t>[Kusahara, Kazuya] Japan Agcy Marine Earth Sci &amp; Technol JAMSTEC, Kanazawa Ku, 3173-25 Showa Machi, Yokohama, Kanagawa 2360001, Japan; [Kusahara, Kazuya; Williams, Guy D.; Massom, Robert; Reid, Philip] Univ Tasmania, Antarctic Climate &amp; Ecosyst Res Ctr, Hobart, Tas, Australia; [Williams, Guy D.] Univ Tasmania, Inst Marine &amp; Antarctic Studies, Hobart, Tas, Australia; [Massom, Robert] Australian Antarctic Div, Kingston, Tas, Australia; [Reid, Philip] Australian Bur Meteorol, Hobart, Tas, Australia; [Hasumi, Hiroyasu] Univ Tokyo, Atmosphere &amp; Ocean Res Inst, Kashiwa, Chiba, Japan</t>
  </si>
  <si>
    <t>Japan Agency for Marine-Earth Science &amp; Technology (JAMSTEC); University of Tasmania; University of Tasmania; Australian Antarctic Division; Bureau of Meteorology - Australia; University of Tokyo</t>
  </si>
  <si>
    <t>Kusahara, K (corresponding author), Japan Agcy Marine Earth Sci &amp; Technol JAMSTEC, Kanazawa Ku, 3173-25 Showa Machi, Yokohama, Kanagawa 2360001, Japan.;Kusahara, K (corresponding author), Univ Tasmania, Antarctic Climate &amp; Ecosyst Res Ctr, Hobart, Tas, Australia.</t>
  </si>
  <si>
    <t>kazuya.kusahara@gmail.com</t>
  </si>
  <si>
    <t>Kusahara, Kazuya/0000-0003-4067-7959; Massom, Robert/0000-0003-1533-5084</t>
  </si>
  <si>
    <t>Australian Government's Business Cooperative Research Centres Programme through the Antarctic Climate an Ecosystems Cooperative Research Centre (ACE CRC); Australian Research Council's Future Fellowship program; Japan Society for the Promotion of Science (JSPS) KAKENHI [JP26247080]</t>
  </si>
  <si>
    <t>Australian Government's Business Cooperative Research Centres Programme through the Antarctic Climate an Ecosystems Cooperative Research Centre (ACE CRC); Australian Research Council's Future Fellowship program(Australian Research Council); Japan Society for the Promotion of Science (JSPS) KAKENHI(Ministry of Education, Culture, Sports, Science and Technology, Japan (MEXT)Japan Society for the Promotion of ScienceGrants-in-Aid for Scientific Research (KAKENHI))</t>
  </si>
  <si>
    <t>This research was supported by the Australian Government's Business Cooperative Research Centres Programme through the Antarctic Climate an Ecosystems Cooperative Research Centre (ACE CRC), and contributes to AAS 4116. GW was supported by the Australian Research Council's Future Fellowship program. HH was supported by Japan Society for the Promotion of Science (JSPS) KAKENHI Grant Number JP26247080. We thank two anonymous reviewers for their helpful and constructive comments on the manuscript.</t>
  </si>
  <si>
    <t>233 SPRING ST, NEW YORK, NY 10013 USA</t>
  </si>
  <si>
    <t>0930-7575</t>
  </si>
  <si>
    <t>1432-0894</t>
  </si>
  <si>
    <t>CLIM DYNAM</t>
  </si>
  <si>
    <t>Clim. Dyn.</t>
  </si>
  <si>
    <t>7-8</t>
  </si>
  <si>
    <t>10.1007/s00382-018-4348-3</t>
  </si>
  <si>
    <t>HX1XY</t>
  </si>
  <si>
    <t>WOS:000467187600002</t>
  </si>
  <si>
    <t>Evtushevsky, OM; Grytsai, AV; Milinevsky, GP</t>
  </si>
  <si>
    <t>Evtushevsky, O. M.; Grytsai, A. V.; Milinevsky, G. P.</t>
  </si>
  <si>
    <t>Decadal changes in the central tropical Pacific teleconnection to the Southern Hemisphere extratropics</t>
  </si>
  <si>
    <t>SEA-SURFACE TEMPERATURE; ANTARCTIC TOTAL OZONE; EL-NINO; INTERDECADAL CHANGES; ZONAL ASYMMETRY; ENSO; CLIMATE; OSCILLATION; ANOMALIES; HOLE</t>
  </si>
  <si>
    <t>Decadal changes in the teleconnection between the central tropical Pacific and the Southern Hemisphere extratropics are studied using the NCEP-NCAR reanalysis data. Concurrent and lagged relationships show that teleconnection strength in austral spring was weak (strong) before (after) 1996/1997. This decadal change coincides in time with the climate regime shift in the Pacific in the 1990s known from many studies. We show that, after the regime shift, the concurrent and delayed teleconnection with the Southern Hemisphere extratropics is insignificant in September and abruptly increases in October. Penetration of the stratospheric anomaly into the troposphere in October can indicate interacting tropospheric and stratospheric pathways of the teleconnection to strongly enhance the central tropical Pacific impact since the late 1990s. The results give evidence that the Southern Annular Mode seems to be connecting element between the two pathways in the recent decades. The common tendencies in the eastward shift of the tropical anomalies and zonal wave 1 phase in the Antarctic stratosphere in austral spring have been demonstrated. The difference between the central Pacific and eastern Pacific teleconnections is consistent with that known from previous studies and new tendencies in their decadal changes and delayed effects have been revealed. It has been found that the central Pacific contributions to the Pacific decadal oscillation and to the Northern Hemisphere stratosphere have also increased significantly after the 1990s. This characterizes the central tropical Pacific as one of the key regions impacting climate and teleconnection not only in the Southern Hemisphere, but also in the Northern Hemisphere. Our findings are consistent with and further develop the recent studies of the stratosphere-troposphere coupling in austral spring, and emphasize significant contribution of the delayed tropical signals to the climate variability in austral spring in both hemispheres.</t>
  </si>
  <si>
    <t>[Evtushevsky, O. M.; Grytsai, A. V.; Milinevsky, G. P.] Taras Shevchenko Natl Univ Kyiv, UA-01601 Kiev, Ukraine; [Milinevsky, G. P.] Natl Acad Sci Ukraine, Main Astron Observ, UA-03143 Kiev, Ukraine; [Milinevsky, G. P.] Jilin Univ, Int Ctr Future Sci, Changchun 130012, Jilin, Peoples R China</t>
  </si>
  <si>
    <t>Ministry of Education &amp; Science of Ukraine; Taras Shevchenko National University of Kyiv; National Academy of Sciences Ukraine; Main Astronomical Observatory of NASU; Jilin University</t>
  </si>
  <si>
    <t>Evtushevsky, OM (corresponding author), Taras Shevchenko Natl Univ Kyiv, UA-01601 Kiev, Ukraine.</t>
  </si>
  <si>
    <t>o.m.evtush@gmail.com</t>
  </si>
  <si>
    <t>Grytsai, Asen/AAS-7114-2020; Milinevsky, Gennadi/AAD-8801-2019; Evtushevsky, Oleksandr O.M./F-2065-2017</t>
  </si>
  <si>
    <t>Milinevsky, Gennadi/0000-0002-2342-2615; Evtushevsky, Oleksandr O.M./0000-0003-0582-559X; Grytsai, Asen/0000-0002-2545-9833</t>
  </si>
  <si>
    <t>Taras Shevchenko National University of Kyiv [16BF051-02]; Special Complex Program for Space Research 2012-2017 of the National Academy of Sciences of Ukraine; State Fund for Fundamental Research of Ukraine [F73/36-2017]</t>
  </si>
  <si>
    <t>Taras Shevchenko National University of Kyiv; Special Complex Program for Space Research 2012-2017 of the National Academy of Sciences of Ukraine; State Fund for Fundamental Research of Ukraine(State Fund for Fundamental Research (SFFR))</t>
  </si>
  <si>
    <t>Authors thank the two anonymous reviewers for their valuable comments and useful suggestions. NCEP-NCAR Reanalysis data were provided by the NOAA/OAR/ESRL PSD, Boulder, Colorado, USA, from their Web site at http://www.esrl.noaa.gov/psd/. Time series of the ozone hole area were used from the National Aeronautics and Space Administration (NASA) Ozone Hole Watch Web site at http://ozonewatch.gsfc.nasa.gov/meteorology/SH.html. This work was partly supported by the Taras Shevchenko National University of Kyiv, project 16BF051-02, by the Special Complex Program for Space Research 2012-2017 of the National Academy of Sciences of Ukraine, and by the Grant F73/36-2017 of the State Fund for Fundamental Research of Ukraine.</t>
  </si>
  <si>
    <t>10.1007/s00382-018-4354-5</t>
  </si>
  <si>
    <t>WOS:000467187600015</t>
  </si>
  <si>
    <t>Davies, AR; Veron, F; Oliver, MJ</t>
  </si>
  <si>
    <t>Davies, Alexander R.; Veron, Fabrice; Oliver, Matthew J.</t>
  </si>
  <si>
    <t>Biofloat observations of a phytoplankton bloom and carbon export in the Drake Passage</t>
  </si>
  <si>
    <t>DEEP-SEA RESEARCH PART I-OCEANOGRAPHIC RESEARCH PAPERS</t>
  </si>
  <si>
    <t>Biological pump; Southern Ocean; Carbon export; Biofloat; Mesoscale eddies</t>
  </si>
  <si>
    <t>ANTARCTIC POLAR FRONT; SOUTHERN-OCEAN; BIOGEOCHEMICAL TRACERS; ROBOTIC OBSERVATIONS; IRON FERTILIZATION; ORGANIC-CARBON; TWILIGHT ZONE; SCOTIA SEA; BIOMASS; NORTH</t>
  </si>
  <si>
    <t>Prolonged in-situ biogeochemical observations have historically been limited in the high nitrate, low chlorophyll (HNLC) regions of the Southern Ocean (SO). Recently, large biofloat missions, including the SO Carbon and Climate Observations and Modelling (SOCCOM) program, are filling the data void. However, the standard ten-day float profiling cycle often lacks the temporal resolution required to resolve mesoscale phytoplankton bloom or export processes. This is particularly important in regions of the SO dominated by high energy mesoscale features, like the Drake Passage. In this study, we observe a naturally occurring phytoplankton bloom and subsequent carbon export event in the Drake Passage using in-situ data from an Autonomous Profiling EXplorer (APEX) biofloat that profiled the water column every two days. The fast, two-day profiling cycle meant that the biofloat's trajectory was coherent with mesoscale processes. However, because of the quasi-Lagrangian nature of the biofloat, we could not control for both spatial and temporal changes simultaneously. Therefore we explore this quasi-Lagrangian dataset as both a spatial and temporal series to understand the mesoscale processes as they relate to the observed phytoplankton bloom and its subsequent export. Our evidence suggests that eddy-driven subduction and a change in the vertical structure were important in the time period leading up to enhanced carbon export. Recent studies have shown that eddy-driven subduction may be responsible for similar to 20% of the total biological carbon pump in the SO. We estimate that the POC flux out of the surface ocean was 250 +/- 50 mg m(-2) d(-1) between the peak bloom through an observed export event. In addition, we estimate that similar to 18 +/- 10% of the particulate organic carbon observed during the peak bloom was exported out of the surface ocean via subduction and sinking.</t>
  </si>
  <si>
    <t>[Davies, Alexander R.] US Naval Acad, Oceanog Dept, Annapolis, MD 21402 USA; [Veron, Fabrice; Oliver, Matthew J.] Univ Delaware, Sch Marine Sci &amp; Policy, Lewes, DE 19958 USA</t>
  </si>
  <si>
    <t>United States Department of Defense; United States Navy; United States Naval Academy; University of Delaware</t>
  </si>
  <si>
    <t>Davies, AR (corresponding author), US Naval Acad, Oceanog Dept, Annapolis, MD 21402 USA.</t>
  </si>
  <si>
    <t>adavies@usna.edu</t>
  </si>
  <si>
    <t>; Veron, Fabrice/G-2505-2012</t>
  </si>
  <si>
    <t>Davies, Alexander/0000-0003-1009-2212; Veron, Fabrice/0000-0001-5514-9767</t>
  </si>
  <si>
    <t>University of Delaware, College of Earth, Ocean, and Environment's Charles and Patricia Robertson Research Fund</t>
  </si>
  <si>
    <t>This research was funded through the University of Delaware, College of Earth, Ocean, and Environment's Charles and Patricia Robertson Research Fund. We thank Jim McClintock for assistance in float deployment. MUR SST data were provided by JPaL under support by NASA MEaSUREs program and freely accessible at: https://mur.jpl.nasa.gov/.PAR and MODIS-Aqua data were provided by The NASA Ocean Biological Processing Group (OBGP) and freely accessible at: https://oceancolor.gsfc.nasa.gov.OMI/Aura Aerosol Index data were provided through the NASA Earth Science Data and Information System (ESDIS) project and freely accessible at: https://disc.sci.gsfc.nasa.gov/datasets/OMTO3d_V003/summary?keywords = Aerosol%20lndex.; OMI/Aura Aerosol Index data were provided through the NASA Earth Science Data and Information System (ESDIS) project with support from Earth and Space Research (ESR) and freely accessible at: https://podaac.jpl.nasa.gov/dataset/OSCAR_L4_0C_third-deg.NCEP Reanalysis data were provided by the NOAA/OAR/ESRL PSD and freely accessible at http://www.esrl.noaa.gov/psd/.The authors gratefully acknowledge the NOAA Air Resources Laboratory (ARL) for use of the HYSPLIT transport and dispersion model and READY website (http://www.ready.noaa.gov) used in this publication. The biofloat data is available upon request: moliver@udel.edu or adavies@usna.edu.A.R.D.would like to thank Pablo Huq, Robert Vaillancourt, A. Denny Kirwan, Joseph P. Smith, Megan Cimino, Danielle Haulsee, Matthew Breece, Patricia Ryan, and paper reviewers for constructive discussions; your input undoubtedly improved this manuscript.</t>
  </si>
  <si>
    <t>0967-0637</t>
  </si>
  <si>
    <t>1879-0119</t>
  </si>
  <si>
    <t>DEEP-SEA RES PT I</t>
  </si>
  <si>
    <t>Deep-Sea Res. Part I-Oceanogr. Res. Pap.</t>
  </si>
  <si>
    <t>10.1016/j.dsr.2019.02.004</t>
  </si>
  <si>
    <t>HX8OG</t>
  </si>
  <si>
    <t>WOS:000467664600008</t>
  </si>
  <si>
    <t>Inkpen, R; Hall, K</t>
  </si>
  <si>
    <t>Inkpen, Rob; Hall, Kevin</t>
  </si>
  <si>
    <t>Universal Shapes? Analysis of the Shape of Antarctic Tafoni</t>
  </si>
  <si>
    <t>GEOSCIENCES</t>
  </si>
  <si>
    <t>tafoni modelling; brittle fracture; fragmentation; ratios</t>
  </si>
  <si>
    <t>SANDSTONE; RATES; PETRA</t>
  </si>
  <si>
    <t>Using dimensional data from over 700 tafoni in Antarctica, this paper identifies how the dimensionless ratios of width/length (W/L) and depth/length (D/L) vary with tafoni length. The analysis suggests that these ratios do tend to converge to values that are similar to those found for fragments produced by brittle fracture and fragmentation. Dividing the data into quintiles and deciles, it is possible to assess how tafoni size and shape change as tafoni length increases. Smaller tafoni do tend to have a rounder plan form which rapidly changes as tafoni length increases towards the W/L ratio of 0.67. It is suggested that initial tafoni development is limited by the conditions set out in a recent mathematical model of tafoni development. This model focuses on tafoni development through the interactions of variable rock strength and the varying concentration gradient of a corrosive agent. Erosion involves the removal of relatively small sections of rock and is analogous to a continuous erosional process. This model produces tafoni of relatively circular plan form. Above a certain tafoni length it is suggested that processes associated with brittle fracture begin to dominant the development and shape of tafoni.</t>
  </si>
  <si>
    <t>[Inkpen, Rob] Univ Portsmouth, Dept Geog, Buckingham Bldg,Lion Terrace, Portsmouth PO1 3HE, Hants, England; [Hall, Kevin] Rhodes Univ, Dept Geog, ZA-6139 Grahamstown, South Africa</t>
  </si>
  <si>
    <t>University of Portsmouth; Rhodes University</t>
  </si>
  <si>
    <t>Hall, K (corresponding author), Rhodes Univ, Dept Geog, ZA-6139 Grahamstown, South Africa.</t>
  </si>
  <si>
    <t>robert.inkpen@port.ac.uk; Kevin.Hall@unbc.ca</t>
  </si>
  <si>
    <t>Inkpen, Rob/0000-0002-1510-6911</t>
  </si>
  <si>
    <t>South African National Research Foundation through the South African National Antarctic programme</t>
  </si>
  <si>
    <t>This research was funded by the South African National Research Foundation through the South African National Antarctic programme.</t>
  </si>
  <si>
    <t>2076-3263</t>
  </si>
  <si>
    <t>Geosciences</t>
  </si>
  <si>
    <t>10.3390/geosciences9040154</t>
  </si>
  <si>
    <t>HX3QB</t>
  </si>
  <si>
    <t>WOS:000467305900009</t>
  </si>
  <si>
    <t>Zakhvatkina, N; Smirnov, V; Bychkova, I</t>
  </si>
  <si>
    <t>Zakhvatkina, Natalia; Smirnov, Vladimir; Bychkova, Irina</t>
  </si>
  <si>
    <t>Satellite SAR Data-based Sea Ice Classification: An Overview</t>
  </si>
  <si>
    <t>sea ice cover; satellite remote sensing; SAR data processing; sea ice classification</t>
  </si>
  <si>
    <t>L-BAND SAR; OPEN WATER DISCRIMINATION; TEXTURE STATISTICS; NEURAL-NETWORKS; DUAL-FREQUENCY; IMAGE; SEGMENTATION; SENTINEL-1; THICKNESS; FEATURES</t>
  </si>
  <si>
    <t>A review of the main approaches developed for sea ice classification using satellite imagery is presented. Satellite data are the main and very often only information source for sea ice classification and charting in the remote arctic regions. The main techniques used for ice classification and ice charting in several national ice services are considered. Advantages and disadvantages of various SAR data-based methods for ice classification are analyzed. It is shown that an increase of SAR technical abilities contributes to the enhancement of sea ice classification reliability. The possible further development of satellite data-based methods for ice classification is discussed.</t>
  </si>
  <si>
    <t>[Zakhvatkina, Natalia; Smirnov, Vladimir; Bychkova, Irina] Arctic &amp; Antarctic Res Inst, St Petersburg 199397, Russia; [Zakhvatkina, Natalia] Nansen Int Environm Remote Sensing Ctr, St Petersburg 199034, Russia</t>
  </si>
  <si>
    <t>Arctic &amp; Antarctic Research Institute; Nansen Environmental &amp; Remote Sensing Center (NERSC)</t>
  </si>
  <si>
    <t>Zakhvatkina, N (corresponding author), Arctic &amp; Antarctic Res Inst, St Petersburg 199397, Russia.;Zakhvatkina, N (corresponding author), Nansen Int Environm Remote Sensing Ctr, St Petersburg 199034, Russia.</t>
  </si>
  <si>
    <t>natalyp@aari.ru; vgs@aari.ru; bychkova@aari.ru</t>
  </si>
  <si>
    <t>Russian Foundation of Basic Research [18-05-60124]</t>
  </si>
  <si>
    <t>Russian Foundation of Basic Research(Russian Foundation for Basic Research (RFBR))</t>
  </si>
  <si>
    <t>This research was funded by Russian Foundation of Basic Research (grant 18-05-60124).</t>
  </si>
  <si>
    <t>10.3390/geosciences9040152</t>
  </si>
  <si>
    <t>WOS:000467305900007</t>
  </si>
  <si>
    <t>Cerna, O; Torres, P; Silva, R</t>
  </si>
  <si>
    <t>Cerna, Omar; Torres, Patricio; Silva, Ricardo</t>
  </si>
  <si>
    <t>REDESCRIPTION OF DICHELYNE (CUCULLANELLUS) DICHELYNEFORMIS (NEMATODA: CUCULLANIDAE) AND DESCRIPTION OF A NEW CONGENERIC SPECIES IN ELEGINOPS MACLOVINUS (PISCES: ELEGINOPSIDAE) COLLECTED IN THE BAY OF CORRAL, CHILE</t>
  </si>
  <si>
    <t>JOURNAL OF PARASITOLOGY</t>
  </si>
  <si>
    <t>Nematoda; Cucullanidae; Dichelyne Morphology; Eleginops maclovinus; Chilean Rock Cod; Chile</t>
  </si>
  <si>
    <t>PERCIFORMES; FISHES</t>
  </si>
  <si>
    <t>Dichelyne (Cucullanellus) dichelyneformis (Szidat, 1950) Petter, 1974, was collected in the intestine of the rock cod, Eleginops maclovinus, in the Bay of Corral, Chile, and redescribed based on light and scanning electron microscopy. The correct arrangement of caudal papillae and post deirids, the shape of gubernaculum, and the morphology and number of denticles surrounding the oral opening are described for the first time. These characteristics along with the excretory pore position, size of spicules, and presence of a nodular thickening near the distal end of the spicules differentiate D. (C.) dichelyneformis from the other congeners reported in South America and in the Antarctic. The new congeneric species found in E. maclovinus differs from D. (C.) dichelyneformis based on the larger males, larger and more numerous denticles with a smooth surface, weakly developed sclerotized plates in esophastome, excretory pore and deirids posterior to nerve ring, shorter gubernaculum and spicules with no thickening on their distal region, lower spicules/body length ratio (10.4-15.1%), and a papilla-like phasmids closer to pairs 8 and 10.</t>
  </si>
  <si>
    <t>[Cerna, Omar; Torres, Patricio; Silva, Ricardo] Univ Austral Chile, Inst Parasitol, Fac Med, Edificio Ciencias Biomed,Campus Isl Teja,Box 567, Valdivia, Chile</t>
  </si>
  <si>
    <t>Universidad Austral de Chile</t>
  </si>
  <si>
    <t>Torres, P (corresponding author), Univ Austral Chile, Inst Parasitol, Fac Med, Edificio Ciencias Biomed,Campus Isl Teja,Box 567, Valdivia, Chile.</t>
  </si>
  <si>
    <t>ptorres@uach.cl</t>
  </si>
  <si>
    <t>Torres, Patricio/HSG-8576-2023</t>
  </si>
  <si>
    <t>Cerna Diaz, Omar/0000-0002-7303-1313</t>
  </si>
  <si>
    <t>Parasite Diversity and Zoonosis by Aquatic Organisms Program, Direccion de Investigacion y Desarrollo, Universidad Austral de Chile [DID1201002]</t>
  </si>
  <si>
    <t>Parasite Diversity and Zoonosis by Aquatic Organisms Program, Direccion de Investigacion y Desarrollo, Universidad Austral de Chile</t>
  </si>
  <si>
    <t>This study was supported by the Parasite Diversity and Zoonosis Transmitted by Aquatic Organisms Program, Direccion de Investigacion y Desarrollo (DID1201002), Universidad Austral de Chile. We thank 2 anonymous reviewers for their valuable suggestions to improve the manuscript; Lic. Fabian Tricarico for confirming the lack of type specimens of D. (C.) dichelyneformis in the National Collection of Parasitology of the Museo Argentino de Ciencias Naturales Bernardino Rivadavia''; Dr. Kennel Lundin, senior curator of the Gothenburg Natural History Museum, Sweden, for kindly providing the D. (C.) elongatus type specimens; Dr. Oleksandr Holovachov, senior curator, Swedish Museum of Natural History, Stockholm, Sweden for guiding our search for type material of D. (C.) elongatus; Jael Reyes for helping us with a complementary fish sampling; Ruth Struller for the translation of the D. (C.) elongatus description; and Claire Evans for the English revision of the manuscript.</t>
  </si>
  <si>
    <t>ALLEN PRESS INC</t>
  </si>
  <si>
    <t>LAWRENCE</t>
  </si>
  <si>
    <t>810 E 10TH ST, LAWRENCE, KS 66044 USA</t>
  </si>
  <si>
    <t>0022-3395</t>
  </si>
  <si>
    <t>1937-2345</t>
  </si>
  <si>
    <t>J PARASITOL</t>
  </si>
  <si>
    <t>J. Parasitol.</t>
  </si>
  <si>
    <t>10.1645/16-175</t>
  </si>
  <si>
    <t>Parasitology</t>
  </si>
  <si>
    <t>HX4PF</t>
  </si>
  <si>
    <t>WOS:000467381000009</t>
  </si>
  <si>
    <t>Canuto, VM; Cheng, Y; Howard, AM; Dubovikov, MS</t>
  </si>
  <si>
    <t>Canuto, V. M.; Cheng, Y.; Howard, A. M.; Dubovikov, M. S.</t>
  </si>
  <si>
    <t>Three-Dimensional, Space-Dependent Mesoscale Diffusivity: Derivation and Implications</t>
  </si>
  <si>
    <t>ANTARCTIC CIRCUMPOLAR CURRENT; SOUTHERN-OCEAN; BAROCLINIC INSTABILITY; EDDY DIFFUSIVITY; KINETIC-ENERGY; MIXED-LAYER; CIRCULATION; MODEL; PARAMETERIZATION; TRANSPORTS</t>
  </si>
  <si>
    <t>Recently, we presented a parameterization of an arbitrary tracer 3D mesoscale flux that describes both diabatic and adiabatic regimes without using arbitrary tapering functions. However, we did not parameterize the mesoscale diffusivity, which is the subject of this work. Akey difference between the present and previous diffusivity parameterizations is that in the latter, the two main ingredients, mesoscale drift velocity and eddy kinetic energy, were not parameterized but determined using present data, which deprives the models of predictive power. Since winds, stratification, etc., are predicted to change in the future, use of these parameterizations to study future climate scenarios becomes questionable. In this work, we parameterize drift velocity and eddy kinetic energy (vertical-horizontal components), which we first assess with data [WOCE, TOPEX/Poseidon (T/P), and North Atlantic Tracer Release Experiment (NATRE)] and then use in a coarse-resolution stand-alone ocean code under Coordinated Ocean-Ice Reference Experiment I (CORE-I) forcing. We present results for the global ocean temperature and salinity, Atlantic overturning circulation, meridional heat transport, andDrake Passage transport, whichwe compare with several previous studies. The temperature drift is less than that of five of seven previous OGCMs, and the salinity drift is among the smallest in those studies. The predicted winter Antarctic Circumpolar Current mixed layer depths (MLDs) are in good agreement with the data. Predicting the correctMLD is important in climate studies since models that predict very deep mixed layers transfermore of the radiative perturbation to the deep ocean, reducing surface warming (and vice versa).</t>
  </si>
  <si>
    <t>[Canuto, V. M.; Cheng, Y.; Howard, A. M.; Dubovikov, M. S.] NASA, Goddard Inst Space Studies, New York, NY 10025 USA; [Canuto, V. M.] Columbia Univ, Dept Appl Phys &amp; Math, New York, NY 10027 USA; [Cheng, Y.; Dubovikov, M. S.] Columbia Univ, Ctr Climate Syst Res, New York, NY USA; [Howard, A. M.] CUNY Medgar Evers Coll, Dept Phys &amp; Comp Sci, New York, NY USA</t>
  </si>
  <si>
    <t>National Aeronautics &amp; Space Administration (NASA); NASA Goddard Space Flight Center; Goddard Institute for Space Studies; Columbia University; Columbia University; City University of New York (CUNY) System</t>
  </si>
  <si>
    <t>Canuto, VM (corresponding author), NASA, Goddard Inst Space Studies, New York, NY 10025 USA.;Canuto, VM (corresponding author), Columbia Univ, Dept Appl Phys &amp; Math, New York, NY 10027 USA.</t>
  </si>
  <si>
    <t>vmcanuto@gmail.com</t>
  </si>
  <si>
    <t>NASA High-End Computing (HEC) Program through the NASA Center for Climate Simulation (NCCS) at the Goddard Space Flight Center</t>
  </si>
  <si>
    <t>The authors thank two anonymous referees whose valuable criticism helped us to achieve a more focused presentation. The authors also thank Dr. S. Dong for providing the SouthernOcean MLD data. Resources supporting this work were provided by the NASA High-End Computing (HEC) Program through the NASA Center for Climate Simulation (NCCS) at the Goddard Space Flight Center. VMC dedicates this work to Aura Sofia Canuto.</t>
  </si>
  <si>
    <t>10.1175/JPO-D-18-0123.1</t>
  </si>
  <si>
    <t>HX8EY</t>
  </si>
  <si>
    <t>WOS:000467640300002</t>
  </si>
  <si>
    <t>Angeli, A; Del Prete, S; Osman, SM; AlOthman, Z; Donald, WA; Capasso, C; Supuran, CT</t>
  </si>
  <si>
    <t>Angeli, Andrea; Del Prete, Sonia; Osman, Sameh M.; AlOthman, Zeid; Donald, William A.; Capasso, Clemente; Supuran, Claudiu T.</t>
  </si>
  <si>
    <t>Activation Studies of the -Carbonic Anhydrases from the Antarctic Marine Bacteria Pseudoalteromonas haloplanktis and Colwellia psychrerythraea with Amino Acids and Amines</t>
  </si>
  <si>
    <t>MARINE DRUGS</t>
  </si>
  <si>
    <t>Antarctic bacteria; carbonic anhydrase; metalloenzymes; amine; amino acid; activator; Pseudoalteromonas haloplanktis; Colwellia psychrerythraea</t>
  </si>
  <si>
    <t>SULFONAMIDE INHIBITION; 1ST ACTIVATION; ISOZYME-II; ALPHA; RECOGNITION; ENZYME; LIGHT; VII; XIV; CA</t>
  </si>
  <si>
    <t>The -carbonic anhydrases (CAs, EC 4.2.1.1) present in the Antarctic marine bacteria Pseudoalteromonas haloplanktis and Colwellia psychrerythraea, herein referred to as PhaCA and CpsCA, respectively, were investigated for their activation with a panel of 24 amino acids and amines. Both bacteria are considered Antarctic models for the investigation of photosynthetic and metabolic pathways in organisms adapted to live in cold seawater. PhaCA was much more sensitive to activation by these compounds compared to the genetically related enzyme CpsCA. The most effective PhaCA activators were d-Phe, l-/d-DOPA, l-Tyr and 2-pyridyl-methylamine, with the activation constant K-A values of 0.72-3.27 mu M. d-His, l-Trp, d-Tyr, histamine, dopamine, serotonin anddicarboxylic amino acids were also effective activators of PhaCA, with K-A values of 6.48-9.85 mu M. CpsCA was activated by d-Phe, d-DOPA, l-Trp, l-/d-Tyr, 4-amino-l-Phe, histamine, 2-pyridyl-methylamine and l-/d-Glu with K-A values of 11.2-24.4 mu M. The most effective CpsCA activator was l-DOPA (K-A of 4.79 mu M). Given that modulators of CAs from Antarctic bacteria have not been identified and investigated in detail for their metabolic roles to date, this research sheds some light on these poorly understood processes.</t>
  </si>
  <si>
    <t>[Angeli, Andrea; Supuran, Claudiu T.] Univ Firenze, Sez Sci Farmaceut &amp; Nutraceut, Dipartimento Neurofarba, Via U Schiff 6, I-50019 Florence, Italy; [Del Prete, Sonia; Capasso, Clemente] CNR, Ist Biosci &amp; Biorisorse, Via Pietro Castellino 111, I-80131 Naples, Italy; [Osman, Sameh M.; AlOthman, Zeid; Supuran, Claudiu T.] King Saud Univ, Coll Sci, Dept Chem, POB 2455, Riyadh 11451, Saudi Arabia; [Donald, William A.; Supuran, Claudiu T.] Univ New South Wales, Sch Chem, Dalton Bldg, Sydney, NSW 2052, Australia</t>
  </si>
  <si>
    <t>University of Florence; Consiglio Nazionale delle Ricerche (CNR); Istituto di Bioscienze e Biorisorse (IBBR-CNR); King Saud University; University of New South Wales Sydney</t>
  </si>
  <si>
    <t>Supuran, CT (corresponding author), Univ Firenze, Sez Sci Farmaceut &amp; Nutraceut, Dipartimento Neurofarba, Via U Schiff 6, I-50019 Florence, Italy.;Capasso, C (corresponding author), CNR, Ist Biosci &amp; Biorisorse, Via Pietro Castellino 111, I-80131 Naples, Italy.;Supuran, CT (corresponding author), King Saud Univ, Coll Sci, Dept Chem, POB 2455, Riyadh 11451, Saudi Arabia.;Supuran, CT (corresponding author), Univ New South Wales, Sch Chem, Dalton Bldg, Sydney, NSW 2052, Australia.</t>
  </si>
  <si>
    <t>andrea.angeli@unifi.it; sonia.delprete@ibbr.cnr.it; smahmoud@ksu.edu.sa; zaothman@KSU.EDU.SA; w.donald@unsw.edu.au; clemente.capasso@ibbr.cnr.it; claudiu.supuran@unifi.it</t>
  </si>
  <si>
    <t>Osman, Sameh/O-1800-2013; ALOthman, Zeid A./E-7333-2014; CAPASSO, CLEMENTE/P-3522-2016</t>
  </si>
  <si>
    <t>Osman, Sameh/0000-0003-1564-7301; ALOthman, Zeid A./0000-0001-9970-2480; Donald, William/0000-0002-6622-8193; angeli, andrea/0000-0002-1470-7192; CAPASSO, CLEMENTE/0000-0003-3314-2411; Supuran, Claudiu/0000-0003-4262-0323</t>
  </si>
  <si>
    <t>Distinguished Scientists Fellowship Programme (DSFP) of King Saud University, Riyadh, Saudi Arabia; Australian Research Council</t>
  </si>
  <si>
    <t>Distinguished Scientists Fellowship Programme (DSFP) of King Saud University, Riyadh, Saudi Arabia; Australian Research Council(Australian Research Council)</t>
  </si>
  <si>
    <t>This research was financed in part by a Distinguished Scientists Fellowship Programme (DSFP) of King Saud University, Riyadh, Saudi Arabia, to Z.A. and C.T.S. W.A.D. and C.T.S. thank the Australian Research Council for funding.</t>
  </si>
  <si>
    <t>1660-3397</t>
  </si>
  <si>
    <t>MAR DRUGS</t>
  </si>
  <si>
    <t>Mar. Drugs</t>
  </si>
  <si>
    <t>10.3390/md17040238</t>
  </si>
  <si>
    <t>Chemistry, Medicinal; Pharmacology &amp; Pharmacy</t>
  </si>
  <si>
    <t>Pharmacology &amp; Pharmacy</t>
  </si>
  <si>
    <t>HX3QM</t>
  </si>
  <si>
    <t>WOS:000467307100045</t>
  </si>
  <si>
    <t>Shilling, AJ; von Salm, JL; Sanchez, AR; Kee, Y; Amsler, CD; McClintock, JB; Baker, BJ</t>
  </si>
  <si>
    <t>Shilling, Andrew J.; von Salm, Jacqueline L.; Sanchez, Anthony R.; Kee, Younghoon; Amsler, Charles D.; McClintock, James B.; Baker, Bill J.</t>
  </si>
  <si>
    <t>Anverenes B-E, New Polyhalogenated Monoterpenes from the Antarctic Red Alga Plocamium cartilagineum</t>
  </si>
  <si>
    <t>halogenated monoterpenes; anverenes; Plocamium cartilagineum</t>
  </si>
  <si>
    <t>MARINE NATURAL-PRODUCTS; MACROALGAE</t>
  </si>
  <si>
    <t>The subtidal red alga Plocamium cartilagineum was collected from the Western Antarctic Peninsula during the 2011 and 2017 austral summers. Bulk collections from specific sites corresponded to chemogroups identified by Young et al. in 2013. One of the chemogroups yielded several known acyclic halogenated monoterpenes (2-5) as well as undescribed compounds of the same class, anverenes B-D (6-8). Examination of another chemogroup yielded an undescribed cyclic halogenated monoterpene anverene E (9) as its major secondary metabolite. Elucidation of structures was achieved through one-dimensional (1D) and 2D nuclear magnetic resonance (NMR) spectroscopy and negative chemical ionization mass spectrometry. Compounds 1-9 show moderate cytotoxicity against cervical cancer (HeLa) cells.</t>
  </si>
  <si>
    <t>[Shilling, Andrew J.; von Salm, Jacqueline L.; Baker, Bill J.] Univ S Florida, Dept Chem, 4202 E Fowler Ave,CHE205, Tampa, FL 33620 USA; [Sanchez, Anthony R.; Kee, Younghoon] Univ S Florida, Dept Cell Biol Microbiol &amp; Mol Biol, 4202 E Fowler Ave,ISA2015, Tampa, FL 33620 USA; [Amsler, Charles D.; McClintock, James B.] Univ Alabama Birmingham, Dept Biol, Birmingham, AL 35294 USA</t>
  </si>
  <si>
    <t>State University System of Florida; University of South Florida; State University System of Florida; University of South Florida; University of Alabama System; University of Alabama Birmingham</t>
  </si>
  <si>
    <t>Baker, BJ (corresponding author), Univ S Florida, Dept Chem, 4202 E Fowler Ave,CHE205, Tampa, FL 33620 USA.</t>
  </si>
  <si>
    <t>ashillin@mail.usf.edu; j.vs.fries@gmail.com; ars1@mail.usf.edu; ykee@usf.edu; amsler@uab.edu; mcclinto@uab.edu; bjbaker@usf.edu</t>
  </si>
  <si>
    <t>Kee, Younghoon/J-4107-2019; Baker, Bill/N-4312-2019</t>
  </si>
  <si>
    <t>Sanchez, Anthony/0000-0002-9353-6220; von Salm, Jacqueline/0000-0003-2277-5491; Baker, Bill/0000-0003-3033-5779</t>
  </si>
  <si>
    <t>Nation Science Foundation from the Antarctic Organisms and Ecosystems Program [PLR-1341333, PLR-1341339]; State of Florida for Center of Excellence of CDDI</t>
  </si>
  <si>
    <t>Nation Science Foundation from the Antarctic Organisms and Ecosystems Program; State of Florida for Center of Excellence of CDDI</t>
  </si>
  <si>
    <t>This research was funded by the Nation Science Foundation grant number PLR-1341333 and PLR-1341339 from the Antarctic Organisms and Ecosystems Program and by the State of Florida for Center of Excellence funding of CDDI.</t>
  </si>
  <si>
    <t>10.3390/md17040230</t>
  </si>
  <si>
    <t>WOS:000467307100037</t>
  </si>
  <si>
    <t>Garofalo, F; Santovito, G; Amelio, D</t>
  </si>
  <si>
    <t>Garofalo, Filippo; Santovito, Gianfranco; Amelio, Daniela</t>
  </si>
  <si>
    <t>Morpho-functional effects of heat stress on the gills of Antarctic T. bernacchii and C. hamatus</t>
  </si>
  <si>
    <t>MARINE POLLUTION BULLETIN</t>
  </si>
  <si>
    <t>Antarctica; Climate change; Chionodraco hamatus; Trematomus bernacchii; Gills; Heat stress</t>
  </si>
  <si>
    <t>NITRIC-OXIDE SYNTHASE; OXIDATIVE STRESS; HEME OXYGENASE; THERMAL TOLERANCE; MOLECULAR CHARACTERIZATION; ANTIOXIDANT DEFENSE; NOTOTHENIOID FISHES; XANTHINE-OXIDASE; CLIMATE-CHANGE; EXPRESSION</t>
  </si>
  <si>
    <t>The effect of increasing ocean water temperature on morpho-functional traits of Antarctic marine species is under intense attention. In this work, we evaluated the effects of acute heat stress on the gills of the Antarctic haemoglobinless Chionodraco hamatus and the red blooded Trematotnus bernacchii in terms of morphology, heat shock response, antioxidant defense and NOS/NO system. We showed in both species that the exposure to high temperature (4 degrees C) induced structural alterations, such as epithelial lifting and oedema of secondary lamellae. By immunolocalization we also observed that HSP-90, HSP-70, Xantine Oxidase, Heme Oxigenase and NOS are expressed in both species under control conditions. After heat stress the signals increase in C. hamatus being absent/or reduced in T. bernacchii. Our preliminary results suggest a specie-specific morpho-functional response of the gills of the two Antarctic teleosts to heat stress.</t>
  </si>
  <si>
    <t>[Garofalo, Filippo; Amelio, Daniela] Univ Calabria, Dept Biol Ecol &amp; Earth Sci BEST, Arcavacata Di Rende, CS, Italy; [Santovito, Gianfranco] Univ Padua, Dept Biol, Padua, Italy</t>
  </si>
  <si>
    <t>University of Calabria; University of Padua</t>
  </si>
  <si>
    <t>Amelio, D (corresponding author), Univ Calabria, Dept Biol Ecol &amp; Earth Sci BEST, Arcavacata Di Rende, CS, Italy.</t>
  </si>
  <si>
    <t>daniela.amelio@unical.it</t>
  </si>
  <si>
    <t>Santovito, Gianfranco/ABB-9484-2021</t>
  </si>
  <si>
    <t>Santovito, Gianfranco/0000-0001-8260-7006</t>
  </si>
  <si>
    <t>Italian National Research Program in Antarctica (PNRA)</t>
  </si>
  <si>
    <t>All authors were supported by the Italian National Research Program in Antarctica (PNRA).</t>
  </si>
  <si>
    <t>0025-326X</t>
  </si>
  <si>
    <t>1879-3363</t>
  </si>
  <si>
    <t>MAR POLLUT BULL</t>
  </si>
  <si>
    <t>Mar. Pollut. Bull.</t>
  </si>
  <si>
    <t>10.1016/j.marpolbul.2019.02.048</t>
  </si>
  <si>
    <t>HU8CK</t>
  </si>
  <si>
    <t>WOS:000465509700024</t>
  </si>
  <si>
    <t>Martí, JM</t>
  </si>
  <si>
    <t>Manuel Marti, Jose</t>
  </si>
  <si>
    <t>Recentrifuge: Robust comparative analysis and contamination removal for metagenomics</t>
  </si>
  <si>
    <t>PLOS COMPUTATIONAL BIOLOGY</t>
  </si>
  <si>
    <t>BLOOD MICROBIOME; CLASSIFICATION; ACCURATE; IMPACT</t>
  </si>
  <si>
    <t>Metagenomic sequencing is becoming widespread in biomedical and environmental research, and the pace is increasing even more thanks to nanopore sequencing. With a rising number of samples and data per sample, the challenge of efficiently comparing results within a specimen and between specimens arises. Reagents, laboratory, and host related contaminants complicate such analysis. Contamination is particularly critical in low microbial biomass body sites and environments, where it can comprise most of a sample if not all. Recentrifuge implements a robust method for the removal of negative-control and crossover taxa from the rest of samples. With Recentrifuge, researchers can analyze results from taxonomic classifiers using interactive charts with emphasis on the confidence level of the classifications. In addition to contamination-subtracted samples, Recentrifuge provides shared and exclusive taxa per sample, thus enabling robust contamination removal and comparative analysis in environmental and clinical metagenomics. Regarding the first area, Recentrifuge's novel approach has already demonstrated its benefits showing that microbiomes of Arctic and Antarctic solar panels display similar taxonomic profiles. In the clinical field, to confirm Recentrifuge's ability to analyze complex metagenomes, we challenged it with data coming from a metagenomic investigation of RNA in plasma that suffered from critical contamination to the point of preventing any positive conclusion. Recentrifuge provided results that yielded new biological insight into the problem, supporting the growing evidence of a blood microbiota even in healthy individuals, mostly translocated from the gut, the oral cavity, and the genitourinary tract. We also developed a synthetic dataset carefully designed to rate the robust contamination removal algorithm, which demonstrated a significant improvement in specificity while retaining a high sensitivity even in the presence of cross-contaminants. Recentrifuge's official website is www.recentrifuge.org. The data and source code are anonymously and freely available on GitHub and PyPI. The computing code is licensed under the AGPLv3. The Recentrifuge Wiki is the most extensive and continually-updated source of documentation for Recentrifuge, covering installation, use cases, testing, and other useful topics. Author summary Whether in a clinical or environmental sample, metagenomics can reveal what microorganisms exist and what they do. It is indeed a powerful tool for the study of microbial communities which requires equally powerful methods of analysis. Current challenges in the analysis of metagenomic data include the comparative study of samples, the degree of uncertainty in the results, and the removal of contamination. The scarcer the microbes are in an environment, the more essential it is to have solutions to these issues. Examples of sites with few microbes are not only habitats with low levels of nutrients, but also many body tissues and fluids. Recentrifuge's novel approach combines statistical, mathematical and computational methods to tackle those challenges with efficiency and robustness: it seamlessly removes diverse contamination, provides a confidence level for every result, and unveils the generalities and specificities in the metagenomic samples.</t>
  </si>
  <si>
    <t>[Manuel Marti, Jose] Inst Integrat Syst Biol I2SysBio, Valencia, Spain</t>
  </si>
  <si>
    <t>Martí, JM (corresponding author), Inst Integrat Syst Biol I2SysBio, Valencia, Spain.</t>
  </si>
  <si>
    <t>jose.m.marti@uv.es</t>
  </si>
  <si>
    <t>Martí, Jose Manuel/ILQ-2972-2023</t>
  </si>
  <si>
    <t>Martí, Jose Manuel/0000-0002-1902-9749</t>
  </si>
  <si>
    <t>1553-7358</t>
  </si>
  <si>
    <t>PLOS COMPUT BIOL</t>
  </si>
  <si>
    <t>PLoS Comput. Biol.</t>
  </si>
  <si>
    <t>e1006967</t>
  </si>
  <si>
    <t>10.1371/journal.pcbi.1006967</t>
  </si>
  <si>
    <t>Biochemical Research Methods; Mathematical &amp; Computational Biology</t>
  </si>
  <si>
    <t>Biochemistry &amp; Molecular Biology; Mathematical &amp; Computational Biology</t>
  </si>
  <si>
    <t>HX6RI</t>
  </si>
  <si>
    <t>WOS:000467530600066</t>
  </si>
  <si>
    <t>Shi, N; Tian, PY; Zhang, LY</t>
  </si>
  <si>
    <t>Shi, Ning; Tian, Pingyu; Zhang, Leying</t>
  </si>
  <si>
    <t>Simultaneous influence of the Southern Hemisphere annular mode on the atmospheric circulation of the Northern Hemisphere during the boreal winter</t>
  </si>
  <si>
    <t>INTERNATIONAL JOURNAL OF CLIMATOLOGY</t>
  </si>
  <si>
    <t>cross-hemisphere influence; Southern Hemisphere annual mode; vorticity forcing</t>
  </si>
  <si>
    <t>SPRING ANTARCTIC OSCILLATION; INTERANNUAL VARIABILITY; PRECIPITATION; ATLANTIC; RAINFALL; ANOMALIES; FREQUENCY; AAO</t>
  </si>
  <si>
    <t>This study has discovered a significant linear relationship between the Southern Hemisphere (SH) annular mode (SAM) and the mid-latitude Northern Hemisphere (NH) circulation in February using two reanalysis data sets. Significant positive height anomalies corresponding to the positive SAM appear over the mid-latitude region of the NH, and significant positive surface air temperature anomalies prevail over Western Europe and Northeast Asia. The realistic vorticity forcing associated with the SAM is applied in a dry linear baroclinic model, and the results demonstrate that the SAM in February can induce height anomalies with the same sign at 300hPa over the mid-latitudes of the NH and that these anomalies have amplitudes as large as 22% of their counterparts in the SH. Further numerical experiments show that the positive height response over the mid-latitudes of the NH mainly comes from the influence of the realistic positive vorticity over the mid-latitudes of the SH and that the vorticity forcing over the southern Indian Ocean seems to be the most effective at exciting the NH circulation anomalies. The numerical experiments also demonstrate that the transient eddy feedback forcing contributes to the formation of mid-latitude NH circulation anomalies, especially over Northeast Asia. The maintenance of the negative vorticity anomalies over Europe is further diagnosed through vorticity budget analysis. In December, however, the significant vorticity anomalies associated with the SAM are not limited to the middle and high latitudes of the SH but also appear over the subtropics of the SH (approximately 30 degrees S). The numerical experiments show that cancellation occurs between the responses to the subtropical vorticity forcing and the mid-latitude vorticity forcing, thereby accounting for the independence of the NH circulation from the December SAM variability.</t>
  </si>
  <si>
    <t>[Shi, Ning] Nanjing Univ Informat Sci &amp; Technol, CIC FEMD, Joint Int Res Lab Climate &amp; Environm Change ILCEC, Key Lab Meteorol Disaster,Minist Educ, Nanjing, Jiangsu, Peoples R China; [Shi, Ning; Tian, Pingyu] Nanjing Univ Informat Sci &amp; Technol, Coll Atmospher Sci, Nanjing 210044, Jiangsu, Peoples R China; [Zhang, Leying] Nanjing Forestry Univ, Coll Biol &amp; Environm, Joint Innovat Ctr Modern Forestry Studies, Nanjing, Jiangsu, Peoples R China</t>
  </si>
  <si>
    <t>Nanjing University of Information Science &amp; Technology; Nanjing University of Information Science &amp; Technology; Nanjing Forestry University</t>
  </si>
  <si>
    <t>Shi, N (corresponding author), Nanjing Univ Informat Sci &amp; Technol, Coll Atmospher Sci, Nanjing 210044, Jiangsu, Peoples R China.</t>
  </si>
  <si>
    <t>shining@nuist.edu.cn</t>
  </si>
  <si>
    <t>Shi, Ning/ABP-4222-2022; litao, zhang/AAT-5914-2021</t>
  </si>
  <si>
    <t>Shi, Ning/0000-0002-4769-1609; litao, zhang/0000-0003-2020-0678</t>
  </si>
  <si>
    <t>Priority Academic Program Development of Jiangsu Higher Education Institutions(PAPD); Priority Academic Program Development of Jiangsu Higher Education Institutions; Major Projects of Natural Science Research in Universities of Jiangsu [15KJA170004]; National Natural Science Foundation of China [41575057]; National Key R&amp;D Program of China [2016YFA0600702]</t>
  </si>
  <si>
    <t>Priority Academic Program Development of Jiangsu Higher Education Institutions(PAPD); Priority Academic Program Development of Jiangsu Higher Education Institutions; Major Projects of Natural Science Research in Universities of Jiangsu; National Natural Science Foundation of China(National Natural Science Foundation of China (NSFC)); National Key R&amp;D Program of China</t>
  </si>
  <si>
    <t>Priority Academic Program Development of Jiangsu Higher Education Institutions(PAPD); Priority Academic Program Development of Jiangsu Higher Education Institutions; Major Projects of Natural Science Research in Universities of Jiangsu, Grant/Award Number: 15KJA170004; National Natural Science Foundation of China, Grant/Award Number: 41575057; National Key R&amp;D Program of China, Grant/Award Number: 2016YFA0600702</t>
  </si>
  <si>
    <t>0899-8418</t>
  </si>
  <si>
    <t>1097-0088</t>
  </si>
  <si>
    <t>INT J CLIMATOL</t>
  </si>
  <si>
    <t>Int. J. Climatol.</t>
  </si>
  <si>
    <t>10.1002/joc.5981</t>
  </si>
  <si>
    <t>HW9ZJ</t>
  </si>
  <si>
    <t>WOS:000467048900013</t>
  </si>
  <si>
    <t>Charlton, C; Ward, R; McCauley, RD; Brownell, RL; Kent, CS; Burnell, S</t>
  </si>
  <si>
    <t>Charlton, Claire; Ward, Rhianne; McCauley, Robert D.; Brownell, Robert L., Jr.; Kent, Chandra Salgado; Burnell, Stephen</t>
  </si>
  <si>
    <t>Southern right whale (Eubalaena australis), seasonal abundance and distribution at Head of Bight, South Australia</t>
  </si>
  <si>
    <t>AQUATIC CONSERVATION-MARINE AND FRESHWATER ECOSYSTEMS</t>
  </si>
  <si>
    <t>abundance; conservation; distribution; management; marine reserve; seasonality; southern right whale</t>
  </si>
  <si>
    <t>Seasonal trends in the distribution and relative abundance of southern right whales (SRWs) Eubalaena australis, were assessed in Australia's largest calving aggregation ground at the Head of the Great Australian Bight, in the Commonwealth Marine Reserve, South Australia. Annual cliff-based surveys were undertaken between June and October from 1992 to 2016. SRWs were primarily distributed in a 15 km by 2 km area within the 10 m depth contour (with 95% of whale sightings made within a 10 km(2) area). The distribution of SRWs at Head of Bight varied within an individual season but was consistent among the years. The composition of SRW sightings was 70% female-calf pairs and 30% unaccompanied whales. Peak abundance occurred between mid-July and end-August for female-calf pairs and unaccompanied whales (juveniles or adults not accompanied by a calf), earlier than previously reported. A mean of 16% (range 8-28%, SD = 6.5, 95% CI = 0.15) of calving females were present at the site in mid-June and a mean of 37% (range 13-61%, SD = 15.8, 95% CI = 0.37) remained at the site at the end of September. Based on nearest-neighbour distances of 150 m, the area occupied by 95% of SRWs at Head of Bight could reach carrying capacity at 68 female and calf pairs. Results suggest that the primary aggregation area at Head of Bight may have reached saturation capacity and that habitat expansion can be expected as the population increases. This study provides information on SRW seasonal trends in distribution and abundance, timing of arrival and departure from the site and peak abundance periods relevant to application to conservation and marine park management. As management requirements increase with a growing population, there is a need to complete an Australia-wide assessment of SRW connectivity and habitat expansion.</t>
  </si>
  <si>
    <t>[Charlton, Claire; Ward, Rhianne; McCauley, Robert D.; Kent, Chandra Salgado] Curtin Univ Western Australia, Ctr Marine Sci &amp; Technol, Kent St, Perth, WA, Australia; [Brownell, Robert L., Jr.] NOAA Fisheries, Southwest Fisheries Sci Ctr, Monterey, CA USA; [Burnell, Stephen] Eubalaena Pty Ltd, Tennyson, SA, Australia</t>
  </si>
  <si>
    <t>Curtin University; National Oceanic Atmospheric Admin (NOAA) - USA</t>
  </si>
  <si>
    <t>Charlton, C (corresponding author), Curtin Univ Western Australia, Ctr Marine Sci &amp; Technol, Kent St, Perth, WA, Australia.</t>
  </si>
  <si>
    <t>claire.charlton@live.com.au</t>
  </si>
  <si>
    <t>Salgado Kent, Chandra/HHZ-2367-2022</t>
  </si>
  <si>
    <t>Salgado Kent, Chandra/0000-0002-3460-609X; Ward, Rhianne/0000-0001-8766-6523</t>
  </si>
  <si>
    <t>Australian Antarctic Division, Marine Mammal Centre [12/21]; Murphy Australia Oil Pty. Ltd. [RES-58756]; Santos Ltd. [RES-58756]</t>
  </si>
  <si>
    <t>Australian Antarctic Division, Marine Mammal Centre; Murphy Australia Oil Pty. Ltd.; Santos Ltd.</t>
  </si>
  <si>
    <t>Australian Antarctic Division, Marine Mammal Centre, Grant/Award Number: 12/21; Murphy Australia Oil Pty. Ltd., Grant/Award Number: RES-58756; Santos Ltd., Grant/Award Number: RES-58756</t>
  </si>
  <si>
    <t>1052-7613</t>
  </si>
  <si>
    <t>1099-0755</t>
  </si>
  <si>
    <t>AQUAT CONSERV</t>
  </si>
  <si>
    <t>Aquat. Conserv.-Mar. Freshw. Ecosyst.</t>
  </si>
  <si>
    <t>10.1002/aqc.3032</t>
  </si>
  <si>
    <t>Environmental Sciences; Marine &amp; Freshwater Biology; Water Resources</t>
  </si>
  <si>
    <t>Environmental Sciences &amp; Ecology; Marine &amp; Freshwater Biology; Water Resources</t>
  </si>
  <si>
    <t>HV4NF</t>
  </si>
  <si>
    <t>WOS:000465962300007</t>
  </si>
  <si>
    <t>Baas, P; van de Wiel, BJH; van Meijgaard, E; Vignon, E; Genthon, C; van der Linden, SJA; de Roode, SR</t>
  </si>
  <si>
    <t>Baas, Peter; van de Wiel, Bas J. H.; van Meijgaard, Erik; Vignon, Etienne; Genthon, Christophe; van der Linden, Steven J. A.; de Roode, Stephan R.</t>
  </si>
  <si>
    <t>Transitions in the wintertime near-surface temperature inversion at Dome C, Antarctica</t>
  </si>
  <si>
    <t>QUARTERLY JOURNAL OF THE ROYAL METEOROLOGICAL SOCIETY</t>
  </si>
  <si>
    <t>Antarctic atmosphere; observational data analysis; regime transition; single-column model; stable boundary layer</t>
  </si>
  <si>
    <t>ATMOSPHERIC BOUNDARY-LAYER; MODEL; PARAMETERS; TURBULENCE; CLIMATE; CLEAR</t>
  </si>
  <si>
    <t>In this work we study the dynamics of the surface-based temperature inversion over the Antarctic Plateau during the polar winter. Using 6 years of observations from the French-Italian Antarctic station Concordia at Dome C, we investigate sudden regime transitions in the strength of the near-surface temperature inversion. Here we define near-surface as being within the domain of the 45-m measuring tower. In particular, we consider the strongly nonlinear relation between the 10-m inversion strength (T-10m - T-s) and the 10-m wind speed. To this end, all individual events for which the 10-m inversion strength increases or decreases continuously by more than 15 K in time are considered. Composite time series and vertical profiles of wind and temperature reveal specific characteristics of the transition from weak to very strong inversions and vice versa. In contrast to midlatitudes, the largest variations in temperature are not found at the surface but at a height of 10 m. A similar analysis was performed on results from an atmospheric single-column model (SCM). Overall, the SCM results reproduce the observed characteristics of the transitions in the near-surface inversion remarkably well. Using model output, the underlying mechanisms of the regime transitions are identified. The nonlinear relation between inversion strength and wind speed at a given level is explained by variations in the geostrophic wind speed, changes in the depth of the turbulent layer and the vertical divergence of turbulent fluxes. Moreover, the transitions between different boundary layer regimes cannot be explained without considering the contribution of subsidence heating.</t>
  </si>
  <si>
    <t>[Baas, Peter; van de Wiel, Bas J. H.; van der Linden, Steven J. A.; de Roode, Stephan R.] Delft Univ Technol, Geosci &amp; Remote Sensing, POB 5048, NL-2628 CN Delft, Netherlands; [van Meijgaard, Erik] Royal Netherlands Meteorol Inst, Weather &amp; Climate Models, De Bilt, Netherlands; [Vignon, Etienne] Ecole Polytech Fed Lausanne, Environm Remote Sensing Lab, Lausanne, Switzerland; [Genthon, Christophe] Univ Grenoble Alpes, CNRS, IRD, Inst Geosci &amp; Environm Res, Grenoble, France; [Genthon, Christophe] PSL Res Univ, Sorbonne Univ, Ecole Normale Super, Ecole Polytech,CNRS,LMD,IPSL, Paris, France</t>
  </si>
  <si>
    <t>Delft University of Technology; Royal Netherlands Meteorological Institute; Swiss Federal Institutes of Technology Domain; Ecole Polytechnique Federale de Lausanne; Institut de Recherche pour le Developpement (IRD); Centre National de la Recherche Scientifique (CNRS); Communaute Universite Grenoble Alpes; Universite Grenoble Alpes (UGA); Universite PSL; Ecole Normale Superieure (ENS); Ecole des Ponts ParisTech; Sorbonne Universite; Universite Paris Cite; Centre National de la Recherche Scientifique (CNRS)</t>
  </si>
  <si>
    <t>Baas, P (corresponding author), Delft Univ Technol, Geosci &amp; Remote Sensing, POB 5048, NL-2628 CN Delft, Netherlands.</t>
  </si>
  <si>
    <t>p.baas@tudelft.nl</t>
  </si>
  <si>
    <t>van der Linden, Steven/ABB-9017-2021; van der Linden, Steven/HOC-7303-2023; de Roode, Stephan R/J-8611-2012</t>
  </si>
  <si>
    <t>van der Linden, Steven/0000-0001-9150-0892; van der Linden, Steven/0000-0001-9150-0892; VIGNON, Etienne/0000-0003-3801-9367</t>
  </si>
  <si>
    <t>H2020 European Research Council [648666]</t>
  </si>
  <si>
    <t>H2020 European Research Council(Horizon 2020European Research Council (ERC))</t>
  </si>
  <si>
    <t>H2020 European Research Council, Consolidator Grant 648666.</t>
  </si>
  <si>
    <t>0035-9009</t>
  </si>
  <si>
    <t>1477-870X</t>
  </si>
  <si>
    <t>Q J ROY METEOR SOC</t>
  </si>
  <si>
    <t>Q. J. R. Meteorol. Soc.</t>
  </si>
  <si>
    <t>A</t>
  </si>
  <si>
    <t>10.1002/qj.3450</t>
  </si>
  <si>
    <t>HU6TP</t>
  </si>
  <si>
    <t>WOS:000465414100003</t>
  </si>
  <si>
    <t>Renfrew, IA; Elvidge, AD; Edwards, JM</t>
  </si>
  <si>
    <t>Renfrew, Ian A.; Elvidge, Andrew D.; Edwards, John M.</t>
  </si>
  <si>
    <t>Atmospheric sensitivity to marginal-ice-zone drag: Local and global responses</t>
  </si>
  <si>
    <t>atmospheric boundary layer; MetUM; sea ice; surface drag; surface momentum flux</t>
  </si>
  <si>
    <t>COLD-AIR OUTBREAKS; BOUNDARY-LAYER MODIFICATION; SEA-ICE; SURFACE DRAG; FORM DRAG; HEAT; PARAMETERIZATION; FLUXES; VARIABILITY; MOMENTUM</t>
  </si>
  <si>
    <t>The impact of a physically based parametrization of atmospheric drag over the marginal ice zone (MIZ) is evaluated through a series of regional and global atmospheric model simulations. The sea-ice drag parametrization has recently been validated and tuned based on a large set of observations of surface momentum flux from the Barents Sea and Fram Strait. The regional simulations are from March 2013 and make use of a collection of cold-air outbreak observations in the vicinity of the MIZ for validation. The global model analysis uses multiple 48 h forecasts taken from a standard test suite of simulations. Our focus is on the response of the modelled atmosphere to changes in the drag coefficient over the MIZ. We find that the parametrization of drag has a significant impact on the simulated atmospheric boundary layer; for example, changing the surface momentum flux by typically 0.1-0.2Nm(-2) (comparable to the mean) and low-level temperatures by 2-3K in the vicinity of the MIZ. Comparisons against aircraft observations over and downwind of the MIZ show that simulations with the new sea-ice drag scheme generally have the lowest bias and lowest root-mean-square errors. The wind speed and temperature biases are reduced by up to 0.5ms(-1) and 2K respectively, compared to simulations with two settings of the previous drag scheme. In the global simulations the atmospheric response is widespread-impacting most of the Arctic and Antarctic sea-ice areas-with the largest changes in the vicinity of the MIZ and affecting the entire atmospheric boundary layer.</t>
  </si>
  <si>
    <t>[Renfrew, Ian A.; Elvidge, Andrew D.] Univ East Anglia, Sch Environm Sci, Norwich, Norfolk, England; [Elvidge, Andrew D.; Edwards, John M.] Met Off, Atmospher Proc &amp; Parameterizat, Exeter, Devon, England</t>
  </si>
  <si>
    <t>University of East Anglia; Met Office - UK</t>
  </si>
  <si>
    <t>Renfrew, IA (corresponding author), Univ East Anglia, Sch Environm Sci, Ctr Ocean &amp; Atmospher Sci, Norwich Res Pk, Norwich NR4 7TJ, Norfolk, England.</t>
  </si>
  <si>
    <t>i.renfrew@uea.ac.uk</t>
  </si>
  <si>
    <t>Renfrew, Ian A/E-4057-2010</t>
  </si>
  <si>
    <t>Elvidge, Andrew/0000-0002-7099-902X; Renfrew, Ian/0000-0001-9379-8215</t>
  </si>
  <si>
    <t>Natural Environment Research Council [NE/I028297/1, NE/N009754/1]; NERC [NE/I028297/1, NE/N009754/1] Funding Source: UKRI</t>
  </si>
  <si>
    <t>Natural Environment Research Council(UK Research &amp; Innovation (UKRI)Natural Environment Research Council (NERC)); NERC(UK Research &amp; Innovation (UKRI)Natural Environment Research Council (NERC))</t>
  </si>
  <si>
    <t>Natural Environment Research Council, NE/I028297/1, NE/N009754/1.</t>
  </si>
  <si>
    <t>10.1002/qj.3486</t>
  </si>
  <si>
    <t>Green Accepted, hybrid</t>
  </si>
  <si>
    <t>WOS:000465414100017</t>
  </si>
  <si>
    <t>Kwon, H; Park, SJ; Lee, S; Kim, BM; Choi, T; Kim, SJ</t>
  </si>
  <si>
    <t>Kwon, Hataek; Park, Sang-Jong; Lee, Solji; Kim, Baek-Min; Choi, Taejin; Kim, Seong-Joong</t>
  </si>
  <si>
    <t>A numerical simulation of a strong wind event in January 2013 at King Sejong station, Antarctica</t>
  </si>
  <si>
    <t>Antarctic Peninsula; depression; Polar WRF; strong wind event</t>
  </si>
  <si>
    <t>POLAR WEATHER RESEARCH; FORECASTING WRF MODEL; SEMIANNUAL OSCILLATION; CASEY-STATION; PART I; SYSTEM; PERFORMANCE; CONVECTION</t>
  </si>
  <si>
    <t>A strong wind event (SWE), so-called severe gale, with a 10 min average wind speed of above 22m/s occurred on 7 January 2013 at the King Sejong station (KSJ) on the tip of the Antarctic Peninsula (AP). We examine the cause of the SWE and assess the short-term predictability of such an event, using the state-of-the-art Polar Weather Research and Forecasting (Polar WRF) model. The simulation results, initialized at 0000UTC 6 January 2013, the day prior to the occurrence of the SWE, produce the most accurate representation of the SWE in terms of strength (approximate to 94% of the peak wind speed). Both model results and observational records reveal that the SWE is mainly caused by the approach of a deep depression with the central pressure of 950hPa. On top of this synoptic configuration, a particular shape of topography of the AP plays a non-negligible role for further intensification of the wind at KSJ. As the cyclone approaches the AP, the sea-level pressure becomes lower and is deformed around the AP due to the topography, driving southeasterly winds traversing the AP. The continuous flow overriding the AP generates a downslope windstorm at the lee side of the AP. The windstorm effect driven by the deformation of sea-level pressure by the topography of the AP is not properly represented in the coarser-resolution (27km) model domain compared with higher (3 and 9km) resolutions. We conclude that the SWE at KSJ on 7 January 2013 is caused by the combined effect of a synoptic-scale low-pressure system with local topography of the AP.</t>
  </si>
  <si>
    <t>[Kwon, Hataek; Park, Sang-Jong; Lee, Solji; Choi, Taejin; Kim, Seong-Joong] Korea Polar Res Inst, Div Polar Climate Sci, Incheon, South Korea; [Kim, Baek-Min] Pukyong Natl Univ, Dept Environm Atmospher Sci, Busan, South Korea</t>
  </si>
  <si>
    <t>Korea Polar Research Institute (KOPRI); Pukyong National University</t>
  </si>
  <si>
    <t>Kim, SJ (corresponding author), Korea Polar Res Inst, 26 Songdomirae Ro, Incheon 21990, South Korea.</t>
  </si>
  <si>
    <t>seongjkim@kopri.re.kr</t>
  </si>
  <si>
    <t>Park, Sang-Jong/B-7049-2011</t>
  </si>
  <si>
    <t>Kim, Seong-joong/0000-0002-6232-8082</t>
  </si>
  <si>
    <t>Korea Polar Research Institute [PE19010]</t>
  </si>
  <si>
    <t>Korea Polar Research Institute, PE19010.</t>
  </si>
  <si>
    <t>10.1002/qj.3496</t>
  </si>
  <si>
    <t>WOS:000465414100023</t>
  </si>
  <si>
    <t>Cvetkovska, M; Orgnero, S; Hüner, NPA; Smith, DR</t>
  </si>
  <si>
    <t>Cvetkovska, Marina; Orgnero, Shane; Huner, Norman P. A.; Smith, David Roy</t>
  </si>
  <si>
    <t>The enigmatic loss of light-independent chlorophyll biosynthesis from an Antarctic green alga in a light-limited environment</t>
  </si>
  <si>
    <t>Chlamydomonas sp. UWO241; chlorophyll; DPOR; photosynthesis; psychrophile</t>
  </si>
  <si>
    <t>SP UWO 241; PROTOCHLOROPHYLLIDE REDUCTASE; EVOLUTIONARY DYNAMICS; LAKE BONNEY; CHLAMYDOMONAS; PSYCHROPHILE; DIVERSITY; DARK; OXIDOREDUCTASE; ACCLIMATION</t>
  </si>
  <si>
    <t>[Cvetkovska, Marina; Orgnero, Shane; Huner, Norman P. A.; Smith, David Roy] Univ Western Ontario, Dept Biol, London, ON N6A 5B7, Canada</t>
  </si>
  <si>
    <t>Western University (University of Western Ontario)</t>
  </si>
  <si>
    <t>Smith, DR (corresponding author), Univ Western Ontario, Dept Biol, London, ON N6A 5B7, Canada.</t>
  </si>
  <si>
    <t>dsmit242@uwo.ca</t>
  </si>
  <si>
    <t>Smith, David Roy/AAR-1529-2020; Smith, David Roy/L-7910-2015</t>
  </si>
  <si>
    <t>Smith, David Roy/0000-0001-9560-5210; Smith, David Roy/0000-0001-9560-5210; Cvetkovska, Marina/0000-0002-7080-8203</t>
  </si>
  <si>
    <t>NSERC; Canadian Foundation for Innovation; Canada Research Chairs Program</t>
  </si>
  <si>
    <t>NSERC(Natural Sciences and Engineering Research Council of Canada (NSERC)); Canadian Foundation for Innovation(Canada Foundation for Innovation); Canada Research Chairs Program(Canada Research Chairs)</t>
  </si>
  <si>
    <t>NPAH and DRS are funded by Discovery Grants from NSERC. NPAH is grateful for support through the Canadian Foundation for Innovation and The Canada Research Chairs Program.</t>
  </si>
  <si>
    <t>10.1111/nph.15623</t>
  </si>
  <si>
    <t>HU7FK</t>
  </si>
  <si>
    <t>WOS:000465446300003</t>
  </si>
  <si>
    <t>Yan, JG; Liu, SH; Yang, X; Xiao, C; Ye, M; Jin, WT; Li, F; Barriot, JP</t>
  </si>
  <si>
    <t>Yan, Jianguo; Liu, Shanhong; Yang, Xuan; Xiao, Chi; Ye, Mao; Jin, Weitong; Li, Fei; Barriot, Jean-Pierre</t>
  </si>
  <si>
    <t>MERcury Gravity REcovery and Analysis System (MERGREAS) and its performances from simulated four-way Doppler measurements</t>
  </si>
  <si>
    <t>ASTROPHYSICS AND SPACE SCIENCE</t>
  </si>
  <si>
    <t>Mercury; Two-way Doppler; Four-way Doppler; Precise orbit determination; Mercury tidal Love number</t>
  </si>
  <si>
    <t>INTERIOR STRUCTURE; FIELD; ROTATION</t>
  </si>
  <si>
    <t>The exploration of the planet Mercury requires software applications that can execute Precise Orbit Determination (POD) and estimate dynamic parameter solutions. In this paper, we present MERcury Gravity REcovery and Analysis System (MERGREAS), a new software product that is designed to support the future Chinese Mercury explorations. To validate the software we crosschecked the MERGREAS functionalities against the GEODYN-II. Simulated orbit determination experiments show that the differences between MERGREAS and GEODYN-II in the X, Y, and Z directions were 0.2, 0.7, and 0.5 m respectively with the arc length of 24 h. The integration interval for both software platforms was 10s. The MERGREAS software can utilize four-way Doppler measurements for spacecraft orbit determination as well as precise positioning of a Mercury lander. In simulations, we show that when the four-way Doppler data are included, the accuracy in Mercury spacecraft orbit determination can reach the centimeter level and the lander positioning accuracy can be refined to decimeter level. Furthermore, when we considered the influence of the Mercury gravity errors, measurement bias, and Mercury orientation model errors in POD with MERGREAS, the errors in the orbiter position ranged as high as 300 meters with a lander position deviation of about 10 meters. The Mercury gravity field solution was improved and the accuracy of the Mercury tidal Love number k(2) increased by an order of magnitude when simulated four-way Doppler data were added. The more precise k(2) value enhanced the accuracy of the constraints used in internal physical parameters estimation for Mercury. These results provide a reference for future Chinese Mercury exploration missions.</t>
  </si>
  <si>
    <t>[Yan, Jianguo; Liu, Shanhong; Yang, Xuan; Ye, Mao; Jin, Weitong; Li, Fei; Barriot, Jean-Pierre] Wuhan Univ, State Key Lab Informat Engn Surveying Mapping &amp; R, 129 Luoyu Rd, Wuhan 430070, Hubei, Peoples R China; [Yan, Jianguo] Xian Satellite Control Ctr, State Key Lab Astronaut Dynam, Xian 710000, Shaanxi, Peoples R China; [Xiao, Chi] Wuhan Univ, Chinese Antarctic Ctr Surveying &amp; Mapping, Wuhan 430079, Hubei, Peoples R China; [Barriot, Jean-Pierre] Observ Geodes Tahiti, BP 6570, F-98702 Tahiti, French Polynesi, France</t>
  </si>
  <si>
    <t>Wuhan University; Wuhan University</t>
  </si>
  <si>
    <t>Yan, JG; Ye, M (corresponding author), Wuhan Univ, State Key Lab Informat Engn Surveying Mapping &amp; R, 129 Luoyu Rd, Wuhan 430070, Hubei, Peoples R China.;Yan, JG (corresponding author), Xian Satellite Control Ctr, State Key Lab Astronaut Dynam, Xian 710000, Shaanxi, Peoples R China.</t>
  </si>
  <si>
    <t>jgyan@whu.edu.cn; mye@whu.edu.cn</t>
  </si>
  <si>
    <t>Xiao, Chi/AFD-1063-2022; Barriot, Jean-Pierre/AAD-6709-2021; liu, shanhong/HHC-0630-2022</t>
  </si>
  <si>
    <t>Barriot, Jean-Pierre/0000-0002-2112-9685; liu, shanhong/0000-0002-2022-3389</t>
  </si>
  <si>
    <t>National Scientific Foundation of China [U1831132, 41874010, 41804025]; Innovation Group of Natural Fund of Hubei Province [2018CFA087]; Astro Dynamic Laboratory [2016ADL-DW0103]; Macau University of Science and Technology [FDCT 119/2017/A3]; DAR grant in planetology from the French Space Agency (CNES)</t>
  </si>
  <si>
    <t>National Scientific Foundation of China(National Natural Science Foundation of China (NSFC)); Innovation Group of Natural Fund of Hubei Province; Astro Dynamic Laboratory; Macau University of Science and Technology; DAR grant in planetology from the French Space Agency (CNES)</t>
  </si>
  <si>
    <t>We appreciate Prof. Shuanggen Jin from Shanghai Astronomical Observatory to provide advice in this research. We thank the Mr. Stephen C. McClure, a native English speaker and researcher, and Dr. Yiqun Dai from Wuhan University to help polish this paper. The work is supported by National Scientific Foundation of China (U1831132, 41874010, 41804025) and Innovation Group of Natural Fund of Hubei Province (2018CFA087). This work is also supported by the Open Funding of Astro Dynamic Laboratory (No. 2016ADL-DW0103) and the Open Funding of Macau University of Science and Technology (FDCT 119/2017/A3). JPB is funded by a DAR grant in planetology from the French Space Agency (CNES). The GEODYN-II is authorized by GSFC/NASA and we run it in workstation in Shanghai Astronomical Observatory. The numerical calculations of MERGREAS have been done on the supercomputing system in the Supercomputing Center of Wuhan University.</t>
  </si>
  <si>
    <t>0004-640X</t>
  </si>
  <si>
    <t>1572-946X</t>
  </si>
  <si>
    <t>ASTROPHYS SPACE SCI</t>
  </si>
  <si>
    <t>Astrophys. Space Sci.</t>
  </si>
  <si>
    <t>10.1007/s10509-019-3548-6</t>
  </si>
  <si>
    <t>HT7SW</t>
  </si>
  <si>
    <t>WOS:000464765700005</t>
  </si>
  <si>
    <t>Lamont, T; van den Berg, MA; Tutt, GCO; Ansorge, IJ</t>
  </si>
  <si>
    <t>Lamont, T.; van den Berg, M. A.; Tutt, G. C. O.; Ansorge, I. J.</t>
  </si>
  <si>
    <t>Impact of deep-ocean eddies and fronts on the shelf seas of a sub-Antarctic Archipelago: The Prince Edward Islands</t>
  </si>
  <si>
    <t>CONTINENTAL SHELF RESEARCH</t>
  </si>
  <si>
    <t>Prince Edward Islands; Sub-Antarctic Front; Antarctic Polar Front; Mesoscale eddies; Hydrography; Moorings; Satellite altimetry</t>
  </si>
  <si>
    <t>SOUTHERN-OCEAN; VARIABILITY; ENVIRONMENT; DYNAMICS; SATELLITE; MARION</t>
  </si>
  <si>
    <t>Ecosystems within the Southern Ocean, such as the Prince Edward Islands (PEIs), fulfil a pivotal role in sustaining rich environments with large populations of top predators. Many of these have already undergone dramatic shifts in response to changes in climate, highlighting the crucial need to enhance our understanding of drivers of oceanographic variability in the region, as well as their impacts on biological communities. Daily averaged bottom temperatures and water-column current speeds from two moorings in the inter-island region, between April 2014 and April 2018, present the first continuous set of high temporal resolution in situ measurements at the PEIs. These data were investigated to determine the influence of passing deep-sea mesoscale eddies and fronts on hydrographic conditions on the inter-island shelf. Warming/cooling events of the order of 0.5-2 degrees C, sometimes lasting longer than 30 days at a time, concomitant with changes in current speed and direction were associated with advection of waters into the shelf region from passing anticyclonic/cyclonic eddies. Similarly, the impact of frontal movement was quantified by increased current speeds throughout the water column when the southern branch of the sub-Antarctic Front (S-SAF), or the northern branch of the Antarctic Polar Front was in close proximity to the islands. When the S-SAF was located north of the PEIs, bottom temperatures were overall lower due to the stronger influx of Antarctic surface and intermediate waters. In contrast, when the S-SAF was close to or south of the PEIs, bottom temperatures were elevated as a result of the occurrence of larger proportions of warmer, more saline surface and intermediate sub-Antarctic and even Subtropical waters. Notably, the predominance of westerly flow in the southern portion of inter-island region suggested the perpetual existence of a Taylor column which was at times enhanced by the juxtaposition of some eddies.</t>
  </si>
  <si>
    <t>[Lamont, T.; van den Berg, M. A.; Tutt, G. C. O.] Dept Environm Affairs, Oceans &amp; Coasts Res Branch, Private Bag X4390, ZA-8000 Cape Town, South Africa; [Lamont, T.; Ansorge, I. J.] Univ Cape Town, Oceanog Dept, Private Bag X3, ZA-7701 Rondebosch, South Africa; [Lamont, T.; Ansorge, I. J.] Univ Cape Town, Marine Res Inst, Private Bag X3, ZA-7701 Rondebosch, South Africa</t>
  </si>
  <si>
    <t>Department of Environment, Forestry &amp; Fisheries; University of Cape Town; University of Cape Town</t>
  </si>
  <si>
    <t>Lamont, T (corresponding author), Dept Environm Affairs, Oceans &amp; Coasts Res Branch, Private Bag X4390, ZA-8000 Cape Town, South Africa.</t>
  </si>
  <si>
    <t>tlamont@environment.gov.za</t>
  </si>
  <si>
    <t>ANSORGE, ISABELLE/AAY-7396-2020</t>
  </si>
  <si>
    <t>Ansorge, Isabelle/0000-0001-7071-8147; Lamont, Tarron/0000-0001-8464-891X</t>
  </si>
  <si>
    <t>South African National Research Foundation (NRF) [93081, 110733]</t>
  </si>
  <si>
    <t>South African National Research Foundation (NRF)(National Research Foundation - South Africa)</t>
  </si>
  <si>
    <t>We sincerely thank the Captain, officers and crew of the SA Agulhas II for their excellent and efficient support and co-operation during cruises, as well as all the scientific and technical staff of the Oceans &amp; Coasts Research Branch of the South African Department of Environmental Affairs (DEA), and staff and students from the Oceanography Department of the University of Cape Town (UCT), who participated in the data collection. DEA, and the SAMOC programme, funded by the South African National Research Foundation (NRF Grant Numbers 93081 and 110733), are also thanked for funding support, administrative and logistical assistance.</t>
  </si>
  <si>
    <t>0278-4343</t>
  </si>
  <si>
    <t>1873-6955</t>
  </si>
  <si>
    <t>CONT SHELF RES</t>
  </si>
  <si>
    <t>Cont. Shelf Res.</t>
  </si>
  <si>
    <t>10.1016/j.csr.2019.03.001</t>
  </si>
  <si>
    <t>HT7VC</t>
  </si>
  <si>
    <t>WOS:000464771500001</t>
  </si>
  <si>
    <t>Philpot, SM; Lavers, JL; Nugegoda, D; Gilmour, ME; Hutton, I; Bond, AL</t>
  </si>
  <si>
    <t>Philpot, Susan M.; Lavers, Jennifer L.; Nugegoda, Dayanthi; Gilmour, Morgan E.; Hutton, Ian; Bond, Alexander L.</t>
  </si>
  <si>
    <t>Trace element concentrations in feathers of seven petrels (Pterodroma spp.)</t>
  </si>
  <si>
    <t>ENVIRONMENTAL SCIENCE AND POLLUTION RESEARCH</t>
  </si>
  <si>
    <t>Feathers; Lead; Petrels; Procellariiformes; Selenium; Zinc</t>
  </si>
  <si>
    <t>SHEARWATERS PUFFINUS-CARNEIPES; HEAVY-METALS; MERCURY CONCENTRATIONS; SELENIUM CONCENTRATIONS; BONIN PETREL; BIRDS; LEAD; BIOACCUMULATION; KERGUELEN; SEABIRDS</t>
  </si>
  <si>
    <t>Gadfly petrels (Pterodroma spp.) are one of the most threatened and poorly studied seabird groups, and as marine predators, are exposed to biomagnified and bioaccumulated chemical pollutants from their prey. We quantified trace element concentrations in breast feathers of seven petrel species that breed in the southern hemisphere to quantify current concentrations. Selenium (Se) concentrations were significantly lower in chicks than adults; this was not observed for zinc (Zn) or lead (Pb). Overall, the species examined here exhibited similar concentrations of Se, with Pb and Zn concentrations more variable among species. The mean Se concentration in adult birds exceeded those thought to be potentially deleterious, and three species had concentrations that were above the assumed threshold for Pb toxicity. Further investigation of potentially toxic trace elements in gadfly petrels is warranted.</t>
  </si>
  <si>
    <t>[Philpot, Susan M.; Lavers, Jennifer L.; Bond, Alexander L.] Univ Tasmania, Inst Marine &amp; Antarctic Studies, 20 Castray Esplanade, Hobart, Tas 7004, Australia; [Nugegoda, Dayanthi] RMIT Univ, Sch Sci, GPO Box 71, Bundoora, Vic, Australia; [Gilmour, Morgan E.] Univ Calif Santa Cruz, Ocean Sci Dept, Santa Cruz, CA 95060 USA; [Hutton, Ian] Lord Howe Isl Museum, POB 157, Lord Howe Isl, NSW 2898, Australia; [Bond, Alexander L.] Royal Soc Protect Birds, RSPB Ctr Conservat Sci, Sandy SG19 2DL, Beds, England; [Bond, Alexander L.] Nat Hist Museum, Dept Life Sci, Bird Grp, Akeman St, Tring HP23 6AP, Herts, England</t>
  </si>
  <si>
    <t>University of Tasmania; Royal Melbourne Institute of Technology (RMIT); University of California System; University of California Santa Cruz; Royal Society for Protection of Birds; Natural History Museum London</t>
  </si>
  <si>
    <t>Lavers, JL (corresponding author), Univ Tasmania, Inst Marine &amp; Antarctic Studies, 20 Castray Esplanade, Hobart, Tas 7004, Australia.</t>
  </si>
  <si>
    <t>Jennifer.Lavers@utas.edu.au</t>
  </si>
  <si>
    <t>Bond, Alexander L/A-3786-2010; Lavers, Jennifer/O-4831-2017; Gilmour, Morgan/AAJ-5877-2020; Lavers, Jennifer/IWM-5417-2023</t>
  </si>
  <si>
    <t>Lavers, Jennifer/0000-0001-7596-6588; Gilmour, Morgan/0000-0002-2618-1095; Nugegoda, Dayanthi/0000-0002-6327-4581</t>
  </si>
  <si>
    <t>David &amp; Lucille Packard Foundation; Darwin Initiative; Farallon Islands Foundation; British Birds; Royal Society for the Protection of Birds; UK partner in BirdLife International</t>
  </si>
  <si>
    <t>David &amp; Lucille Packard Foundation(The David &amp; Lucile Packard Foundation); Darwin Initiative; Farallon Islands Foundation; British Birds; Royal Society for the Protection of Birds; UK partner in BirdLife International</t>
  </si>
  <si>
    <t>This research was undertaken with approval from the University of Tasmania Animal Ethics Committee (permit no. A13836 and A150319). The 2015 Henderson Island expedition was funded by the David &amp; Lucille Packard Foundation, the Darwin Initiative, the Farallon Islands Foundation, British Birds and several private donors. We thank the Pitcairn Islands Environmental, Conservation, and Natural Resources Division for permission to work on Henderson Island, and S. Oppel for generous support in the field. Our thanks to Ovenstone Agencies (Pty) Ltd. and the South African Department of Environmental Affairs (South African National Antarctic Program, SANAP) for logistical support and transport to Tristan da Cunha. The Royal Society for the Protection of Birds, the UK partner in BirdLife International, funded the Tristan da Cunha component of this research. We thank the Tristan da Cunha Conservation Department for granting permission for sample collection, and D. Fox and C. Taylor (Tristan Conservation Department) for assisting with sample collection. Finally, we thank the Western Australian Department of Parks and Wildlife for assistance on Breaksea Island and A. Finger, P. Morrison and C. Trestrail for analytical support. Comments from two anonymous reviewers improved on earlier versions of this manuscript.</t>
  </si>
  <si>
    <t>0944-1344</t>
  </si>
  <si>
    <t>1614-7499</t>
  </si>
  <si>
    <t>ENVIRON SCI POLLUT R</t>
  </si>
  <si>
    <t>Environ. Sci. Pollut. Res.</t>
  </si>
  <si>
    <t>10.1007/s11356-019-04406-9</t>
  </si>
  <si>
    <t>HT8YW</t>
  </si>
  <si>
    <t>WOS:000464852200020</t>
  </si>
  <si>
    <t>Kulk, G; Buist, A; van de Poll, WH; Rozema, PD; Buma, AGJ</t>
  </si>
  <si>
    <t>Kulk, Gemma; Buist, Anton; van de Poll, Willem H.; Rozema, Patrick D.; Buma, Anita G. J.</t>
  </si>
  <si>
    <t>Size scaling of photophysiology and growth in four freshly isolated diatom species from Ryder Bay, western Antarctic peninsula</t>
  </si>
  <si>
    <t>JOURNAL OF PHYCOLOGY</t>
  </si>
  <si>
    <t>carbon uptake; diatoms; electron transport; photophysiology; size scaling; west Antarctic peninsula</t>
  </si>
  <si>
    <t>SOUTHERN-OCEAN PHYTOPLANKTON; FRAGILARIOPSIS-CYLINDRUS BACILLARIOPHYCEAE; NORTHERN MARGUERITE BAY; PHAEOCYSTIS-ANTARCTICA; CHLOROPHYLL FLUORESCENCE; INTERANNUAL VARIABILITY; DIADINOXANTHIN CYCLE; EXCESSIVE IRRADIANCE; TAXA PHOTOSYNTHESIS; ELECTRON-TRANSPORT</t>
  </si>
  <si>
    <t>Diatoms are one of the dominant groups in phytoplankton communities of the western Antarctic Peninsula (WAP). Although generally well-studied, little is known about size dependent photophysiological responses in diatom bloom formation and succession. To increase this understanding, four Antarctic diatom species covering two orders of magnitude in cell size were isolated in northern Marguerite Bay (WAP). Fragilariopsis sp., Pseudo-nitzschia cf. subcurvata, Thalassiosira cf. antarctica, and Proboscia cf. alata were acclimated to three different irradiances after which photophysiology, electron transport, carbon fixation, and growth were assessed. The small species Fragilariopsis sp., Pseudo-nitzschia cf. subcurvata, and large species Proboscia cf. alata showed similar photoacclimation to higher irradiances with a decrease in cellular chlorophyll a and an increase in chlorophyll a specific absorption and xanthophyll cycle pigments and activity. In contrast, pigment concentrations and absorption remained unaffected by higher irradiances in the large species Thalassiosira cf. antarctica. Overall, the small species showed significantly higher growth rates compared to the large species, which was related to relatively high light harvesting capacity and electron transport rates in the smaller species. However, photophysiological responses related to photoinhibition and photoprotection and carbon fixation showed no relationship with cell size. This study supports the dominance of small diatoms at low irradiances during winter and early spring, but does not provide photophysiological evidence for the dominance of large diatoms during the phytoplankton bloom in the WAP. This suggests that other factors such as grazing and nutrient availability are likely to play a major role in diatom bloom formation.</t>
  </si>
  <si>
    <t>[Kulk, Gemma; Buist, Anton; van de Poll, Willem H.; Rozema, Patrick D.; Buma, Anita G. J.] Univ Groningen, Energy &amp; Sustainabil Res Inst Groningen, Dept Ocean Ecosyst, Nijenborgh 7, NL-9747 AG Groningen, Netherlands; [Buma, Anita G. J.] Univ Groningen, Fac Arts, Arctic Ctr, Aweg 30, NL-9718 CW Groningen, Netherlands</t>
  </si>
  <si>
    <t>University of Groningen; University of Groningen</t>
  </si>
  <si>
    <t>Kulk, G (corresponding author), Univ Groningen, Energy &amp; Sustainabil Res Inst Groningen, Dept Ocean Ecosyst, Nijenborgh 7, NL-9747 AG Groningen, Netherlands.</t>
  </si>
  <si>
    <t>g.kulk@rug.nl</t>
  </si>
  <si>
    <t>Rozema, Patrick D/J-9546-2016; Buma, Anita GJ/E-8372-2015</t>
  </si>
  <si>
    <t>van de Poll, Willem/0000-0003-4095-4338; Kulk, Gemma/0000-0002-0224-7547</t>
  </si>
  <si>
    <t>Netherlands Organization for Scientific Research (NWO), Netherlands Polar Programme [866.14.103, 866.12.408, 866.10.105]</t>
  </si>
  <si>
    <t>Netherlands Organization for Scientific Research (NWO), Netherlands Polar Programme</t>
  </si>
  <si>
    <t>We thank Maria van Leeuwe for analysis of POC and the station and support staff at Rothera Research Station and the British Antarctic Survey who were involved in the summer 2013/2014 field campaign. This work was supported by the Netherlands Organization for Scientific Research (NWO) as part of the Netherlands Polar Programme, grant number 866.14.103 (GK), grant number 866.12.408 (WHP), and grant number 866.10.105 (PDR).</t>
  </si>
  <si>
    <t>0022-3646</t>
  </si>
  <si>
    <t>1529-8817</t>
  </si>
  <si>
    <t>J PHYCOL</t>
  </si>
  <si>
    <t>J. Phycol.</t>
  </si>
  <si>
    <t>10.1111/jpy.12813</t>
  </si>
  <si>
    <t>Plant Sciences; Marine &amp; Freshwater Biology</t>
  </si>
  <si>
    <t>HU2JK</t>
  </si>
  <si>
    <t>WOS:000465097000006</t>
  </si>
  <si>
    <t>Family-level variation in early life-cycle traits of kelp</t>
  </si>
  <si>
    <t>adaptive potential; climate change; early life-history traits; Ecklonia radiata; genotype x environment; kelp; morphology; photosynthesis</t>
  </si>
  <si>
    <t>HABITAT-FORMING KELP; PHENOTYPIC PLASTICITY; CLIMATE-CHANGE; NATURAL-SELECTION; BIOGEOGRAPHIC VARIATION; GENETIC ARCHITECTURE; MACROCYSTIS-PYRIFERA; MARINE INVERTEBRATE; ECKLONIA-RADIATA; OFFSPRING SIZE</t>
  </si>
  <si>
    <t>Temperate kelp forests (Laminarians) are threatened by temperature stress due to ocean warming and photoinhibition due to increased light associated with canopy loss. However, the potential for evolutionary adaptation in kelp to rapid climate change is not well known. This study examined family-level variation in physiological and photosynthetic traits in the early life-cycle stages of the ecologically important Australasian kelp Ecklonia radiata and the response of E. radiata families to different temperature and light environments using a family x environment design. There was strong family-level variation in traits relating to morphology (surface area measures, branch length, branch count) and photosynthetic performance (F-v/F-m) in both haploid (gametophyte) and diploid (sporophyte) stages of the life-cycle. Additionally, the presence of family x environment interactions showed that offspring from different families respond differently to temperature and light in the branch length of male gametophytes and oogonia surface area of female gametophytes. Negative responses to high temperatures were stronger for females vs. males. Our findings suggest E. radiata may be able to respond adaptively to climate change but studies partitioning the narrow vs. broad sense components of heritable variation are needed to establish the evolutionary potential of E. radiata to adapt under climate change.</t>
  </si>
  <si>
    <t>[Mabin, Christopher J. T.] Univ Tasmania, Inst Marine &amp; Antarct Studies, Launceston, Tas 7250, Australia; [Johnson, Craig R.; Wright, Jeffrey T.] Univ Tasmania, Inst Marine &amp; Antarctic Studies, Hobart, Tas 7001, Australia</t>
  </si>
  <si>
    <t>Mabin, CJT (corresponding author), Univ Tasmania, Inst Marine &amp; Antarct Studies, Launceston, Tas 7250, Australia.</t>
  </si>
  <si>
    <t>This research was supported by funds awarded to C. Johnson and J. Wright from the Australian Research Council (DP1096573). C. Mabin was supported by the UTAS PhD program and received scholarship support from the Institute for Marine and Antarctic Studies, University of Tasmania. We also thank Andy McMinn for supplying and providing support with microscopy PAM and Emma Flukes, Masayuki Tatsumi, and Rebecca Mueller for assistance in the field and laboratory and D. Aguirre for advice and guidance with variance-covariance matrices and linear mixed models. The authors have no conflict of interest to declare.</t>
  </si>
  <si>
    <t>10.1111/jpy.12820</t>
  </si>
  <si>
    <t>WOS:000465097000011</t>
  </si>
  <si>
    <t>Polito, MJ; Trivelpiece, WZ; Reiss, CS; Trivelpiece, SG; Hinke, JT; Patterson, WP; Emslie, SD</t>
  </si>
  <si>
    <t>Polito, Michael J.; Trivelpiece, Wayne Z.; Reiss, Christian S.; Trivelpiece, Susan G.; Hinke, Jefferson T.; Patterson, William P.; Emslie, Steven D.</t>
  </si>
  <si>
    <t>Intraspecific variation in a dominant prey species can bias marine predator dietary estimates derived from stable isotope analysis</t>
  </si>
  <si>
    <t>LIMNOLOGY AND OCEANOGRAPHY-METHODS</t>
  </si>
  <si>
    <t>SOUTH-SHETLAND ISLANDS; KING-GEORGE-ISLAND; ANCHOVY ENGRAULIS-JAPONICUS; ONTOGENIC NICHE EXPANSION; PRYDZ BAY-REGION; ANTARCTIC PETRELS; EUPHAUSIA-SUPERBA; FEEDING ECOLOGY; TROPHIC RELATIONSHIPS; PYGOSCELID PENGUINS</t>
  </si>
  <si>
    <t>It is often assumed that variation in consumer stable isotope values (delta N-15 and delta C-13) reflect shifts in diet between isotopically distinct prey species. However, an alternate hypothesis is that such variation could be as a result of spatial, temporal, or ontogenetic variation in the stable isotope values of a key prey species that propagate up marine food chains. In the Southern Ocean, Antarctic krill (Euphausia superba) occupy a key position, linking primary production to secondary consumers including fish, squid, seabirds, and marine mammals. As such Antarctic krill represent an ideal prey species to test the critical assumptions behind what has become a common method of dietary analysis in marine predators. Similar to previous studies, we found that stable isotope values of Antarctic krill exhibit significant intraspecific variation associated with both ontogenetic (size) and oceanographic factors (chlorophyll a concentration). Our modeling results showed that intraspecific variation in the stable isotope values of Antarctic krill has the potential to force mean isotope values of krill predators by as much as 2.4 parts per thousand, independent of changes in the species composition of diet. Our findings indicate that intraspecific variation in the stable isotope values of a single, dominate prey species, such as Antarctic krill, has the potential to bias both absolute and relative estimates of marine predator diets using stable isotope mixing models. Therefore, caution is warranted to avoid spatial, temporal, and ontogenetic mismatches between the stable isotope values of prey sources used in mixing models and the actual stable isotope values of prey consumed by marine predators.</t>
  </si>
  <si>
    <t>[Polito, Michael J.] Louisiana State Univ, Dept Oceanog &amp; Coastal Sci, Baton Rouge, LA 70803 USA; [Trivelpiece, Wayne Z.; Reiss, Christian S.; Trivelpiece, Susan G.; Hinke, Jefferson T.] Natl Ocean &amp; Atmospher Adm, Natl Marine Fisheries Serv, Antarctic Ecosyst Res Div, Southwest Fisheries Sci Ctr, La Jolla, CA USA; [Patterson, William P.] Univ Saskatchewan, Dept Geol Sci, Saskatchewan Isotope Lab, Saskatoon, SK, Canada; [Emslie, Steven D.] Univ N Carolina, Dept Biol &amp; Marine Biol, Wilmington, NC USA</t>
  </si>
  <si>
    <t>Louisiana State University System; Louisiana State University; National Oceanic Atmospheric Admin (NOAA) - USA; University of Saskatchewan; University of North Carolina; University of North Carolina Wilmington</t>
  </si>
  <si>
    <t>Polito, MJ (corresponding author), Louisiana State Univ, Dept Oceanog &amp; Coastal Sci, Baton Rouge, LA 70803 USA.</t>
  </si>
  <si>
    <t>mpolito@lsu.edu</t>
  </si>
  <si>
    <t>, Jefferson/AAG-1702-2021; Polito, Michael/G-9118-2012</t>
  </si>
  <si>
    <t>, Jefferson/0000-0002-3600-1414; Polito, Michael/0000-0001-8639-4431</t>
  </si>
  <si>
    <t>U.S. National Science Foundation Office of Polar Programs [ANT-1443585, ANT-0739575, ANT-0344275]; U.S. AMLR program</t>
  </si>
  <si>
    <t>U.S. National Science Foundation Office of Polar Programs(National Science Foundation (NSF)); U.S. AMLR program</t>
  </si>
  <si>
    <t>This research was funded by U.S. National Science Foundation Office of Polar Programs grants to M. J. Polito (ANT-1443585), S. D. Emslie (ANT-0739575), and W. Z. Trivelpiece and S. G. Trivelpiece (ANT-0344275) and the U.S. AMLR program. We thank K. Dietrich, C. Hewes, V. Loeb, A. VanCise, and the AMLR physical and biological oceanography and zooplankton team for assistance with the collection of oceanographic data and krill samples. We also thank the numerous researchers who have worked at the Admiralty Bay field camp. J. Seminoff, M. Goebel, K. Durenberger, D. Besic, and J. Blumprovided helpful assistancewith lipid extractions, stable isotope, and statistical analyses. An earlier version of this manuscript was improved by comments and suggestions fromthe associate editor and two anonymous reviewers.</t>
  </si>
  <si>
    <t>1541-5856</t>
  </si>
  <si>
    <t>LIMNOL OCEANOGR-METH</t>
  </si>
  <si>
    <t>Limnol. Oceanogr. Meth.</t>
  </si>
  <si>
    <t>10.1002/lom3.10314</t>
  </si>
  <si>
    <t>HU0HN</t>
  </si>
  <si>
    <t>WOS:000464952100005</t>
  </si>
  <si>
    <t>Vallesi, A; Sjödin, A; Petrelli, D; Luporini, P; Taddei, AR; Thelaus, J; Öhrman, C; Nilsson, E; Di Giuseppe, G; Gutiérrez, G; Villalobo, E</t>
  </si>
  <si>
    <t>Vallesi, Adriana; Sjodin, Andreas; Petrelli, Dezemona; Luporini, Pierangelo; Taddei, Anna Rita; Thelaus, Johanna; Ohrman, Caroline; Nilsson, Elin; Di Giuseppe, Graziano; Gutierrez, Gabriel; Villalobo, Eduardo</t>
  </si>
  <si>
    <t>A New Species of the γ-Proteobacterium Francisella, F. adeliensis Sp. Nov., Endocytobiont in an Antarctic Marine Ciliate and Potential Evolutionary Forerunner of Pathogenic Species</t>
  </si>
  <si>
    <t>MICROBIAL ECOLOGY</t>
  </si>
  <si>
    <t>Endosymbiosis; Microbial associations; Polar microbiology; Environmental Francisella; Francisella phylogeny; Euplotes</t>
  </si>
  <si>
    <t>EUPLOTES-FOCARDII; COMB. NOV; TULARENSIS; PHILOMIRAGIA; SYMBIONTS; INFECTION; PATHWAY; VERSION</t>
  </si>
  <si>
    <t>The study of the draft genome of an Antarctic marine ciliate, Euplotes petzi, revealed foreign sequences of bacterial origin belonging to the gamma-proteobacterium Francisella that includes pathogenic and environmental species. TEM and FISH analyses confirmed the presence of a Francisella endocytobiont in E. petzi. This endocytobiont was isolated and found to be a new species, named F. adeliensis sp. nov.. F. adeliensis grows well at wide ranges of temperature, salinity, and carbon dioxide concentrations implying that it may colonize new organisms living in deeply diversified habitats. The F. adeliensis genome includes the igl and pdp gene sets (pdpC and pdpE excepted) of the Francisella pathogenicity island needed for intracellular growth. Consistently with an F. adeliensis ancient symbiotic lifestyle, it also contains a single insertion-sequence element. Instead, it lacks genes for the biosynthesis of essential amino acids such as cysteine, lysine, methionine, and tyrosine. In a genome-based phylogenetic tree, F. adeliensis forms a new early branching clade, basal to the evolution of pathogenic species. The correlations of this clade with the other clades raise doubts about a genuine free-living nature of the environmental Francisella species isolated from natural and man-made environments, and suggest to look at F. adeliensis asa pioneer in the Francisella colonization of eukaryotic organisms.</t>
  </si>
  <si>
    <t>[Vallesi, Adriana; Petrelli, Dezemona; Luporini, Pierangelo] Univ Camerino, Sch Biosci &amp; Vet Med, I-62032 Camerino, MC, Italy; [Sjodin, Andreas] Umea Univ, Dept Chem, Computat Life Sci Cluster CLiC, Umea, Sweden; [Sjodin, Andreas; Thelaus, Johanna; Ohrman, Caroline; Nilsson, Elin] Swedish Def Res Agcy, FOI, Div CBRN Def &amp; Secur, Umea, Sweden; [Taddei, Anna Rita] Univ Tuscia, Sect Electron Microscopy, Ctr Large Equipment, Largo Univ Snc, Viterbo, Italy; [Di Giuseppe, Graziano] Univ Pisa, Dept Biol, I-56126 Pisa, Italy; [Gutierrez, Gabriel] Univ Seville, Dept Genet, Av Reina Mercedes 6, E-41012 Seville, Spain; [Villalobo, Eduardo] Univ Seville, Dept Microbiol, Av Reina Mercedes 6, E-41012 Seville, Spain</t>
  </si>
  <si>
    <t>University of Camerino; Umea University; FOI - Swedish Defence Research Agency; Saab Group; Tuscia University; University of Pisa; University of Sevilla; University of Sevilla</t>
  </si>
  <si>
    <t>Vallesi, A (corresponding author), Univ Camerino, Sch Biosci &amp; Vet Med, I-62032 Camerino, MC, Italy.;Villalobo, E (corresponding author), Univ Seville, Dept Microbiol, Av Reina Mercedes 6, E-41012 Seville, Spain.</t>
  </si>
  <si>
    <t>achiana.vallesi@unicam.it; evpolo@us.es</t>
  </si>
  <si>
    <t>Vallesi, Adriana/I-9933-2016; Petrelli, Dezemona/G-6048-2012; Pozo, Gabriel Gutiérrez/N-7824-2019; Villalobo, Eduardo/E-7645-2010; Sjödin, Andreas/A-7245-2008</t>
  </si>
  <si>
    <t>Vallesi, Adriana/0000-0002-4127-090X; Pozo, Gabriel Gutiérrez/0000-0002-1354-2883; Villalobo, Eduardo/0000-0002-0331-115X; Sjödin, Andreas/0000-0001-5350-4219; Ohrman, Caroline/0000-0001-8489-757X</t>
  </si>
  <si>
    <t>PNRA (Programma Nazionale di Ricerca in Antartide) from the Italian Ministry of Research (MIUR); FAR (Fondo Ateneo Ricerca) from the University of Camerino; Swedish Ministry of Defence [A4040]; Swedish Civil Contingencies Agency [B4010]; RFI/VR; Science for Life Laboratory, Sweden</t>
  </si>
  <si>
    <t>PNRA (Programma Nazionale di Ricerca in Antartide) from the Italian Ministry of Research (MIUR); FAR (Fondo Ateneo Ricerca) from the University of Camerino; Swedish Ministry of Defence; Swedish Civil Contingencies Agency; RFI/VR; Science for Life Laboratory, Sweden</t>
  </si>
  <si>
    <t>This work was financially supported by the PNRA (Programma Nazionale di Ricerca in Antartide) from the Italian Ministry of Research (MIUR), FAR (Fondo Ateneo Ricerca) from the University of Camerino, by the Swedish Ministry of Defence (A4040), and the Swedish Civil Contingencies Agency (B4010). The work performed at NGI/Uppsala Genome Center was funded by RFI/VR and Science for Life Laboratory, Sweden.</t>
  </si>
  <si>
    <t>0095-3628</t>
  </si>
  <si>
    <t>1432-184X</t>
  </si>
  <si>
    <t>MICROB ECOL</t>
  </si>
  <si>
    <t>Microb. Ecol.</t>
  </si>
  <si>
    <t>10.1007/s00248-018-1256-3</t>
  </si>
  <si>
    <t>Ecology; Marine &amp; Freshwater Biology; Microbiology</t>
  </si>
  <si>
    <t>Environmental Sciences &amp; Ecology; Marine &amp; Freshwater Biology; Microbiology</t>
  </si>
  <si>
    <t>HT7LU</t>
  </si>
  <si>
    <t>WOS:000464747100003</t>
  </si>
  <si>
    <t>Ivy, CM; Lague, SL; York, JM; Chua, BA; Alza, L; Cheek, R; Dawson, NJ; Frappell, PB; McCracken, KG; Milsom, WK; Scott, GR</t>
  </si>
  <si>
    <t>Ivy, Catherine M.; Lague, Sabine L.; York, Julia M.; Chua, Beverly A.; Alza, Luis; Cheek, Rebecca; Dawson, Neal J.; Frappell, Peter B.; McCracken, Kevin G.; Milsom, William K.; Scott, Graham R.</t>
  </si>
  <si>
    <t>Control of breathing and respiratory gas exchange in high-altitude ducks native to the Andes</t>
  </si>
  <si>
    <t>JOURNAL OF EXPERIMENTAL BIOLOGY</t>
  </si>
  <si>
    <t>High-altitude adaptation; Hypoxic ventilatory response; Ventilatory acclimatization to hypoxia; Haemoglobin; Waterfowl</t>
  </si>
  <si>
    <t>HYPOXIC VENTILATORY RESPONSE; HEMOGLOBIN-OXYGEN-AFFINITY; BAR-HEADED GEESE; PHYLOGENETIC-RELATIONSHIPS; PHENOTYPIC PLASTICITY; ADAPTATION; TRANSPORT; TIBETAN; GENES</t>
  </si>
  <si>
    <t>We examined the control of breathing and respiratory gas exchange in six species of high-altitude duck that independently colonized the high Andes. We compared ducks from high-altitude populations in Peru (Lake Titicaca at similar to 3800 m above sea level; Chancay River at similar to 3000-4100 m) with closely related populations or species from low altitude. Hypoxic ventilatory responses were measured shortly after capture at the native altitude. In general, ducks responded to acute hypoxia with robust increases in total ventilation and pulmonary O-2 extraction. O-2 consumption rates were maintained or increased slightly in acute hypoxia, despite similar to 1-2 degrees C reductions in body temperature in most species. Two high-altitude taxa - yellow-billed pintail and torrent duck - exhibited higher total ventilation than their low-altitude counterparts, and yellow-billed pintail exhibited greater increases in pulmonary O-2 extraction in severe hypoxia. In contrast, three other high-altitude taxa Andean ruddy duck, Andean cinnamon teal and speckled teal - had similar or slightly reduced total ventilation and pulmonary O-2 extraction compared with low-altitude relatives. Arterial O-2 saturation (S-aO2) was elevated in yellow-billed pintails atmoderate levels of hypoxia, but there were no differences in S-aO2 in other high-altitude taxa compared with their close relatives. This finding suggests that improvements in S-aO2 in hypoxia can require increases in both breathing and haemoglobin-O-2 affinity, because the yellow-billed pintail was the only high-altitude duck with concurrent increases in both traits compared with its low-altitude relative. Overall, our results suggest that distinct physiological strategies for coping with hypoxia can exist across different high-altitude lineages, even among those inhabiting very similar high-altitude habitats.</t>
  </si>
  <si>
    <t>[Ivy, Catherine M.; Dawson, Neal J.; Scott, Graham R.] McMaster Univ, Dept Biol, Hamilton, ON L8S 4K1, Canada; [Lague, Sabine L.; York, Julia M.; Chua, Beverly A.; Milsom, William K.] Univ British Columbia, Dept Zool, Vancouver, BC V6T 1Z4, Canada; [York, Julia M.] Univ Texas Austin, Dept Integrat Biol, Austin, TX 78712 USA; [Alza, Luis; McCracken, Kevin G.] Univ Miami, Rosenstiel Sch Marine &amp; Atmospher Sci, Dept Biol, Coral Gables, FL 33136 USA; [Alza, Luis; McCracken, Kevin G.] Univ Miami, Rosenstiel Sch Marine &amp; Atmospher Sci, Dept Marine Biol &amp; Ecol, Coral Gables, FL 33136 USA; [Alza, Luis; McCracken, Kevin G.] Ctr Ornitol &amp; Biodiversidad, Div Ornithol, Lima 33, Peru; [Alza, Luis; Cheek, Rebecca; McCracken, Kevin G.] Univ Alaska Fairbanks, Dept Biol &amp; Wildlife, Inst Arctic Biol, Fairbanks, AK 99755 USA; [Alza, Luis; Cheek, Rebecca; McCracken, Kevin G.] Univ Alaska Fairbanks, Univ Alaska Museum, Fairbanks, AK 99755 USA; [Frappell, Peter B.] Univ Tasmania, Dept Zool, Inst Marine &amp; Antarctic Studies, Hobart, Tas 7001, Australia; [McCracken, Kevin G.] Univ Miami, Sch Med, Human Genet &amp; Genom, Miami, FL 33136 USA</t>
  </si>
  <si>
    <t>McMaster University; University of British Columbia; University of Texas System; University of Texas Austin; University of Miami; University of Miami; University of Alaska System; University of Alaska Fairbanks; University of Alaska System; University of Alaska Fairbanks; University of Tasmania; University of Miami</t>
  </si>
  <si>
    <t>Ivy, CM (corresponding author), McMaster Univ, Dept Biol, Hamilton, ON L8S 4K1, Canada.</t>
  </si>
  <si>
    <t>ivycm@mcmaster.ca</t>
  </si>
  <si>
    <t>York, Julia M/AAJ-9145-2021; Cheek, Rebecca/GRO-4008-2022; Milsom, William K/D-2977-2012; Alza, Luis A/JJC-8284-2023; Frappell, Peter/D-1159-2013</t>
  </si>
  <si>
    <t>Alza, Luis A/0000-0002-5926-4460; Frappell, Peter/0000-0001-6528-5447; York, Julia/0000-0003-4947-0591; Lague, Sabine/0000-0002-8724-7297; Dawson, Neal/0000-0001-5389-8692; McCracken, Kevin/0000-0002-1477-8839; Cheek, Rebecca/0000-0002-7935-3153</t>
  </si>
  <si>
    <t>Natural Sciences and Engineering Research Council of Canada (NSERC); National Science Foundation [IOS-0949439]; James A. Kushlan Endowment for Waterbird Biology and Conservation</t>
  </si>
  <si>
    <t>Natural Sciences and Engineering Research Council of Canada (NSERC)(Natural Sciences and Engineering Research Council of Canada (NSERC)); National Science Foundation(National Science Foundation (NSF)); James A. Kushlan Endowment for Waterbird Biology and Conservation</t>
  </si>
  <si>
    <t>This research was supported by funds from the Natural Sciences and Engineering Research Council of Canada (NSERC) Discovery Grants to G.R.S. and W.K.M. and by a National Science Foundation grant (IOS-0949439) and the James A. Kushlan Endowment for Waterbird Biology and Conservation to K.G.M.</t>
  </si>
  <si>
    <t>COMPANY BIOLOGISTS LTD</t>
  </si>
  <si>
    <t>BIDDER BUILDING, STATION RD, HISTON, CAMBRIDGE CB24 9LF, ENGLAND</t>
  </si>
  <si>
    <t>0022-0949</t>
  </si>
  <si>
    <t>1477-9145</t>
  </si>
  <si>
    <t>J EXP BIOL</t>
  </si>
  <si>
    <t>J. Exp. Biol.</t>
  </si>
  <si>
    <t>jeb198622</t>
  </si>
  <si>
    <t>10.1242/jeb.198622</t>
  </si>
  <si>
    <t>Biology</t>
  </si>
  <si>
    <t>Life Sciences &amp; Biomedicine - Other Topics</t>
  </si>
  <si>
    <t>HT5GY</t>
  </si>
  <si>
    <t>WOS:000464592800020</t>
  </si>
  <si>
    <t>Cerro-Gálvez, E; Casal, P; Lundin, D; Piña, B; Pinhassi, J; Dachs, J; Vila-Costa, M</t>
  </si>
  <si>
    <t>Cerro-Galvez, Elena; Casal, Paulo; Lundin, Daniel; Pina, Benjamin; Pinhassi, Jarone; Dachs, Jordi; Vila-Costa, Maria</t>
  </si>
  <si>
    <t>Microbial responses to anthropogenic dissolved organic carbon in the Arctic and Antarctic coastal seawaters</t>
  </si>
  <si>
    <t>ENVIRONMENTAL MICROBIOLOGY</t>
  </si>
  <si>
    <t>POLYCYCLIC AROMATIC-HYDROCARBONS; COMPLEX MIXTURE UCM; METABOLIC PATHWAYS; MEMBRANE-LIPIDS; P-GLYCOPROTEINS; READ ALIGNMENT; TOXICITY; POLLUTANTS; BIODEGRADATION; RHAMNOLIPIDS</t>
  </si>
  <si>
    <t>Thousands of semi-volatile hydrophobic organic pollutants (OPs) reach open oceans through atmospheric deposition, causing a chronic and ubiquitous pollution by anthropogenic dissolved organic carbon (ADOC). Hydrophobic ADOC accumulates in cellular lipids, inducing harmful effects on marine biota, and can be partially prone to microbial degradation. Unfortunately, their possible effects on microorganisms, key drivers of global biogeochemical cycles, remain unknown. We challenged coastal microbial communities from Ny-angstrom lesund (Arctic) and Livingston Island (Antarctica) with ADOC concentrations within the range of oceanic concentrations in 24 h. ADOC addition elicited clear transcriptional responses in multiple microbial heterotrophic metabolisms in ubiquitous groups such as Flavobacteriia, Gammaproteobacteria and SAR11. Importantly, a suite of cellular adaptations and detoxifying mechanisms, including remodelling of membrane lipids and transporters, was detected. ADOC exposure also changed the composition of microbial communities, through stimulation of rare biosphere taxa. Many of these taxa belong to recognized OPs degraders. This work shows that ADOC at environmentally relevant concentrations substantially influences marine microbial communities. Given that emissions of organic pollutants are growing during the Anthropocene, the results shown here suggest an increasing influence of ADOC on the structure of microbial communities and the biogeochemical cycles regulated by marine microbes.</t>
  </si>
  <si>
    <t>[Cerro-Galvez, Elena; Casal, Paulo; Pina, Benjamin; Dachs, Jordi; Vila-Costa, Maria] CSIC, IDAEA, Dept Environm Chem, Jordi Girona 18-26, ES-08034 Barcelona, Catalunya, Spain; [Lundin, Daniel; Pinhassi, Jarone] Linnaeus Univ, EEMiS, Ctr Ecol &amp; Evolut Microbial Model Syst, Barlastgatan 11, S-39182 Kalmar, Sweden</t>
  </si>
  <si>
    <t>Consejo Superior de Investigaciones Cientificas (CSIC); CSIC - Centro de Investigacion y Desarrollo Pascual Vila (CID-CSIC); CSIC - Instituto de Diagnostico Ambiental y Estudios del Agua (IDAEA); Linnaeus University</t>
  </si>
  <si>
    <t>Vila-Costa, M (corresponding author), CSIC, IDAEA, Dept Environm Chem, Jordi Girona 18-26, ES-08034 Barcelona, Catalunya, Spain.</t>
  </si>
  <si>
    <t>maria.vila@idaea.csic.es</t>
  </si>
  <si>
    <t>Piña, Benjamin/A-1671-2011; Vila-Costa, Maria/L-4833-2014</t>
  </si>
  <si>
    <t>Piña, Benjamin/0000-0001-9216-2768; Lundin, Daniel/0000-0002-8779-6464; CERRO-GALVEZ, ELENA/0000-0001-9821-9227; Vila-Costa, Maria/0000-0003-1730-8418; Pinhassi, Jarone/0000-0002-6405-1347; Dachs, Jordi/0000-0002-4237-169X</t>
  </si>
  <si>
    <t>BBVA Foundation for Researchers and Cultural Creative Workers award [14_CMA_020]; Spanish Ministerio de Economia y Competitividad (Ministry of Economy and Competitiveness, MEIC) through project ISOMICS [CTM2015-65691-R]; Spanish Ministerio de Economia y Competitividad (Ministry of Economy and Competitiveness, MEIC) through project REMARCA [CTM2012-34673]; Spanish Ministerio de Economia y Competitividad (Ministry of Economy and Competitiveness, MEIC) through project SENTINEL [CTM2015-70535-P]; Agencia de Gestio d'Ajuts Universtaris i Recerca, Generalitat de Catalunya (FI AGAUR) Scholarship; Catalan Government [2017SGR800]; Generalitat de Catalunya Fellowship Program (Catalan Government, Generalitat de Catalunya)</t>
  </si>
  <si>
    <t>BBVA Foundation for Researchers and Cultural Creative Workers award(BBVA Foundation); Spanish Ministerio de Economia y Competitividad (Ministry of Economy and Competitiveness, MEIC) through project ISOMICS; Spanish Ministerio de Economia y Competitividad (Ministry of Economy and Competitiveness, MEIC) through project REMARCA; Spanish Ministerio de Economia y Competitividad (Ministry of Economy and Competitiveness, MEIC) through project SENTINEL; Agencia de Gestio d'Ajuts Universtaris i Recerca, Generalitat de Catalunya (FI AGAUR) Scholarship; Catalan Government; Generalitat de Catalunya Fellowship Program (Catalan Government, Generalitat de Catalunya)(Generalitat de Catalunya)</t>
  </si>
  <si>
    <t>This work was supported by BBVA Foundation for Researchers and Cultural Creative Workers award to MVC (14_CMA_020) and by the Spanish Ministerio de Economia y Competitividad (Ministry of Economy and Competitiveness, MEIC) through projects ISOMICS (CTM2015-65691-R), REMARCA (CTM2012-34673) and SENTINEL (CTM2015-70535-P). ECG was supported by Agencia de Gestio d'Ajuts Universtaris i Recerca, Generalitat de Catalunya (FI AGAUR) Scholarship, Generalitat de Catalunya Fellowship Program (Catalan Government, Generalitat de Catalunya). We thank MC. Fernandez-Pinos, M. Pizarro and G. Caballero for assistance with experimental settings, I. Forn, Dr. R. Massana and Dr. JM Gasol for support with CARD-FISH and flow cytometry counts. Dr. C. Galban-Malagon (U. Andres-Bello) for providing POP concentrations in polar seawater. The research group of Global Change and Genomic Biogeochemistry is supported by the Catalan Government (2017SGR800).</t>
  </si>
  <si>
    <t>1462-2912</t>
  </si>
  <si>
    <t>1462-2920</t>
  </si>
  <si>
    <t>ENVIRON MICROBIOL</t>
  </si>
  <si>
    <t>Environ. Microbiol.</t>
  </si>
  <si>
    <t>10.1111/1462-2920.14580</t>
  </si>
  <si>
    <t>HT2DI</t>
  </si>
  <si>
    <t>WOS:000464373000022</t>
  </si>
  <si>
    <t>Morandini, V; Lescröel, A; Jongsomjit, D; Winquist, S; Schmidt, A; Ballard, G; Kappes, P; Dugger, KM</t>
  </si>
  <si>
    <t>Morandini, Virginia; Lescroel, Amelie; Jongsomjit, Dennis; Winquist, Suzanne; Schmidt, Annie; Ballard, Grant; Kappes, Peter; Dugger, Katie M.</t>
  </si>
  <si>
    <t>PREVALENCE OF THREE-CHICK NESTS IN ADELIE PENGUINS PYGOSCELIS ADELIAE AT CAPE CROZIER, ROSS ISLAND</t>
  </si>
  <si>
    <t>MARINE ORNITHOLOGY</t>
  </si>
  <si>
    <t>Antarctica; seabirds; adoption; fostered chicks; twin chicks; coloniality; supra-normal clutches</t>
  </si>
  <si>
    <t>ADOPTION; GULLS; PATERNITY; CHICKS</t>
  </si>
  <si>
    <t>In 2017/18, we recorded multiple instances of Adelie Penguin Pygoscelis adeliae nests containing three chicks at Cape Crozier, Ross Island, Antarctica. In one sub-colony, 0.67 % of nests had three chicks, or two chicks and one egg. We found that some Adelie Penguin pairs were willing to brood three chicks, as well as chicks that were not their own. Many factors could lead to supra-normal clutches and broods, including foreign eggs added to a nest, adoption of chicks belonging to other parents, and double-yolked eggs. In order to understand the true cost of colonial breeding in large Adelie Penguin colonies and to assess the source of chicks or eggs in supra-normal clutches and broods, we conclude that future studies should examine the frequency of supra-normal clutches and broods and analyze the genetics of chicks within sub-colonies.</t>
  </si>
  <si>
    <t>[Morandini, Virginia; Kappes, Peter] Oregon State Univ, Dept Fisheries &amp; Wildlife, Oregon Cooperat Fish &amp; Wildlife Res Unit, 104 Nash Hall, Corvallis, OR 97331 USA; [Lescroel, Amelie; Jongsomjit, Dennis; Winquist, Suzanne; Schmidt, Annie; Ballard, Grant] Point Blue Conservat Sci, Petaluma, CA 94954 USA; [Dugger, Katie M.] Oregon State Univ, Dept Fisheries &amp; Wildlife, Oregon Cooperat Fish &amp; Wildlife Res Unit, US Geol Survey, 104 Nash Hall, Corvallis, OR 97331 USA</t>
  </si>
  <si>
    <t>Oregon State University; United States Department of the Interior; United States Geological Survey; Oregon State University</t>
  </si>
  <si>
    <t>Morandini, V (corresponding author), Oregon State Univ, Dept Fisheries &amp; Wildlife, Oregon Cooperat Fish &amp; Wildlife Res Unit, 104 Nash Hall, Corvallis, OR 97331 USA.</t>
  </si>
  <si>
    <t>virginia.morandini@oregonstate.edu</t>
  </si>
  <si>
    <t>Kappes, Peter J/C-4063-2015; Kappes, Peter/AGT-9289-2022; Morandini, Virginia/E-8986-2016</t>
  </si>
  <si>
    <t>Kappes, Peter J/0000-0001-6029-5355; Morandini, Virginia/0000-0003-0665-5713</t>
  </si>
  <si>
    <t>National Science Foundation [OPP 9526865, 9814882, 0125608, 0440643, 154398]; National Science Foundation Office of Polar Programs [04-40643]; Office of Polar Programs (OPP); Directorate For Geosciences [0440643] Funding Source: National Science Foundation</t>
  </si>
  <si>
    <t>National Science Foundation(National Science Foundation (NSF)); National Science Foundation Office of Polar Programs(National Science Foundation (NSF)NSF - Directorate for Geosciences (GEO)); Office of Polar Programs (OPP); Directorate For Geosciences(National Science Foundation (NSF)NSF - Directorate for Geosciences (GEO))</t>
  </si>
  <si>
    <t>Funding was provided by National Science Foundation Grants OPP 9526865, 9814882, 0125608, 0440643, and 154398, with logistical support provided by the US Antarctic Program. Permits were provided under the Antarctic Conservation Act, National Science Foundation Office of Polar Programs (04-40643), and data collection protocols were approved by Point Blue's Institutional Animal Care and Use Committee. Previous versions of this manuscript were greatly improved by comments from D. G. Ainley, Pierre Pistorius, and anonymous reviewers. We also thank associate editor Yan Ropert-Coudert for shepherding this paper through the publication process. Any use of trade, firm, or product names is for descriptive purposes only and does not imply endorsement by the US Government.</t>
  </si>
  <si>
    <t>AFRICAN SEABIRD GROUP</t>
  </si>
  <si>
    <t>RHODES GIFT</t>
  </si>
  <si>
    <t>P. O. BOX 34113, RHODES GIFT, SOUTH AFRICA</t>
  </si>
  <si>
    <t>1018-3337</t>
  </si>
  <si>
    <t>2074-1235</t>
  </si>
  <si>
    <t>MAR ORNITHOL</t>
  </si>
  <si>
    <t>Mar. Ornithol.</t>
  </si>
  <si>
    <t>Marine &amp; Freshwater Biology; Ornithology</t>
  </si>
  <si>
    <t>HT5XB</t>
  </si>
  <si>
    <t>WOS:000464635500013</t>
  </si>
  <si>
    <t>Delord, K; Barbraud, C; Pinaud, D; Ruault, S; Patrick, SC; Weimerskirch, H</t>
  </si>
  <si>
    <t>Delord, Karine; Barbraud, Christophe; Pinaud, David; Ruault, Stephanie; Patrick, Samantha C.; Weimerskirch, Henri</t>
  </si>
  <si>
    <t>INDIVIDUAL CONSISTENCY IN THE NON-BREEDING BEHAVIOR OF A LONG-DISTANCE MIGRANT SEABIRD, THE GREY PETREL PROCELLARIA CINEREA</t>
  </si>
  <si>
    <t>conservation implications; geolocators; migration; Procellaria cinerea; repeating patterns; Southern Ocean; tracking</t>
  </si>
  <si>
    <t>WHITE-CHINNED PETRELS; MIGRATION STRATEGIES; SEASONAL INTERACTIONS; REPRODUCTIVE SUCCESS; POPULATION-DYNAMICS; FORAGING STRATEGIES; CLIMATE-CHANGE; HABITAT; SPECIALIZATION; CONSEQUENCES</t>
  </si>
  <si>
    <t>There is growing interest in the consistency of individual differences in animal behavior as it relates to life history traits and fitness. Despite the relatively large number of studies investigating repeatable behaviors, studies have only recently investigated repeatability in foraging or migratory behaviors, and this has seldom been explored between years. We examined the individual consistency in foraging behavior of the Grey Petrel Procellaria cinerea, a pelagic long-distance migrant seabird. We analyzed how foraging, activity, and migratory patterns were repeatable across different seasons. We used tracking data to monitor the migratory movements and behavior of individuals during the non-breeding period over five years. Despite the small sample size, we found that there was a relatively high individual consistency in wintering strategies across years, with birds displaying high fidelity to their non-breeding destinations during consecutive years. Activity parameters, date of departure of inward migration, duration of migration, and duration spent in non-breeding areas were repeatable as well. The duration of the non-breeding period was the most repeatable, reflecting consistent departure times and, to a lesser extent, consistent arrival times. A high overall repeatability was seen in the timing of return migration. With respect to sex, males tended to be more consistent in their migration strategy (i.e., timing of migration, time spent in non-breeding areas) than females. Although conditions during the Holocene have generally been stable in the Southern Ocean, species lacking variability in migratory traits are probably at a considerable disadvantage in terms of their capacity to respond to the rapid environmental changes currently underway.</t>
  </si>
  <si>
    <t>[Delord, Karine; Barbraud, Christophe; Pinaud, David; Ruault, Stephanie; Weimerskirch, Henri] Univ La Rochelle, CNRS, UMR 7372, Ctr Etud Biol Chize, F-79360 Villiers En Bois, France; [Ruault, Stephanie] Sorbonne Univ, CNRS, Stn Biol Roscoff, UMR Adaptat &amp; Diversite Milieu Marin,AD2M, F-29680 Roscoff, France; [Patrick, Samantha C.] Univ Liverpool, Sch Environm Sci, Nicholson Bldg,Brownlow St, Liverpool L69 3GP, Merseyside, England</t>
  </si>
  <si>
    <t>La Rochelle Universite; Centre National de la Recherche Scientifique (CNRS); CNRS - Institute of Ecology &amp; Environment (INEE); Centre National de la Recherche Scientifique (CNRS); Sorbonne Universite; University of Liverpool</t>
  </si>
  <si>
    <t>Delord, K (corresponding author), Univ La Rochelle, CNRS, UMR 7372, Ctr Etud Biol Chize, F-79360 Villiers En Bois, France.</t>
  </si>
  <si>
    <t>karine.delord@cebc.cnrs.fr</t>
  </si>
  <si>
    <t>Barbraud, Christophe/A-5870-2012; Pinaud, David/B-6326-2008; Weimerskirch, Henri/F-5562-2013</t>
  </si>
  <si>
    <t>Barbraud, Christophe/0000-0003-0146-212X; Pinaud, David/0000-0003-0815-9668;</t>
  </si>
  <si>
    <t>French Polar Institute IPEV (Programme ORNITHO-ECO) [109]; Zone Atelier de Recherches sur l'Environnement Antarctique et Subantarctique (ZATA CNRS-INEE-LTER France); Prince Albert II de Monaco Foundation (via a program for the conservation of threatened species of albatross and petrels in the Southern Indian Ocean)</t>
  </si>
  <si>
    <t>French Polar Institute IPEV (Programme ORNITHO-ECO); Zone Atelier de Recherches sur l'Environnement Antarctique et Subantarctique (ZATA CNRS-INEE-LTER France); Prince Albert II de Monaco Foundation (via a program for the conservation of threatened species of albatross and petrels in the Southern Indian Ocean)</t>
  </si>
  <si>
    <t>This study was supported by the French Polar Institute IPEV (Programme ORNITHO-ECO No. 109), the Zone Atelier de Recherches sur l'Environnement Antarctique et Subantarctique (ZATA CNRS-INEE-LTER France), and the Prince Albert II de Monaco Foundation (via a program for the conservation of threatened species of albatross and petrels in the Southern Indian Ocean). We thank the many field workers involved in the field studies, namely A. Corbeau, K. Coustaut, Q. Delorme, N. El Ksabi, J. Ferrer Obiol, T. Gouello, A. Knochel, T. Lacombe, J. Nezan, M. Passerault, R. Perdriat, and B. Planade. We are grateful to R. Phillips of the British Antarctic Survey, Cambridge, for providing geolocators. The Ethics Committee of IPEV and the Comite Environnement Polaire approved the field procedures for the French Southern Territories. The comments of S. Waugh and an anonymous reviewer greatly improved the paper.</t>
  </si>
  <si>
    <t>WOS:000464635500016</t>
  </si>
  <si>
    <t>Douglas, TA; Blum, JD</t>
  </si>
  <si>
    <t>Douglas, Thomas A.; Blum, Joel D.</t>
  </si>
  <si>
    <t>Mercury Isotopes Reveal Atmospheric Gaseous Mercury Deposition Directly to the Arctic Coastal Snowpack</t>
  </si>
  <si>
    <t>ENVIRONMENTAL SCIENCE &amp; TECHNOLOGY LETTERS</t>
  </si>
  <si>
    <t>MASS-INDEPENDENT FRACTIONATION; SEA-ICE; ELEMENTAL MERCURY; CHEMICAL-COMPOSITION; OXIDATION; RUNOFF; TERRESTRIAL; TROPOSPHERE; ECOSYSTEMS; DEPLETION</t>
  </si>
  <si>
    <t>Springtime atmospheric mercury depletion events (AMDEs) lead to snow with elevated mercury concentrations (&gt;200 ng Hg/L) in the Arctic and Antarctic. During AMDEs gaseous elemental mercury (GEM) is photochemically oxidized by halogens to reactive gaseous mercury which is deposited to the snowpack. This reactive mercury is either photochemically reduced back to GEM and re-emitted to the atmosphere or remains in the snowpack until spring snowmelt. GEM is also deposited to the snowpack and tundra vegetation by reactive surface uptake (dry deposition) from the atmosphere. There is little consensus on the proportion of AMDE-sourced Hg versus Hg from dry deposition that is released in spring runoff. We used mercury stable isotope measurements of GEM, snowfall, snowpack, snowmelt, surface water, vegetation, and peat from a northern Alaska coastal watershed to quantify Hg sources. Although high Hg concentrations are deposited to the snowpack during AMDEs, we estimate that similar to 76 to 91% is released back to the atmosphere prior to snowmelt. Mercury deposited to the snowpack as GEM comprises the majority of snowmelt Hg and has a Hg stable isotope composition similar to Hg deposited by reactive surface uptake of GEM into the leaves of trees in temperate forests. This GEM-sourced Hg is the dominant Hg we measured in the spring snowpack and in tundra peat permafrost deposits.</t>
  </si>
  <si>
    <t>[Douglas, Thomas A.] US Army, Cold Reg Res &amp; Engn Lab, POB 35170, Ft Wainwright, AK 99703 USA; [Blum, Joel D.] Univ Michigan, Dept Earth &amp; Environm Sci, 1100 N Univ Ave, Ann Arbor, MI 48109 USA</t>
  </si>
  <si>
    <t>United States Department of Defense; United States Army; U.S. Army Corps of Engineers; U.S. Army Engineer Research &amp; Development Center (ERDC); Cold Regions Research &amp; Engineering Laboratory (CRREL); University of Michigan System; University of Michigan</t>
  </si>
  <si>
    <t>Douglas, TA (corresponding author), US Army, Cold Reg Res &amp; Engn Lab, POB 35170, Ft Wainwright, AK 99703 USA.</t>
  </si>
  <si>
    <t>thomas.a.douglas@usace.army.mil</t>
  </si>
  <si>
    <t>U.S. National Science Foundation Office of Polar Programs [ARC-0435989, ARC-0435893]</t>
  </si>
  <si>
    <t>U.S. National Science Foundation Office of Polar Programs(National Science Foundation (NSF))</t>
  </si>
  <si>
    <t>This work was funded by the U.S. National Science Foundation Office of Polar Programs Grant Nos. ARC-0435989 (U.S. Army Cold Regions Research and Engineering Laboratory) and ARC-0435893 (Univ. of Michigan). Extensive logistical support was provided by the Barrow Arctic Science Consortium, and their assistance is greatly appreciated. Numerous colleagues assisted with sample collection and hearty discussions of the Arctic mercury cycle, particularly M. Sturm, C. Polashenski, A. Steffen, and L. Sherman. We thank anonymous reviewers for their comments on earlier versions of the manuscript.</t>
  </si>
  <si>
    <t>2328-8930</t>
  </si>
  <si>
    <t>ENVIRON SCI TECH LET</t>
  </si>
  <si>
    <t>Environ. Sci. Technol. Lett.</t>
  </si>
  <si>
    <t>10.1021/acs.estlett.9b00131</t>
  </si>
  <si>
    <t>Engineering, Environmental; Environmental Sciences</t>
  </si>
  <si>
    <t>Engineering; Environmental Sciences &amp; Ecology</t>
  </si>
  <si>
    <t>HT3PY</t>
  </si>
  <si>
    <t>WOS:000464476900008</t>
  </si>
  <si>
    <t>Rangel, KC; Debonsi, HM; Clementino, LC; Graminha, MAS; Vilela, LZ; Colepicolo, P; Gaspar, LR</t>
  </si>
  <si>
    <t>Rangel, Karen C.; Debonsi, Hosana M.; Clementino, Leandro C.; Graminha, Marcia A. S.; Vilela, Leonardo Z.; Colepicolo, Pio; Gaspar, Lorena R.</t>
  </si>
  <si>
    <t>Antileishmanial activity of the Antarctic red algae Iridaea cordata (Gigartinaceae; Rhodophyta)</t>
  </si>
  <si>
    <t>JOURNAL OF APPLIED PHYCOLOGY</t>
  </si>
  <si>
    <t>6th Redealgas Workshop - Biotechnology and Sustainability</t>
  </si>
  <si>
    <t>NOV 26-DEC 01, 2017</t>
  </si>
  <si>
    <t>Rio de Janeiro, BRAZIL</t>
  </si>
  <si>
    <t>Cytotoxicity; Leishmanicidal; Leishmania amazonensis; GC-MS analysis; Iridaea cordata; Rhodophyta</t>
  </si>
  <si>
    <t>ANTIPROTOZOAL ACTIVITY; LAURENCIA-DENDROIDEA; PHTHALATE DBP; FATTY-ACIDS; LEISHMANIASIS; DRUGS; CONSTITUENTS; DERIVATIVES; INHIBITORS; EFFICACY</t>
  </si>
  <si>
    <t>Leishmaniasis is considered a neglected disease and affects billions around the world, currently presenting few therapeutic options, which makes the development of new antileishmanial drugs urgent. Secondary metabolites from marine and terrestrial organisms are important sources of new chemical entities. Herein, the potential activity of crude extracts and fractions from the Antarctic macroalga Iridaea cordata (Turner) Bory de Saint-Vincent was studied against promastigote and intracellular amastigotes forms of Leishmania amazonensis. The cytotoxicity of the active fractions was evaluated on macrophages and 3T3 BALB/c fibroblasts. The chemical profile of volatile substances was analyzed using the GC-MS technique. The fractions IC-FE (IC50-AMA = 23.6 +/- 3.4 mu g mL(-1); SI &gt; 11) and IC-FF (IC50-AMA = 12.4 +/- 1.2 mu g mL(-1); SI &gt; 24) showed promising activity against amastigotes and higher selectivity to the parasite rather than to the mammalian host cells, when compared to the reference drug amphotericin B (IC50-AMA = 5.9 +/- 0.3 mu g mL(-1); SI = 3.9). Their estimated LD50 in rodents are also higher than that in amphotericin B (LD50 IC-FE = 594.5 +/- 25.87 mg kg(-1); LD50 IC-FE = 580.1 +/- 11.84 mg kg(-1); LD50 amphoter = 172.20 +/- 2.40 mg kg(-1)). The chemical profile of these fractions showed the presence of phthalates, esters, ketones, fatty acids, and carboxylic acids, which might be contributing alone or synergistically to the observed antileishmanial activity. Consequently, I. cordata might be used to identify new antileishmanial compounds.</t>
  </si>
  <si>
    <t>[Rangel, Karen C.; Debonsi, Hosana M.; Gaspar, Lorena R.] Univ Sao Paulo, Fac Ciencias Farmaceut Ribeirao Preto, BR-14040903 Ribeirao Preto, SP, Brazil; [Clementino, Leandro C.; Graminha, Marcia A. S.] Univ Estadual Paulista, Dept Anal Clin, Fac Ciencias Farmaceut, BR-14800903 Araraquara, SP, Brazil; [Vilela, Leonardo Z.; Colepicolo, Pio] Univ Sao Paulo, Inst Quim, BR-05508000 Sao Paulo, SP, Brazil</t>
  </si>
  <si>
    <t>Universidade de Sao Paulo; Universidade Estadual Paulista; Universidade de Sao Paulo</t>
  </si>
  <si>
    <t>Rangel, KC; Gaspar, LR (corresponding author), Univ Sao Paulo, Fac Ciencias Farmaceut Ribeirao Preto, BR-14040903 Ribeirao Preto, SP, Brazil.</t>
  </si>
  <si>
    <t>karen_rangel15@usp.br; lorena@fcfrp.usp.br</t>
  </si>
  <si>
    <t>Graminha, Marcia/D-7951-2013; Debonsi, Hosana M/C-6120-2012; Fapesp, Biota/F-8655-2017; Cordeiro, Lorena Gaspar/AAR-1504-2020; da Costa Clementino, Leandro/P-7912-2017</t>
  </si>
  <si>
    <t>Graminha, Marcia/0000-0001-7280-3775; Fapesp, Biota/0000-0002-9887-8449; Cordeiro, Lorena Gaspar/0000-0002-1550-3036; da Costa Clementino, Leandro/0000-0001-5196-6372; Cristina Rangel, Karen/0000-0003-2496-5926</t>
  </si>
  <si>
    <t>Fundacao de Amparo a Pesquisa do Estado de Sao Paulo (FAPESP) [2017/03552-5, 2016/06931-4]; MCTI/CNPq/FNDCT-Acao Transversal Programa Antartico Brasileiro [407588/2013-2]; Fundacao Coordenacao de Aperfeicoamento de Pessoal de Nivel Superior (CAPES); Fundacao de Amparo a Pesquisa do Estado de Sao Paulo (FAPESP) [16/06931-4] Funding Source: FAPESP</t>
  </si>
  <si>
    <t>Fundacao de Amparo a Pesquisa do Estado de Sao Paulo (FAPESP)(Fundacao de Amparo a Pesquisa do Estado de Sao Paulo (FAPESP)); MCTI/CNPq/FNDCT-Acao Transversal Programa Antartico Brasileiro; Fundacao Coordenacao de Aperfeicoamento de Pessoal de Nivel Superior (CAPES)(Coordenacao de Aperfeicoamento de Pessoal de Nivel Superior (CAPES)); Fundacao de Amparo a Pesquisa do Estado de Sao Paulo (FAPESP)(Fundacao de Amparo a Pesquisa do Estado de Sao Paulo (FAPESP))</t>
  </si>
  <si>
    <t>The authors received financial support from the Fundacao de Amparo a Pesquisa do Estado de Sao Paulo (FAPESP) (2017/03552-5; 2016/06931-4) and MCTI/CNPq/FNDCT-Acao Transversal Programa Antartico Brasileiro (Processo no. 407588/2013-2), and scholarships from the Fundacao Coordenacao de Aperfeicoamento de Pessoal de Nivel Superior (CAPES).</t>
  </si>
  <si>
    <t>0921-8971</t>
  </si>
  <si>
    <t>1573-5176</t>
  </si>
  <si>
    <t>J APPL PHYCOL</t>
  </si>
  <si>
    <t>J. Appl. Phycol.</t>
  </si>
  <si>
    <t>10.1007/s10811-018-1592-1</t>
  </si>
  <si>
    <t>Biotechnology &amp; Applied Microbiology; Marine &amp; Freshwater Biology</t>
  </si>
  <si>
    <t>HS6NL</t>
  </si>
  <si>
    <t>WOS:000463988500002</t>
  </si>
  <si>
    <t>Méndez, F; Marambio, J; Ojeda, J; Rosenfeld, S; Rodríguez, JP; Tala, F; Mansilla, A</t>
  </si>
  <si>
    <t>Mendez, F.; Marambio, J.; Ojeda, J.; Rosenfeld, S.; Rodriguez, J. P.; Tala, F.; Mansilla, A.</t>
  </si>
  <si>
    <t>Variation of the photosynthetic activity and pigment composition in two morphotypes of Durvillaea antarctica (Phaeophyceae) in the sub-Antarctic ecoregion of Magallanes, Chile</t>
  </si>
  <si>
    <t>Durvillaea antarctica; Phaeophyceae; Morphology; Photosynthesis; Pigments; Sub-Antarctic; Ecophysiology</t>
  </si>
  <si>
    <t>MACROCYSTIS-PYRIFERA LAMINARIALES; CHAMISSO HARIOT; GIGARTINA-SKOTTSBERGII; ULTRAVIOLET-RADIATION; TERM ACCLIMATION; SEASONAL-CHANGES; MAGELLAN REGION; LIGHT; RHODOPHYTA; ABUNDANCE</t>
  </si>
  <si>
    <t>The environment of the sub-Antarctic ecoregion of Magallanes is highly heterogenous due to the influence of three oceans (Pacific, Atlantic, and Southern) and the effects of postglacial events such as the Last Glacial Maximum. In the sub-Antarctic ecoregion of Magallanes, the presence of two morphotypes of Durvillaea antarctica has recently been recorded that are related to the specific hydrodynamic configuration of the sites in the region. This study investigates the photosynthetic activity and pigment composition during two periods of the year in these two morphotypes of D. antarctica. One of them has broad and laminar fronds and occurs in wave-protected environments, while the other morphotype is characterized by cylindrical and elongated fronds and inhabits wave-exposed environments. The adult specimens of the elongated-cylindrical morphotype were collected in Seno Otway (53.1 degrees S, 71.5 degrees W) and the specimens of the laminar morphotype in Bahia el Aguila, San Isidro (53.7 degrees S, 70.9 degrees W). ETRmax, alpha, and E-k as parameters of the ETR-E curves were higher for the laminar than the elongated-cylindrical morphotype, resulting in significant values. The concentration of fucoxanthin was statistically higher for the morphotype laminar compared to the morphotype elongated-cylindrical. Both morphotypes exhibited different photosynthetic activities, perhaps attributed to their morphology, floatation capacity, and environment.</t>
  </si>
  <si>
    <t>[Mendez, F.; Marambio, J.; Ojeda, J.; Rosenfeld, S.; Rodriguez, J. P.; Mansilla, A.] Univ Magallanes, Fac Ciencias, LMAS, Casilla 113-D, Punta Arenas, Chile; [Mendez, F.; Rodriguez, J. P.; Mansilla, A.] IEB, Las Palmeras 3425, Santiago 8320000, Nunoa, Chile; [Mendez, F.; Rodriguez, J. P.] Univ Magallanes, Programa Magister Ciencias Menc Manejo &amp; Conserva, Casilla 113-D, Punta Arenas, Chile; [Tala, F.] Univ Catolica Norte, Fac Ciencias Mar, Dept Biol Marina, Larrondo 1281, Coquimbo, Chile; [Tala, F.] Univ Catolica Norte, Fac Ciencias Mar, CIDTA, Larrondo 1281, Coquimbo, Chile</t>
  </si>
  <si>
    <t>Universidad de Magallanes; Universidad de Magallanes; Universidad Catolica del Norte; Universidad Catolica del Norte</t>
  </si>
  <si>
    <t>Méndez, F (corresponding author), Univ Magallanes, Fac Ciencias, LMAS, Casilla 113-D, Punta Arenas, Chile.;Méndez, F (corresponding author), IEB, Las Palmeras 3425, Santiago 8320000, Nunoa, Chile.;Méndez, F (corresponding author), Univ Magallanes, Programa Magister Ciencias Menc Manejo &amp; Conserva, Casilla 113-D, Punta Arenas, Chile.</t>
  </si>
  <si>
    <t>fabiomendezmansilla@gmail.com</t>
  </si>
  <si>
    <t>Ojeda, Jaime/HHN-1455-2022; Provoste, Juan Pablo Rodríguez/W-2988-2019</t>
  </si>
  <si>
    <t>ojeda, jaime/0000-0003-3863-9750; Rosenfeld, Sebastian/0000-0002-4363-8018; marambio, johanna/0000-0003-1958-0351; Mansilla, Andres/0000-0003-3505-7018; Mendez, Fabio/0000-0002-1054-0743</t>
  </si>
  <si>
    <t>National Council of Scientific and Technological Research of Chile (CONICYT) [FONDECYT 1131023, 1140940-AM, 1180433-AM]; Institute of Ecology and Biodiversity (IEB) [ICM P05-002]</t>
  </si>
  <si>
    <t>National Council of Scientific and Technological Research of Chile (CONICYT); Institute of Ecology and Biodiversity (IEB)</t>
  </si>
  <si>
    <t>Project FONDECYT 1131023 to FT and AM (long-distance dispersal of macroalgae at high latitudes-floating kelp rafts capacity of nature under conditions along latitudinal), 1140940-AM (macroalgal adaptive radiation: potential links to the diversity of ecological niches in the Magellan and Antarctic ecoregion) and 1180433-AM (genomic, physiological, and ecological approaches to examine Antarctic and sub-Antarctic macroalgal responses to climate change and glacial retreat) of the National Council of Scientific and Technological Research of Chile (CONICYT). We are also grateful for the scholarships awarded by the Institute of Ecology and Biodiversity (IEB) to Fabio Mendez (ICM P05-002) and Juan Pablo Rodriguez (ICM P05-002). The facilities and equipment used for this study were kindly provided by the Laboratorio de Macroalgas Antarticas y Subantarticas (LMAS) and the Instituto de la Patagonia of the Universidad de Magallanes (UMAG) in Punta Arenas, Chile.</t>
  </si>
  <si>
    <t>10.1007/s10811-018-1675-z</t>
  </si>
  <si>
    <t>WOS:000463988500009</t>
  </si>
  <si>
    <t>Rodríguez, JP; Terrados, J; Rosenfeld, S; Méndez, F; Ojeda, J; Mansilla, A</t>
  </si>
  <si>
    <t>Pablo Rodriguez, Juan; Terrados, J.; Rosenfeld, S.; Mendez, F.; Ojeda, J.; Mansilla, A.</t>
  </si>
  <si>
    <t>Effects of temperature and salinity on the reproductive phases of Macrocystis pyrifera (L.) C. Agardh (Phaeophyceae) in the Magellan region</t>
  </si>
  <si>
    <t>Phaeophyta; Environmental heterogeneity; Salinity; Temperature; Sub-Antarctic region; Chile</t>
  </si>
  <si>
    <t>SUB-ANTARCTIC ECOREGION; GIANT-KELP; BEAGLE CHANNEL; CAPE HORN; GAMETOPHYTES; VARIABILITY; MAGALLANES; RHODOPHYTA; TOLERANCE; EVOLUTION</t>
  </si>
  <si>
    <t>The region of Magallanes has the world's largest sub-Antarctic environments, including the heterogeneous habitats of archipelagos, fjords, channels, and inlets formed by ice advancing and retreating during Quaternary glacial processes. In marine ecosystems, the temperature, salinity, and photoperiod are key parameters which delimit the survival, reproduction and development of the macroalgae and, therefore, the biogeography of numerous sub-Antarctic species. In this research, we compare the reproductive development patterns in spores of Macrocystis pyrifera coming from places with different salinities along longitudinal and latitudinal gradients in Skyring Sound, Otway Sound, the Strait of Magellan (Possession Bay and Puerto del Hambre), and the Beagle Channel (Paula Bay). Laboratory analyses included four salinities and two different temperatures, comparing the percentage of spore germination, sex ratio in females and male gametophytes, and the development of gametogenesis through the proportion of gametophytes and sporophytes, with a factorial experimental design. The best germination percentages were obtained in Puerto del Hambre; the best sex ratio, on the other hand, was in Skyring Sound; finaly, for gametogenesis development, the best results were obtained in Otway Sound and Possession Bay. We prove the temperature and salinity effect over the studied population; moreover, these results demonstrate that at the end of the cycle each population develops more effectively in their local conditions, evidence of a local adaptation in M. pyrifera populations living in contrasting sites in the same region. This is crucial to understand how these populations react to the effect of environmental stressors; furthermore, the selection of appropriate conditions is also an important factor for the future commercial cultivation management of these important macroalgae.</t>
  </si>
  <si>
    <t>[Pablo Rodriguez, Juan; Rosenfeld, S.; Mendez, F.; Ojeda, J.; Mansilla, A.] Univ Magallanes, LEMAS, Punta Arenas, Chile; [Pablo Rodriguez, Juan; Rosenfeld, S.; Mendez, F.; Ojeda, J.; Mansilla, A.] IEB, Santiago, Chile; [Terrados, J.; Ojeda, J.] UIB, CSIC, IMEDEA, Inst Mediterraneo Estudios Avanzados, Mallorca, Spain; [Ojeda, J.] Univ Victoria, Sch Environm Studies, Victoria, BC, Canada</t>
  </si>
  <si>
    <t>Universidad de Magallanes; Consejo Superior de Investigaciones Cientificas (CSIC); ATTITUS Educacao; Universitat de les Illes Balears; University of Victoria</t>
  </si>
  <si>
    <t>Rodríguez, JP (corresponding author), Univ Magallanes, LEMAS, Punta Arenas, Chile.;Rodríguez, JP (corresponding author), IEB, Santiago, Chile.</t>
  </si>
  <si>
    <t>jprp_2@hotmail.cl</t>
  </si>
  <si>
    <t>Ojeda, Jaime/HHN-1455-2022; Provoste, Juan Pablo Rodríguez/W-2988-2019; Terrados, Jorge/B-1062-2008</t>
  </si>
  <si>
    <t>Terrados, Jorge/0000-0002-0921-721X; Mansilla, Andres/0000-0003-3505-7018; Rosenfeld, Sebastian/0000-0002-4363-8018; Provoste, Jp/0000-0003-4910-3847; ojeda, jaime/0000-0003-3863-9750</t>
  </si>
  <si>
    <t>Institute of Ecology and Biodiversity (ICM) [P05-002]</t>
  </si>
  <si>
    <t>Institute of Ecology and Biodiversity (ICM)</t>
  </si>
  <si>
    <t>We are thankful for the graduate scholarships awarded by the Institute of Ecology and Biodiversity granted to FM (ICM, P05-002), JPR (ICM, P05-002), and SR (ICM P05-002).</t>
  </si>
  <si>
    <t>10.1007/s10811-018-1693-x</t>
  </si>
  <si>
    <t>WOS:000463988500010</t>
  </si>
  <si>
    <t>Ocaranza-Barrera, P; González-Wevar, CA; Guillemin, ML; Rosenfeld, S; Mansilla, A</t>
  </si>
  <si>
    <t>Ocaranza-Barrera, Paula; Gonzalez-Wevar, Claudio A.; Guillemin, Marie-Laure; Rosenfeld, Sebastian; Mansilla, Andres</t>
  </si>
  <si>
    <t>Molecular divergence between Iridaea cordata (Turner) Bory de Saint-Vincent from the Antarctic Peninsula and the Magellan Region</t>
  </si>
  <si>
    <t>Southern Ocean; Rhodophyta; Biogeography; Antarctic Circumpolar Current; Cryptic speciation; Vicariance</t>
  </si>
  <si>
    <t>LONG-DISTANCE DISPERSAL; CLIMATE-CHANGE; GENETIC-DIVERGENCE; RHODOPHYTA; DIVERSITY; RED; GIGARTINALES; SYSTEMATICS; MACROALGAE; REVEALS</t>
  </si>
  <si>
    <t>The distribution of the Southern Ocean (SO) biota is the result of major geological, oceanographic, and climate changes during the last 50 million years (Ma). Several groups of marine benthic organisms exhibit marked taxonomic similarities between the Antarctic Peninsula and southern South America, where families, genera, and even species are currently co-distributed in these continents. Several species of macroalgae including Gigartina skottsbergii, Plocamium cartilagineum, and Iridaea cordata are currently found on both sides of the Drake Passage. Advances in molecular techniques have allowed estimating phylogenetic relationships, levels of differentiation and divergence time estimates between populations from these continents in order to determine whether they constitute separate evolutionary units. In this study, we determine whether Iridaea cordata represents the same evolutionary unit in southern South America and the Antarctic Peninsula or if populations on the two sides of the Drake Passage represent different genetic lineages. According to our results, I. cordata populations from the Antarctic Peninsula and South America are clearly distinguishable evolutionary units with 8.31% and 3.17% mtDNA and cpDNA molecular divergence, respectively. The separation between Antarctic and South American populations of I. cordata occurred at the end of the Miocene, between 5 Ma (rbcL) and 9 Ma (COI-5P). These results are similar to those reported in G. skottsbergii on both sides of the Drake Passage. Thus, I. cordata populations on the two sides of the Drake Passage should be considered two sister species. Cryptic speciation plays an important role in the evolution of the Southern Ocean; thus, the systematics, biogeography, and biodiversity of the region require major revisions.</t>
  </si>
  <si>
    <t>[Ocaranza-Barrera, Paula; Rosenfeld, Sebastian; Mansilla, Andres] Univ Magallanes, LEMAS, Casilla 113-D, Punta Arenas, Chile; [Gonzalez-Wevar, Claudio A.] Univ Austral Chile, Fac Ciencias, ICML, Casilla 567, Valdivia, Chile; [Gonzalez-Wevar, Claudio A.] Univ Chile, Inst Milenio Ecol &amp; Biodiversidad IEB, Fac Ciencias, Las Palmeras 3425, Santiago, Chile; [Gonzalez-Wevar, Claudio A.; Guillemin, Marie-Laure] Ctr FONDAP Invest Dinam Ecosistemas Marinos Altas, Valdivia, Chile; [Guillemin, Marie-Laure] Univ Austral Chile, Fac Ciencias, Inst Ciencias Ambientales &amp; Evolut, Casilla 567, Valdivia, Chile; [Guillemin, Marie-Laure] UPMC Univ Paris VI, Sorbonne Univ, CNRS,Stn Biol Roscoff, UMI 3614,UACH,Evolutionary Biol &amp; Ecol Algae,PUC, Roscoff, France</t>
  </si>
  <si>
    <t>Universidad de Magallanes; Universidad Austral de Chile; Universidad de Chile; Universidad Austral de Chile; Sorbonne Universite; Centre National de la Recherche Scientifique (CNRS); CNRS - Institute of Ecology &amp; Environment (INEE)</t>
  </si>
  <si>
    <t>Ocaranza-Barrera, P (corresponding author), Univ Magallanes, LEMAS, Casilla 113-D, Punta Arenas, Chile.</t>
  </si>
  <si>
    <t>pau.ocaranza.barrera@gmail.com</t>
  </si>
  <si>
    <t>González-Wevar, Claudio Alejandro/AAD-6513-2021</t>
  </si>
  <si>
    <t>Ocaranza-Barrera, Paula/0000-0001-6850-3235; Rosenfeld, Sebastian/0000-0002-4363-8018; Mansilla, Andres/0000-0003-3505-7018</t>
  </si>
  <si>
    <t>INACH project [MG_07-17]; Fondecyt Initiation project [11140087]; INACH [RG_18-17, RG_15-16]; GAB [ACT172065]; Instituto de Ecologia y Biodiversidad IEB [P05-002 ICM, PFB023]; Fondecyt Regular project [1140940]; FONDAP [15150003]</t>
  </si>
  <si>
    <t>INACH project; Fondecyt Initiation project(Comision Nacional de Investigacion Cientifica y Tecnologica (CONICYT)CONICYT FONDECYT); INACH; GAB; Instituto de Ecologia y Biodiversidad IEB; Fondecyt Regular project(Comision Nacional de Investigacion Cientifica y Tecnologica (CONICYT)CONICYT FONDECYT); FONDAP</t>
  </si>
  <si>
    <t>This study was supported by different projects and institutions: INACH project MG_07-17 to P.O-B; Fondecyt Initiation project 11140087, INACH RG_18-17, and GAB (ACT172065) to C.A.G-W; projects P05-002 ICM and PFB023 (Instituto de Ecologia y Biodiversidad IEB) to C.A.G-W. and A.M.; Fondecyt Regular project 1140940 to A.M. and P.O-B.; INACH project RG_15-16 to M-L. G.; and FONDAP program project no. 15150003 to M-L.G. and C.A.G-W.</t>
  </si>
  <si>
    <t>10.1007/s10811-018-1656-2</t>
  </si>
  <si>
    <t>WOS:000463988500013</t>
  </si>
  <si>
    <t>Badis, Y; Klochkova, TA; Strittmatter, M; Garvetto, A; Murúa, P; Sanderson, JC; Kim, GH; Gachon, CMM</t>
  </si>
  <si>
    <t>Badis, Yacine; Klochkova, Tatyana A.; Strittmatter, Martina; Garvetto, Andrea; Murua, Pedro; Sanderson, J. Craig; Kim, Gwang Hoon; Gachon, Claire M. M.</t>
  </si>
  <si>
    <t>Novel species of the oomycete Olpidiopsis potentially threaten European red algal cultivation</t>
  </si>
  <si>
    <t>Aquaculture; Algal disease; Algal parasite; Barcoding; Biosecurity; Olpidiopsis; Oomycete; Rhodophyte</t>
  </si>
  <si>
    <t>INFECTS BOSTRYCHIA; PYTHIUM-PORPHYRAE; SPOT DISEASE; SEA FARMS; SP NOV.; PYROPIA; ENDOPARASITE; YEZOENSIS; ROT</t>
  </si>
  <si>
    <t>The rapid growth of marine macroalgal cultivation amplifies the potential impacts of seaweed diseases. Here, we combine microscopy and molecular analysis to describe two novel European species, Olpidiopsis palmariae and O. muelleri spp. nov., that infect the commercially important red algae Palmaria and Porphyra, respectively. A Scottish variety of Olpidiopsis porphyrae, a devastating pathogen of Pyropia previously thought to be restricted to Japanese seaweed farms, is also described as O. porphyrae var. scotiae. In the light of their destructiveness in Asian farms, together with the global expansion of algal cultivation and pertaining seed trade, Olpidiopsis pathogens should be treated as a serious threat to the sustainability of red algal aquaculture. Our findings call for the documentation of seaweed pathogens and the creation of an international biosecurity framework to limit their spread.</t>
  </si>
  <si>
    <t>[Badis, Yacine; Strittmatter, Martina; Garvetto, Andrea; Murua, Pedro; Gachon, Claire M. M.] Scottish Assoc Marine Sci, Scottish Marine Inst, Oban PA37 1QA, Argyll, Scotland; [Klochkova, Tatyana A.] Kamchatka State Tech Univ, Petropavlovsk Kamchatski 683003, Russia; [Strittmatter, Martina] Roscoff Biol Stn, Pl Georges Teissier, F-29680 Roscoff, France; [Murua, Pedro] Univ Aberdeen, Aberdeen Oomycete Lab, Coll Life Sci &amp; Med, Foresterhill, Aberdeen AB25 2ZD, Scotland; [Sanderson, J. Craig] Univ Tasmania, Inst Marine &amp; Antarctic Studies, Hobart, Tas, Australia; [Kim, Gwang Hoon] Kongju Natl Univ, Dept Biol, Kong Ju 32588, South Korea</t>
  </si>
  <si>
    <t>UHI Millennium Institute; University of Aberdeen; University of Tasmania; Kongju National University</t>
  </si>
  <si>
    <t>Gachon, CMM (corresponding author), Scottish Assoc Marine Sci, Scottish Marine Inst, Oban PA37 1QA, Argyll, Scotland.</t>
  </si>
  <si>
    <t>claire.gachon@sams.ac.uk</t>
  </si>
  <si>
    <t>Klochkova, Tatyana/R-5087-2016; Murúa, Pedro/J-6397-2014; Murua, Pedro/L-6686-2019; Kim, Gwang Hoon/L-2266-2017; Gachon, Claire MM/C-2787-2009</t>
  </si>
  <si>
    <t>Murúa, Pedro/0000-0002-1598-7261; Murua, Pedro/0000-0002-1598-7261; Kim, Gwang Hoon/0000-0001-8177-6107; Strittmatter, Martina/0000-0002-1258-9751; Badis, Yacine/0000-0003-1606-3906; Gachon, Claire/0000-0002-3702-7472</t>
  </si>
  <si>
    <t>UK NERC IOF Pump-priming + scheme [NE/L013223/1]; European Union [642575, 654008]; Genomia fund; MASTS Visiting Fellowship; Conicyt [72130422]; NERC IOF Pump-priming [NE/L013223/1]; National Research Foundation of Korea Grant [NRF-2015M1A5A1041804]; Marie Curie Actions (MSCA) [642575] Funding Source: Marie Curie Actions (MSCA); NERC [NE/L013223/1] Funding Source: UKRI</t>
  </si>
  <si>
    <t>UK NERC IOF Pump-priming + scheme; European Union(European Union (EU)); Genomia fund; MASTS Visiting Fellowship; Conicyt(Comision Nacional de Investigacion Cientifica y Tecnologica (CONICYT)); NERC IOF Pump-priming; National Research Foundation of Korea Grant(National Research Foundation of Korea); Marie Curie Actions (MSCA)(Marie Curie Actions); NERC(UK Research &amp; Innovation (UKRI)Natural Environment Research Council (NERC))</t>
  </si>
  <si>
    <t>This work was financially supported by the UK NERC IOF Pump-priming + scheme (NE/L013223/1 -Y.B./C.M.M.G.), the European Union's Horizon 2020 research and innovation (ALFF No 642575 - A.G./C.M.M.G; EMBRIC No 654008 - C.M.M.G.), the Genomia fund (HERDIR -M.S.), and a MASTS Visiting Fellowship Scheme (J.C.S.). P.M. was funded by Conicyt (BecasChile No. 72130422) for PhD studies at the University of Aberdeen, and by the NERC IOF Pump-priming (scheme NE/L013223/1) for activities at the Scottish Association for Marine Sciences. This work was partially supported by a National Research Foundation of Korea Grant (NRF-2015M1A5A1041804) funded to G.H.K. We are also grateful Duncan Smallman and Philip Kerrison for providing Palmaria specimens.</t>
  </si>
  <si>
    <t>10.1007/s10811-018-1641-9</t>
  </si>
  <si>
    <t>WOS:000463988500041</t>
  </si>
  <si>
    <t>Barión, PH; Lindhorst, S; Schutter, I; Falk, U; Kuhn, G</t>
  </si>
  <si>
    <t>Barion, Pablo Heredia; Lindhorst, Sebastian; Schutter, Ilona; Falk, Ulrike; Kuhn, Gerhard</t>
  </si>
  <si>
    <t>Reaction of a polar gravel-spit system to atmospheric warming and glacier retreat as reflected by morphology and internal sediment geometries (South Shetland Islands, Antarctica)</t>
  </si>
  <si>
    <t>EARTH SURFACE PROCESSES AND LANDFORMS</t>
  </si>
  <si>
    <t>ground-penetrating radar; polar gravel beaches; glacio-isostatic adjustment; deglaciation; Antarctic Peninsula</t>
  </si>
  <si>
    <t>KING-GEORGE-ISLAND; SEA-ICE; LIVINGSTON ISLAND; RAISED BEACHES; MAXWELL BAY; HOLOCENE; PENINSULA; CLIMATE; FLUCTUATIONS; ARCHITECTURE</t>
  </si>
  <si>
    <t>Sedimentary architecture and morphogenetic evolution of a polar bay-mouth gravel-spit system are revealed based on topographic mapping, sedimentological data, radiocarbon dating and ground-penetrating radar investigations. Data document variable rates of spit progradation in reaction to atmospheric warming synchronous to the termination of the last glacial re-advance (LGR, 0.45-0.25ka BP), the southern hemisphere equivalent of the Little Ice Age cooling period. Results show an interruption of spit progradation that coincides with the proposed onset of accelerated isostatic rebound in reaction to glacier retreat. Spit growth resumed in the late 19th century after the rate of isostatic rebound decreased, and continues until today. The direction of modern spit progradation, however, is rotated northwards compared with the growth axis of the early post-LGR spit. This is interpreted to reflect the shift and strengthening in the regional wind field during the last century. A new concept for the interplay of polar gravel-spit progradation and glacio-isostatic adjustment is presented, allowing for the prediction of future coastal evolution in comparable polar settings. (c) 2018 The Authors. Earth Surface Processes and Landforms published by John Wiley &amp; Sons Ltd.</t>
  </si>
  <si>
    <t>[Barion, Pablo Heredia; Falk, Ulrike; Kuhn, Gerhard] Alfred Wegener Inst, Helmholtz Ctr Polar &amp; Marine Res, Geosci Div, Alten Hafen 26, D-27568 Bremerhaven, Germany; [Barion, Pablo Heredia] Univ Bremen, Dept Geosci, Klagenfurterstr 2-4, D-28359 Bremen, Germany; [Lindhorst, Sebastian; Schutter, Ilona] Univ Hamburg, Inst Geol, Bundesstr 55, D-20146 Hamburg, Germany</t>
  </si>
  <si>
    <t>Helmholtz Association; Alfred Wegener Institute, Helmholtz Centre for Polar &amp; Marine Research; University of Bremen; University of Hamburg</t>
  </si>
  <si>
    <t>Barión, PH (corresponding author), Alfred Wegener Inst, Helmholtz Ctr Polar &amp; Marine Res, Geosci Div, Alten Hafen 26, D-27568 Bremerhaven, Germany.</t>
  </si>
  <si>
    <t>pablo.heredia@awi.de</t>
  </si>
  <si>
    <t>German Research Foundation (DFG) [Li2005/1-1, 1158]; Alfred Wegener Institute (AWI) , Helmholtz Centre PACES II (Polar Regions and Coasts in the changing Earth System); IMCONet (FP7 IRSES) [319718]</t>
  </si>
  <si>
    <t>German Research Foundation (DFG)(German Research Foundation (DFG)); Alfred Wegener Institute (AWI) , Helmholtz Centre PACES II (Polar Regions and Coasts in the changing Earth System); IMCONet (FP7 IRSES)</t>
  </si>
  <si>
    <t>We acknowledge funding by the German Research Foundation (DFG project Li2005/1-1 to SL) in the framework of the DFG-priority program 1158 'Antarctic Research with comparative investigations in Arctic ice areas' and support by the Alfred Wegener Institute (AWI), Helmholtz Centre PACES II (Polar Regions and Coasts in the changing Earth System). PHB, UF and GK were funded as well by IMCONet (FP7 IRSES, action no. 319718). SL and IS thank the crews of the Argentine research station 'Carlini' and the adjoined German Dallmann-Labor (AWI) during the 2010 and 2011 field seasons for their cordial hospitality and invaluable logistical support. We also thank KM Stange for his comments, which improved an early version of this manuscript. The manuscript has been significantly improved by the detailed and thorough reviews made by two anonymous reviewers.</t>
  </si>
  <si>
    <t>0197-9337</t>
  </si>
  <si>
    <t>1096-9837</t>
  </si>
  <si>
    <t>EARTH SURF PROC LAND</t>
  </si>
  <si>
    <t>Earth Surf. Process. Landf.</t>
  </si>
  <si>
    <t>10.1002/esp.4565</t>
  </si>
  <si>
    <t>HS6AU</t>
  </si>
  <si>
    <t>WOS:000463953500012</t>
  </si>
  <si>
    <t>Fiorani, L; Angelini, F; Artuso, F; Cataldi, D; Colao, F</t>
  </si>
  <si>
    <t>Fiorani, Luca; Angelini, Federico; Artuso, Florinda; Cataldi, Dario; Colao, Francesco</t>
  </si>
  <si>
    <t>Lidar Monitoring of Chlorophyll a During the XXIX and XXXI Italian Antarctic Expeditions</t>
  </si>
  <si>
    <t>INTERNATIONAL JOURNAL OF ENVIRONMENTAL RESEARCH</t>
  </si>
  <si>
    <t>Lidar; HPLC; Chlorophyll; Coastal monitoring; Ross Sea (Antarctica)</t>
  </si>
  <si>
    <t>ROSS SEA; PHYTOPLANKTON; FLUORESCENCE; CYCLES</t>
  </si>
  <si>
    <t>Although it is known that the Ross Sea is responsible for more than a quarter of CO2 absorption of the Southern Ocean, more information is needed to model the primary production of this key area. In particular, it is necessary to improve the characterization of the size class distribution, biomass and taxonomic composition of phytoplankton in the Ross Sea. Recently, an innovative compact lidar fluorosensor was deployed for real-time sensing of chlorophyll a, during the Ross Sea Mesoscale Experiment (RoME), conducted in the XXIX (2014) and XXXI (2016) Italian Antarctic expeditions. Furthermore, high-performance liquid chromatography (HPLC) was also performed to provide pigment analysis of in situ samples. Lidar fluorosensors are laser-induced fluorescence (LIF) instruments and have been extensively operated by the Italian National Agency for New Technologies, Energy and Sustainable Economic Development (ENEA) since the 1990s to monitor water bodies. Spectra obtained with LIF contain signatures of phytoplankton pigments, chromophoric dissolved organic matter and dispersed impurities, such as crude oils. The study of algal pigments provides not only the phytoplankton biomassdirectly linked to chlorophyll abut also its taxonomic composition through detection of several accessory pigments. Moreover, some models allow the identification of phytoplankton size classes. Lidar and HPLC mapped the spatiotemporal distribution of algal biomass and showed that during RoME, the phytoplankton assemblage structure was dominated by large-size cells (micro-phytoplankton) and the prevailing algal groups were diatoms. Article HighlightsLidar fluorosensors provide fast measurements of phytoplankton pigmentsThey are the missing link between satellite radiometers and in situ instrumentsHigh performance liquid chromatography integrates lidar fluorosensorsPhytoplankton spatiotemporal distribution was mapped in the Ross Sea (Antarctica)Phytoplankton functional types and size classes were retrieved</t>
  </si>
  <si>
    <t>[Fiorani, Luca; Angelini, Federico; Artuso, Florinda; Cataldi, Dario; Colao, Francesco] ENEA, Nucl Fus &amp; Safety Technol Dept, Via Enrico Fermi 45, I-00044 Frascati, Italy</t>
  </si>
  <si>
    <t>Italian National Agency New Technical Energy &amp; Sustainable Economics Development</t>
  </si>
  <si>
    <t>Fiorani, L (corresponding author), ENEA, Nucl Fus &amp; Safety Technol Dept, Via Enrico Fermi 45, I-00044 Frascati, Italy.</t>
  </si>
  <si>
    <t>luca.fiorani@enea.it</t>
  </si>
  <si>
    <t>Angelini, Federico/AAJ-3464-2020; Fiorani, Luca/AAT-8943-2021</t>
  </si>
  <si>
    <t>Fiorani, Luca/0000-0001-9696-3124; Angelini, Federico/0000-0002-9264-7228</t>
  </si>
  <si>
    <t>Italian Antarctic Research Program (PNRA) [2013/AN2.04]</t>
  </si>
  <si>
    <t>Italian Antarctic Research Program (PNRA)</t>
  </si>
  <si>
    <t>The authors are grateful to Cristina Misic for fluorometer data, Antonio Palucci for useful discussions, Carla Cavalcariola for management assistance, Augustine Doronila for paper revision and Roberta Fantoni for constant encouragement. This work was supported by the Italian Antarctic Research Program (PNRA) under Grant 2013/AN2.04.</t>
  </si>
  <si>
    <t>SPRINGER INTERNATIONAL PUBLISHING AG</t>
  </si>
  <si>
    <t>CHAM</t>
  </si>
  <si>
    <t>GEWERBESTRASSE 11, CHAM, CH-6330, SWITZERLAND</t>
  </si>
  <si>
    <t>1735-6865</t>
  </si>
  <si>
    <t>2008-2304</t>
  </si>
  <si>
    <t>INT J ENVIRON RES</t>
  </si>
  <si>
    <t>Int. J. Environ. Res.</t>
  </si>
  <si>
    <t>10.1007/s41742-019-00169-w</t>
  </si>
  <si>
    <t>HS2FU</t>
  </si>
  <si>
    <t>WOS:000463677300003</t>
  </si>
  <si>
    <t>Meredith, NP</t>
  </si>
  <si>
    <t>Meredith, Nigel P.</t>
  </si>
  <si>
    <t>Turning the sounds of space into art</t>
  </si>
  <si>
    <t>ASTRONOMY &amp; GEOPHYSICS</t>
  </si>
  <si>
    <t>[Meredith, Nigel P.] British Antarctic Survey, Cambridge, England</t>
  </si>
  <si>
    <t>Meredith, NP (corresponding author), British Antarctic Survey, Cambridge, England.</t>
  </si>
  <si>
    <t>Meredith, Nigel P/C-5806-2018</t>
  </si>
  <si>
    <t>Meredith, Nigel/0000-0001-5032-3463; Horne, Richard/0000-0002-0412-6407</t>
  </si>
  <si>
    <t>Natural Environment Research Council Highlight Topic grant [NE/P10738X/1]; NERC [bas0100031, NE/P01738X/1] Funding Source: UKRI</t>
  </si>
  <si>
    <t>Natural Environment Research Council Highlight Topic grant; NERC(UK Research &amp; Innovation (UKRI)Natural Environment Research Council (NERC))</t>
  </si>
  <si>
    <t>Sounds of Space has received support from the Natural Environment Research Council Highlight Topic grant NE/P10738X/1 (Rad-Sat).</t>
  </si>
  <si>
    <t>1366-8781</t>
  </si>
  <si>
    <t>1468-4004</t>
  </si>
  <si>
    <t>ASTRON GEOPHYS</t>
  </si>
  <si>
    <t>Astron. Geophys.</t>
  </si>
  <si>
    <t>10.1093/astrogeo/atz097</t>
  </si>
  <si>
    <t>Astronomy &amp; Astrophysics; Geochemistry &amp; Geophysics</t>
  </si>
  <si>
    <t>HS2SH</t>
  </si>
  <si>
    <t>WOS:000463711800041</t>
  </si>
  <si>
    <t>Gromig, R; Wagner, B; Wennrich, V; Fedorov, G; Savelieva, L; Lebas, E; Krastel, S; Brill, D; Andreev, A; Subetto, D; Melles, M</t>
  </si>
  <si>
    <t>Gromig, Raphael; Wagner, Bernd; Wennrich, Volker; Fedorov, Grigory; Savelieva, Larisa; Lebas, Elodie; Krastel, Sebastian; Brill, Dominik; Andreev, Andrei; Subetto, Dmitry; Melles, Martin</t>
  </si>
  <si>
    <t>Deglaciation history of Lake Ladoga (northwestern Russia) based on varved sediments</t>
  </si>
  <si>
    <t>BOREAS</t>
  </si>
  <si>
    <t>SCANDINAVIAN ICE-SHEET; LAST GLACIAL MAXIMUM; TEMPERATURE RECONSTRUCTION; ENVIRONMENTAL-CONDITIONS; SOUTHEASTERN SECTOR; HOLOCENE CLIMATE; OXYGEN-ISOTOPE; BALTIC SEA; AGE; RECORDS</t>
  </si>
  <si>
    <t>Lake Ladoga in northwestern Russia is Europe's largest lake. The postglacial history of the Ladoga basin is for the first time documented continuously with high temporal resolution in the upper 13.3m of a sediment core (Co1309) from the northwestern part of the lake. We applied a multiproxy approach including radiographic imaging, (bio-)geochemical and granulometric analyses. Age control was established combining radiocarbon dating with varve chronology, the latter anchored to a correlated radiocarbon age from a lake close by. The age-depth model reveals the onset of glacial varve sedimentation at 13910 +/- 140cal. a BP, when Lake Ladoga was part of the Baltic Ice Lake. Linear extrapolation of published retreat rates of the Scandinavian Ice Sheet provides a formation age of the Luga moraine close to Lake Ladoga's southern shore of 14.5-15.9cal. ka BP, older than previously assumed. Varve sedimentation covers the BOlling/AllerOd interstadial, the Younger Dryas stadial and the Early Holocene. Varve-thickness variations, conjoined with grain-size and geochemical variations, inform about the relative position of the Scandinavian Ice Sheet and the climate during the deglaciation phase. The upper limit of the varved succession marks the change from glaciolacustrine to normal lacustrine sedimentation and post-dates the drainage of the Baltic Ice Lake as well as the formation of the Salpausselka II moraine north of Lake Ladoga, by c.250years. The Holocene sediment record is divided into three periods in the following order: (i) a lower transition zone between the Holocene boundary and c.9.5cal. ka BP, characterized by mostly massive sediments with low organic content, (ii) a phase with increased organic content from c.9.5 to 4.5cal. ka BP corresponding to the Holocene Thermal Maximum, and (iii) a phase with relatively stable sedimentation in a lacustrine environment from c.4.5cal. ka BP until present.</t>
  </si>
  <si>
    <t>[Gromig, Raphael; Wagner, Bernd; Wennrich, Volker; Andreev, Andrei; Melles, Martin] Univ Cologne, Inst Geol &amp; Mineral, Zulpicher Str 49a, D-50674 Cologne, Germany; [Fedorov, Grigory] Arctic &amp; Antarctic Res Inst, Bering Str 38, St Petersburg 199397, Russia; [Fedorov, Grigory; Savelieva, Larisa] St Petersburg State Univ, Univ Skaya Nab 7-9, St Petersburg 199034, Russia; [Lebas, Elodie; Krastel, Sebastian] Univ Kiel, Inst Geosci, Otto Hahn Pl 1, D-24118 Kiel, Germany; [Brill, Dominik] Univ Cologne, Inst Geog, Otto Fischer Str 4, D-50674 Cologne, Germany; [Subetto, Dmitry] Herzen State Pedag Univ Russia, Moika 48, St Petersburg 191186, Russia; [Subetto, Dmitry] Russian Acad Sci, Karelian Res Ctr, Northern Water Problems Inst, Alexander Nevsky 50, Petrozavodsk 185030, Russia</t>
  </si>
  <si>
    <t>University of Cologne; Arctic &amp; Antarctic Research Institute; Saint Petersburg State University; University of Kiel; University of Cologne; Herzen State Pedagogical University of Russia; Russian Academy of Sciences; Karelian Research Centre of the Russian Academy of Sciences; Northern Water Problems Institute, Karelian Scientific Center, RAS</t>
  </si>
  <si>
    <t>Gromig, R (corresponding author), Univ Cologne, Inst Geol &amp; Mineral, Zulpicher Str 49a, D-50674 Cologne, Germany.</t>
  </si>
  <si>
    <t>gromigr@uni-koeln.de</t>
  </si>
  <si>
    <t>Melles, Martin/J-4070-2012; Savelieva, Larisa/H-9135-2013; Andreev, Andrei A/J-2701-2015; Wennrich, Volker/I-3435-2012; Fedorov, Grigory/N-5788-2019; Wagner, Bernd/J-4682-2012; Brill, Dominik/O-2442-2015; Krastel, Sebastian/C-2001-2017; Subetto, Dmitry/A-4467-2014</t>
  </si>
  <si>
    <t>Melles, Martin/0000-0003-0977-9463; Andreev, Andrei A/0000-0002-8745-9636; Wennrich, Volker/0000-0003-3617-1963; Fedorov, Grigory/0000-0003-2269-4501; Wagner, Bernd/0000-0002-1369-7893; Brill, Dominik/0000-0001-8637-4641; Krastel, Sebastian/0000-0002-5899-9748; Lebas, Elodie/0000-0003-1617-143X; Gromig, Raphael/0000-0001-9217-4259; Subetto, Dmitry/0000-0002-3585-8598</t>
  </si>
  <si>
    <t>German Federal Ministry for Education and Research (BMBF) [03G0859A]; Russian Government Program of Competitive Growth of Kazan Federal University; St. Petersburg State University [18.40.68.2017, 18.65.39.2017]; Russian Science Foundation [18-17-00176]; Russian Science Foundation [18-17-00176] Funding Source: Russian Science Foundation</t>
  </si>
  <si>
    <t>German Federal Ministry for Education and Research (BMBF)(Federal Ministry of Education &amp; Research (BMBF)); Russian Government Program of Competitive Growth of Kazan Federal University; St. Petersburg State University; Russian Science Foundation(Russian Science Foundation (RSF)); Russian Science Foundation(Russian Science Foundation (RSF))</t>
  </si>
  <si>
    <t>Financial support for this study was provided by the German Federal Ministry for Education and Research (BMBF; grant 03G0859A). The work of A. Andreev was also partly sponsored by the Russian Government Program of Competitive Growth of Kazan Federal University. The work of L. Savelieva and G. Fedorov was partly supported by St. Petersburg State University (projects no. 18.40.68.2017 and no. 18.65.39.2017). D. Subetto received some support from the Russian Science Foundation (no. 18-17-00176). We are grateful to the crew of the R/V 'Ekolog' and the fellow colleagues from the Northern Water Problems Institute, Karelian Research Centre of Russian Academy of Sciences, in Petrozavodsk for their competent help in collecting the sediment cores from Lake Ladoga. Nicole Mantke and Dorothea Klinghardt are acknowledged for their assistance during the laboratory work. Special thanks go to the guest editor John-Inge Svendsen, to the reviewer Richard Gyllencreutz and to one anonymous reviewer for their suggestions, which helped to significantly improve the manuscript. All data will be made available via the PANGAEA data repository.</t>
  </si>
  <si>
    <t>0300-9483</t>
  </si>
  <si>
    <t>1502-3885</t>
  </si>
  <si>
    <t>Boreas</t>
  </si>
  <si>
    <t>10.1111/bor.12379</t>
  </si>
  <si>
    <t>HS3FS</t>
  </si>
  <si>
    <t>WOS:000463748900006</t>
  </si>
  <si>
    <t>Savelieva, LA; Andreev, AA; Gromig, R; Subetto, DA; Fedorov, GB; Wennrich, V; Wagner, B; Melles, M</t>
  </si>
  <si>
    <t>Savelieva, Larisa A.; Andreev, Andrei A.; Gromig, Raphael; Subetto, Dmitry A.; Fedorov, Grigory B.; Wennrich, Volker; Wagner, Bernd; Melles, Martin</t>
  </si>
  <si>
    <t>Vegetation and climate changes in northwestern Russia during the Lateglacial and Holocene inferred from the Lake Ladoga pollen record</t>
  </si>
  <si>
    <t>EASTERN BALTIC REGION; KARELIAN ISTHMUS; INTCAL13; HISTORY; BASIN</t>
  </si>
  <si>
    <t>The new pollen record from the upper 12.75m of a sediment core obtained in Lake Ladoga documents regional vegetation and climate changes in northwestern Russia over the last 13.9cal. ka. The Lateglacial chronostratigraphy is based on varve chronology, while the Holocene stratigraphy is based on AMS C-14 and OSL dates, supported by comparison with regional pollen records. During the Lateglacial (c.13.9-11.2cal. ka BP), the Lake Ladoga region experienced several climatic fluctuations as reflected in vegetation changes. Shrub and grass communities dominated between c.13.9 and 13.2cal. ka BP. The increase in Picea pollen at c.13.2cal. ka BPprobably reflects the appearance of spruce in the southern Ladoga region at the beginning of the AllerOd interstadial. After c.12.6cal. ka BP, the Younger Dryas cooling caused a significant decrease in spruce and increase in Artemisia with other herbs, indicative of tundra- and steppe-like vegetation. A sharp transition from tundra-steppe habitats to sparse birch forests characterizes the onset of Holocene warming c.11.2cal. ka BP. Pine forests dominated in the region from c.9.0 to 8.1cal. ka BP. The most favourable climatic conditions for deciduous broad-leaved taxa existed between c.8.1 and 5.5cal. ka BP. Alder experiences an abrupt increase in the local vegetation c.7.8cal. ka BP. The decrease in tree pollen taxa (especially Picea) and the increase in herbs (mainly Poaceae) probably reflect human activity during the last 2.2cal. ka. Pine forests have dominated the region since that time. Secale and other Cerealia pollen as well as ruderal herbs are permanently recorded since c. 0.8cal. ka BP.</t>
  </si>
  <si>
    <t>[Savelieva, Larisa A.; Fedorov, Grigory B.] St Petersburg State Univ, Inst Earth Sci, Univ Skaya 7-9, St Petersburg 199034, Russia; [Andreev, Andrei A.; Gromig, Raphael; Wennrich, Volker; Wagner, Bernd; Melles, Martin] Univ Cologne, Inst Geol &amp; Mineral, Zulpicher 49a, D-50674 Cologne, Germany; [Andreev, Andrei A.] Kazan Fed Univ, Inst Geol &amp; Petr Technol, Kremlevskaya 18, Kazan 420008, Russia; [Subetto, Dmitry A.] Herzen State Pedag Univ Russia, Moika 48, St Petersburg 191186, Russia; [Subetto, Dmitry A.] RAS, Karelian Res Ctr, Northern Water Problems Inst, Alexander Nevsky 50, Petrozavodsk 185030, Russia; [Fedorov, Grigory B.] Arctic &amp; Antarctic Res Inst, Beringa 38, St Petersburg 199397, Russia</t>
  </si>
  <si>
    <t>Saint Petersburg State University; University of Cologne; Kazan Federal University; Herzen State Pedagogical University of Russia; Russian Academy of Sciences; Karelian Research Centre of the Russian Academy of Sciences; Northern Water Problems Institute, Karelian Scientific Center, RAS; Arctic &amp; Antarctic Research Institute</t>
  </si>
  <si>
    <t>Andreev, AA (corresponding author), Univ Cologne, Inst Geol &amp; Mineral, Zulpicher 49a, D-50674 Cologne, Germany.;Andreev, AA (corresponding author), Kazan Fed Univ, Inst Geol &amp; Petr Technol, Kremlevskaya 18, Kazan 420008, Russia.</t>
  </si>
  <si>
    <t>aandreev@awi.de</t>
  </si>
  <si>
    <t>Wennrich, Volker/I-3435-2012; Melles, Martin/J-4070-2012; Andreev, Andrei A/J-2701-2015; Wagner, Bernd/J-4682-2012; Fedorov, Grigory/N-5788-2019; Subetto, Dmitry/A-4467-2014; Savelieva, Larisa/H-9135-2013</t>
  </si>
  <si>
    <t>Wennrich, Volker/0000-0003-3617-1963; Melles, Martin/0000-0003-0977-9463; Andreev, Andrei A/0000-0002-8745-9636; Wagner, Bernd/0000-0002-1369-7893; Fedorov, Grigory/0000-0003-2269-4501; Subetto, Dmitry/0000-0002-3585-8598; Gromig, Raphael/0000-0001-9217-4259; Savelieva, Larisa/0000-0003-2749-7603</t>
  </si>
  <si>
    <t>German Federal Ministry for Education and Research (BMBF) [03G0859A]; NWPI KarSC research [0223-2014-0012]; RFBR [16-05-00727]; [18.40.68.2017]; [18.65.39.2017]</t>
  </si>
  <si>
    <t>German Federal Ministry for Education and Research (BMBF)(Federal Ministry of Education &amp; Research (BMBF)); NWPI KarSC research; RFBR(Russian Foundation for Basic Research (RFBR)); ;</t>
  </si>
  <si>
    <t>Financial support for this study was provided by the German Federal Ministry for Education and Research (BMBF grant 03G0859A). The work of L. Savelieva and G. Fedorov at the St. Petersburg State University was partly supported by projects No. 18.40.68.2017 and No. 18.65.39.2017. D. Subetto received some support from the NWPI KarSC research topic 0223-2014-0012 and RFBR No. 16-05-00727, and A. Andreev from the Russian Government Program of Competitive Growth of Kazan Federal University. We thank Anne E. Bjune and an anonymous reviewer for valuable comments that helped to improve the manuscript.</t>
  </si>
  <si>
    <t>10.1111/bor.12376</t>
  </si>
  <si>
    <t>WOS:000463748900007</t>
  </si>
  <si>
    <t>Kostrova, SS; Meyer, H; Bailey, HL; Ludikova, AV; Gromig, R; Kuhn, G; Shibaev, YA; Kozachek, AV; Ekaykin, AA; Chapligin, B</t>
  </si>
  <si>
    <t>Kostrova, Svetlana S.; Meyer, Hanno; Bailey, Hannah L.; Ludikova, Anna V.; Gromig, Raphael; Kuhn, Gerhard; Shibaev, Yuri A.; Kozachek, Anna V.; Ekaykin, Alexey A.; Chapligin, Bernhard</t>
  </si>
  <si>
    <t>Holocene hydrological variability of Lake Ladoga, northwest Russia, as inferred from diatom oxygen isotopes</t>
  </si>
  <si>
    <t>ATMOSPHERIC CIRCULATION; NETTILLING LAKE; CLIMATE CHANGES; WESTERN RUSSIA; KOLA-PENINSULA; BAFFIN-ISLAND; RECORD; SILICA; ICE; SEDIMENTS</t>
  </si>
  <si>
    <t>This article presents a new comprehensive assessment of the Holocene hydrological variability of Lake Ladoga, northwest Russia. The reconstruction is based on oxygen isotopes of lacustrine diatom silica (O-18(diatom)) preserved in sediment core Co 1309, and is complemented by a diatom assemblage analysis and a survey of modern isotope hydrology. The data indicate that Lake Ladoga has existed as a freshwater reservoir since at least 10.8cal. ka BP. The O-18(diatom) values range from +29.8 to +35.0 parts per thousand, and relatively higher O-18(diatom) values around +34.7 parts per thousand between c. 7.1 and 5.7cal. ka BP are considered to reflect the Holocene Thermal Maximum. A continuous depletion in O-18(diatom) since c. 6.1cal. ka BP accelerates after c. 4cal. ka BP, indicating Middle to Late Holocene cooling that culminates during the interval 0.8-0.2cal. ka BP, corresponding to the Little Ice Age. Lake-level rises result in lower O-18(diatom) values, whereas lower lake levels cause higher O-18(diatom) values. The diatom isotope record gives an indication for a rather early opening of the Neva River outflow at c. 4.4-4.0cal. ka BP. Generally, overall high O-18(diatom) values around +33.5 parts per thousand characterize a persistent evaporative lake system throughout the Holocene. As the Lake Ladoga O-18(diatom) record is roughly in line with the 60 degrees N summer insolation, a linkage to broader-scale climate change is likely.</t>
  </si>
  <si>
    <t>[Kostrova, Svetlana S.; Meyer, Hanno; Bailey, Hannah L.; Chapligin, Bernhard] Helmholtz Ctr Polar &amp; Marine Res, Res Unit Potsdam, Alfred Wegener Inst, Telegrafenberg A45, D-14473 Potsdam, Germany; [Kostrova, Svetlana S.] Russian Acad Sci, Siberian Branch, Vinogradov Inst Geochem, Favorsky Str 1a, Irkutsk 664033, Russia; [Bailey, Hannah L.] Univ Oulu, Dept Ecol &amp; Genet, Oulu 90014, Finland; [Ludikova, Anna V.] Russian Acad Sci, Inst Limnol, Sevastyanova Str 9, St Petersburg 196105, Russia; [Gromig, Raphael] Univ Cologne, Inst Geol &amp; Mineral, Zuelpicher Str 49a, D-50674 Cologne, Germany; [Kuhn, Gerhard] Helmholtz Ctr Polar &amp; Marine Res, Alfred Wegener Inst, Alten Hafen 26, D-27568 Bremerhaven, Germany; [Shibaev, Yuri A.; Kozachek, Anna V.; Ekaykin, Alexey A.] Arctic &amp; Antarctic Res Inst, Bering Str 38, St Petersburg 199397, Russia; [Ekaykin, Alexey A.] St Petersburg State Univ, Inst Earth Sci, Univ Skaya Nab 7-9, St Petersburg 199034, Russia</t>
  </si>
  <si>
    <t>Helmholtz Association; Alfred Wegener Institute, Helmholtz Centre for Polar &amp; Marine Research; Russian Academy of Sciences; Irkutsk Science Centre of the Russian Academy of Sciences; A.P. Vinogradov Institute of Geochemistry of the Siberian Branch of the RAS; University of Oulu; Russian Academy of Sciences; St. Petersburg Scientific Centre of the Russian Academy of Sciences; St. Petersburg Federal Research Center of the Russian Academy of Sciences; University of Cologne; Helmholtz Association; Alfred Wegener Institute, Helmholtz Centre for Polar &amp; Marine Research; Arctic &amp; Antarctic Research Institute; Saint Petersburg State University</t>
  </si>
  <si>
    <t>Kostrova, SS (corresponding author), Helmholtz Ctr Polar &amp; Marine Res, Res Unit Potsdam, Alfred Wegener Inst, Telegrafenberg A45, D-14473 Potsdam, Germany.;Kostrova, SS (corresponding author), Russian Acad Sci, Siberian Branch, Vinogradov Inst Geochem, Favorsky Str 1a, Irkutsk 664033, Russia.</t>
  </si>
  <si>
    <t>Svetlana.Kostrova@awi.de</t>
  </si>
  <si>
    <t>Kozachek, Anna V./JCE-4791-2023; Ekaykin, Alexey A./K-9894-2015; Kostrova, Svetlana/AAF-7889-2021; Ludikova, Anna/GXZ-8836-2022; Meyer, Hanno/AAQ-4260-2021; Kozachek, Anna V./Q-4543-2016; Bailey, Hannah/AAN-9643-2021</t>
  </si>
  <si>
    <t>Kostrova, Svetlana/0000-0003-1124-5559; Meyer, Hanno/0000-0003-4129-4706; Kozachek, Anna V./0000-0002-9704-8064; Bailey, Hannah/0000-0002-8913-8473; Kuhn, Gerhard/0000-0001-6069-7485; Ludikova, Anna/0000-0001-6022-2455; Gromig, Raphael/0000-0001-9217-4259</t>
  </si>
  <si>
    <t>German Federal Ministry of Education and Research (BMBF) [03G0859]; State Research Program of IGC SB RAS [IX.127.1.2]; State Research Program of the Institute of Limnology, RAS [N 0154-2019-0001]</t>
  </si>
  <si>
    <t>German Federal Ministry of Education and Research (BMBF)(Federal Ministry of Education &amp; Research (BMBF)); State Research Program of IGC SB RAS; State Research Program of the Institute of Limnology, RAS</t>
  </si>
  <si>
    <t>We thank the German Federal Ministry of Education and Research (BMBF; grant 03G0859) for funding of the project 'PLOT - Paleolimnological Transect'. Ilona Burghardt from the German Research Center for Geosciences (GFZ) in Potsdam is acknowledged for the EDX analyses, Rita Frohlking-Teichert from the AWI Bremerhaven Marine Geology laboratory for BSi measurements, and Mikaela Weiner for technical support during sample preparation and isotope measurements at the AWI Potsdam stable isotope laboratory. Research of Dr Svetlana Kostrova contributes to the State Research Program of IGC SB RAS IX.127.1.2. Research of Dr Anna Ludikova contributes to the State Research Program of the Institute of Limnology, RAS (N 0154-2019-0001). We are grateful to Prof. Anson W. Mackay and an anonymous reviewer for their helpful and constructive comments on the manuscript.</t>
  </si>
  <si>
    <t>10.1111/bor.12385</t>
  </si>
  <si>
    <t>WOS:000463748900008</t>
  </si>
  <si>
    <t>Andreev, AA; Shumilovskikh, LS; Savelieva, LA; Gromig, R; Fedorov, GB; Ludikova, A; Wagner, B; Wennrich, V; Brill, D; Melles, M</t>
  </si>
  <si>
    <t>Andreev, Andrei A.; Shumilovskikh, Lyudmila S.; Savelieva, Larisa A.; Gromig, Raphael; Fedorov, Grigory B.; Ludikova, Anna; Wagner, Bernd; Wennrich, Volker; Brill, Dominik; Melles, Martin</t>
  </si>
  <si>
    <t>Environmental conditions in northwestern Russia during MIS 5 inferred from the pollen stratigraphy in a sediment core from Lake Ladoga</t>
  </si>
  <si>
    <t>INTERGLACIAL-GLACIAL CYCLE; BALTIC SEA; CLIMATE; VEGETATION; SHIFTS</t>
  </si>
  <si>
    <t>Lake Ladoga hosts preglacial sediments, although the Eurasian ice sheet overrode the area during the LGM. These sediments were first discovered by a seismic survey and are investigated using a 22.75-m-long core. Its upper 13.30m comprise Holocene and Lateglacial sediments separated from the lower 11.45m of preglacial sediments by a hiatus. They consist of highly terrigenous lacustrine sediments, which according to OSL dating, were deposited during an early stage of the last ice age (MIS 5). The palynological data allow a first reconstruction of the Early Weichselian environmental history for northwestern Russia. Birch and alder forests with broad-leaved taxa dominated during MIS 5d (c.118-113 ka), suggesting a climate more favourable than in the Holocene. A high content of well-sorted sands and poorly preserved palynomorphs indicates a shallow-water environment at least temporarily. More fine-grained sediments and better preserved organic remains suggest deeper water environments at the core location during MIS 5c (c.113-88 ka). Pine and spruce became dominant, while broad-leaved taxa started to disappear, especially after c.90 ka, pointing to a gradual climate cooling. An increase in open herb-dominated habitats at the beginning of MIS 5b (c.88-86 ka) reflects a colder and dryer climate. However, later (c.86-82 ka) pine and spruce again became more common. Birch and alder forests dominated in the area c.82-80 ka (beginning of MIS 5a). Although open treeless habitats also became more common at this time, a slight increase in hazel may point to somewhat warmer climate conditions coinciding with the beginning of MIS 5a. The studied sediments also contain numerous remains of freshwater algae and cysts of marine and brackish-water dinoflagellates and acritarchs documenting that the present lake basin was part of a brackish-water basin during the Early Weichselian, probably as a gulf of the Pre-Baltic Sea.</t>
  </si>
  <si>
    <t>[Andreev, Andrei A.; Gromig, Raphael; Wagner, Bernd; Wennrich, Volker; Melles, Martin] Univ Cologne, Inst Geol &amp; Mineral, Zulpicher Str 49a, D-50674 Cologne, Germany; [Shumilovskikh, Lyudmila S.] Georg August Univ Gottingen, Dept Palynol &amp; Climate Dynam, Wilhelm Weber Str 2a, D-37073 Gottingen, Germany; [Shumilovskikh, Lyudmila S.] Tomsk State Univ, Lab Taxon &amp; Phylogeny Plants, Lenina 36, Tomsk 634050, Russia; [Savelieva, Larisa A.; Fedorov, Grigory B.] St Petersburg State Univ, Inst Earth Sci, Univ Skaya 7-9, St Petersburg 199034, Russia; [Fedorov, Grigory B.] Arctic &amp; Antarctic Res Inst, Beringa 38, St Petersburg 199397, Russia; [Ludikova, Anna] Russian Acad Sci, Inst Limnol, Sevastianova 9, St Petersburg 196105, Russia; [Brill, Dominik] Univ Cologne, Inst Geog, Otto Fischer Str 4, D-50674 Cologne, Germany; [Andreev, Andrei A.] Kazan Fed Univ, Inst Geol &amp; Petr Technol, Kremlevskaya 18, Kazan 420008, Russia; [Shumilovskikh, Lyudmila S.] Tomsk State Univ, Lab Taxon &amp; Phylogeny Plants, Lenina 36, Tomsk 634050, Russia</t>
  </si>
  <si>
    <t>University of Cologne; University of Gottingen; Tomsk State University; Saint Petersburg State University; Arctic &amp; Antarctic Research Institute; Russian Academy of Sciences; St. Petersburg Federal Research Center of the Russian Academy of Sciences; St. Petersburg Scientific Centre of the Russian Academy of Sciences; University of Cologne; Kazan Federal University; Tomsk State University</t>
  </si>
  <si>
    <t>Andreev, AA (corresponding author), Univ Cologne, Inst Geol &amp; Mineral, Zulpicher Str 49a, D-50674 Cologne, Germany.</t>
  </si>
  <si>
    <t>aandreev@uni-koeln.de</t>
  </si>
  <si>
    <t>Ludikova, Anna/GXZ-8836-2022; Fedorov, Grigory/N-5788-2019; Wagner, Bernd/J-4682-2012; Savelieva, Larisa/H-9135-2013; Melles, Martin/J-4070-2012; Wennrich, Volker/I-3435-2012; Andreev, Andrei A/J-2701-2015; Brill, Dominik/O-2442-2015</t>
  </si>
  <si>
    <t>Fedorov, Grigory/0000-0003-2269-4501; Wagner, Bernd/0000-0002-1369-7893; Melles, Martin/0000-0003-0977-9463; Wennrich, Volker/0000-0003-3617-1963; Andreev, Andrei A/0000-0002-8745-9636; Brill, Dominik/0000-0001-8637-4641; Gromig, Raphael/0000-0001-9217-4259</t>
  </si>
  <si>
    <t>German Federal Ministry for Education and Research (BMBF) [03G0859A]; Russian Government Program of Competitive Growth of Kazan Federal University; State Research Program of the Institute of Limnology, RAS [0154-2019-0001]; St. Petersburg State University project [18.40.68.2017, 18.65.39.2017]; Russian Foundation for Basic Research [16-35-60083]</t>
  </si>
  <si>
    <t>German Federal Ministry for Education and Research (BMBF)(Federal Ministry of Education &amp; Research (BMBF)); Russian Government Program of Competitive Growth of Kazan Federal University; State Research Program of the Institute of Limnology, RAS; St. Petersburg State University project; Russian Foundation for Basic Research(Russian Foundation for Basic Research (RFBR)Spanish Government)</t>
  </si>
  <si>
    <t>We are grateful to the crew of the R/V 'Ekolog' and fellow colleagues from the Northern Water Problems Institute in Petrozavodsk for their competent help in collecting the sediment cores from Lake Ladoga. Financial support for this study was provided by the German Federal Ministry for Education and Research (BMBF; grant 03G0859A). The work of A. A. Andreev was also partly sponsored by the Russian Government Program of Competitive Growth of Kazan Federal University. The research of A. Ludikova contributes to the State Research Program of the Institute of Limnology, RAS (State Registration No. 0154-2019-0001). The work of L. A. Savelieva and G. B. Fedorov was partly supported by the St. Petersburg State University projects no. 18.40.68.2017 and no. 18.65.39.2017. The work of L. S. Shumilovskikh was partially supported by the Russian Foundation for Basic Research, research project no. 16-35-60083. Karin Helmens, Mary Edwards and John Inge Svendsen are acknowledged for their valuable suggestions that significantly improved the manuscript.</t>
  </si>
  <si>
    <t>10.1111/bor.12382</t>
  </si>
  <si>
    <t>WOS:000463748900009</t>
  </si>
  <si>
    <t>Lebas, E; Krastel, S; Wagner, B; Gromig, R; Fedorov, G; Baumer, M; Kostromina, N; Haflidason, H</t>
  </si>
  <si>
    <t>Lebas, Elodie; Krastel, Sebastian; Wagner, Bernd; Gromig, Raphael; Fedorov, Grigory; Baumer, Marlene; Kostromina, Natalia; Haflidason, Haflidi</t>
  </si>
  <si>
    <t>Seismic stratigraphical record of Lake Levinson-Lessing, Taymyr Peninsula: evidence for ice-sheet dynamics and lake-level fluctuations since the Early Weichselian</t>
  </si>
  <si>
    <t>EAST-AFRICA; CLIMATE; EVOLUTION; HISTORY; SEDIMENTARY</t>
  </si>
  <si>
    <t>A multi-channel, high-resolution seismic reflection survey using a Micro-GI airgun was carried out in the framework of the Russian-German project PLOT (Paleolimnological Transect) on Lake Levinson-Lessing, Taymyr Peninsula, in 2016. In total, similar to 70km of seismic reflection profiles revealed in unprecedented detail the glacial and postglacial sedimentary infill of the lake basin. Five main seismic units have been recognized and interpreted as glacial (Unit V), subglacial and proglacial (Unit IV), marine (Unit III), fluvial-lacustrine (Unit II) and lacustrine (Unit I) sediments. Of particular significance are imbricated, south-orientated structures present in the southernmost part of the lake basin within Unit V and a large topographic ridge recognized in front of those structures. We interpret these structures as push moraines and an end moraine, respectively, left by the glacier after its retreat. The depositional pattern of the units above the moraines documents past lake-level fluctuations. We interpret Unit IV, Unit III and Unit I as highstand deposits, and Unit II as lowstand deposits. Gas-charged sediments dominate the northern part of the lake basin, whilst they occur only sporadically and in limited spatial extent in the central and southern parts of the lake. In the latter areas, the seismic and echo-sounder data suggest recent tectonic activity. Our study contributes to the reconstruction of environmental conditions in the Taymyr Peninsula directly following the Early Weichselian deglaciation and shows that deep tectonic lake basins affected by several glaciations can preserve important palaeoenvironmental records, which contributes significantly to our understanding of palaeoenvironmental changes in the Taymyr Peninsula and the central Russian Arctic.</t>
  </si>
  <si>
    <t>[Lebas, Elodie; Krastel, Sebastian] Univ Kiel, Inst Geosci, Otto Hahn Pl 1, D-24118 Kiel, Germany; [Wagner, Bernd; Gromig, Raphael; Baumer, Marlene] Univ Cologne, Inst Geol &amp; Mineral, Zulpicher Str 49a, D-50674 Cologne, Germany; [Fedorov, Grigory; Kostromina, Natalia] St Petersburg State Univ, Univ Skaya Nab 7-9, St Petersburg 199034, Russia; [Fedorov, Grigory; Kostromina, Natalia] Arctic &amp; Antarctic Res Inst, Bering Str 38, St Petersburg 199397, Russia; [Haflidason, Haflidi] Univ Bergen, Dept Earth Sci, Allegaten 41,POB 7803, N-5020 Bergen, Norway; [Haflidason, Haflidi] Univ Bergen, Bjerknes Ctr Climate Res, Allegaten 41,POB 7803, N-5020 Bergen, Norway</t>
  </si>
  <si>
    <t>University of Kiel; University of Cologne; Saint Petersburg State University; Arctic &amp; Antarctic Research Institute; University of Bergen; Bjerknes Centre for Climate Research; University of Bergen</t>
  </si>
  <si>
    <t>Lebas, E (corresponding author), Univ Kiel, Inst Geosci, Otto Hahn Pl 1, D-24118 Kiel, Germany.</t>
  </si>
  <si>
    <t>elodie.lebas@ifg.uni-kiel.de</t>
  </si>
  <si>
    <t>Fedorov, Grigory/N-5788-2019; Wagner, Bernd/J-4682-2012; Kostromina, Natalia/AAM-8972-2021; Krastel, Sebastian/C-2001-2017</t>
  </si>
  <si>
    <t>Fedorov, Grigory/0000-0003-2269-4501; Wagner, Bernd/0000-0002-1369-7893; Gromig, Raphael/0000-0001-9217-4259; Krastel, Sebastian/0000-0002-5899-9748; Kostromina, Natalia/0000-0003-2681-0565; Lenz (nee Baumer), Marlene Margit/0000-0002-5352-3900; Lebas, Elodie/0000-0003-1617-143X</t>
  </si>
  <si>
    <t>German Federal Ministry for Education and Research (BMBF) [03G0859A]; St. Petersburg State University [18.65.39.2017]</t>
  </si>
  <si>
    <t>German Federal Ministry for Education and Research (BMBF)(Federal Ministry of Education &amp; Research (BMBF)); St. Petersburg State University</t>
  </si>
  <si>
    <t>Financial support for this study was provided by the German Federal Ministry for Education and Research (BMBF; grant 03G0859A). The work of G. Fedorov and N. Kostromina was partly supported by St. Petersburg State University (Project No. 18.65.39.2017). The AARI St. Petersburg is acknowledged for logistic support. IHS Kingdom software provided free academic licenses at Kiel University. Most of the figures were prepared using the IHS Kingdom software and the GMT software developed by P. Wessel and W. Smith. We are also grateful to the editor Jan A. Piotrowski, the guest editor Martin Melles and the reviewers Deniz Cukur and Marc De Batist for their careful reviews and fruitful comments on an initial version of the manuscript. The data that support the findings of this study are available from the corresponding author upon reasonable request.</t>
  </si>
  <si>
    <t>10.1111/bor.12381</t>
  </si>
  <si>
    <t>WOS:000463748900015</t>
  </si>
  <si>
    <t>Fedorov, G; Andreev, AA; Raschke, E; Wennrich, V; Schwamborn, G; Glushkova, OY; Juschus, O; Zander, A; Melles, M</t>
  </si>
  <si>
    <t>Fedorov, Grigory; Andreev, Andrei A.; Raschke, Elena; Wennrich, Volker; Schwamborn, Georg; Glushkova, Olga Y.; Juschus, Olaf; Zander, Anja; Melles, Martin</t>
  </si>
  <si>
    <t>Middle to Late Pleistocene lake-level fluctuations of Lake El'gygytgyn, far-east Russian Arctic</t>
  </si>
  <si>
    <t>VEGETATION HISTORY; CLIMATE CHANGES; IMPACT CRATER; SEDIMENT; CHUKOTKA; RECORD; ICE; AGE; VARIABILITY; DYNAMICS</t>
  </si>
  <si>
    <t>Lake El'gygytgyn, located in central Chukotka, Russian Arctic, was the subject of an international drilling project that resulted in the recovery of the longest continuous palaeoclimatic and palaeoenvironmental record for the terrestrial Arctic covering the last 3.6 million years. Here, we present the reconstruction of the lake-level fluctuations of Lake El'gygytgyn since Marine Isotope Stage (MIS) 7 based on lithological and palynological as well as chronological studies of shallow-water sediment cores and subaerial lake terraces. Reconstructed lake levels show an abrupt rise during glacial-interglacial terminations (MIS 6/5 and MIS 2/1) and during the MIS 4/3 stadial-interstadial transition. The most prominent lowstands occurred during glacial periods associated with a permanent lake-ice cover (namely MIS 6, MIS 4 and MIS 2). Major triggering mechanisms of the lake-level fluctuations at Lake El'gygytgyn are predominantly changes in air temperature and precipitation. Regional summer temperatures control the volume of meltwater supply as well as the duration of the lake-ice cover (permanent or seasonal). The duration of the lake-ice cover, in turn, enables or hampers near-shore sediment transport, thus leading to long-term lake-level oscillations on glacial-interglacial time scales by blocking or opening the lake outflow, respectively. During periods of seasonal ice cover the lake level was additionally influenced by changes in precipitation. The discovered mechanism of climatologically driven level fluctuations of Lake El'gygytgyn are probably valid for large hydrologically open lakes in the Arctic in general, thus helping to understand arctic palaeohydrology and providing missing information for climate modelling.</t>
  </si>
  <si>
    <t>[Fedorov, Grigory] St Petersburg State Univ, Univ Skaya Nab 7-9, St Petersburg 199034, Russia; [Fedorov, Grigory; Raschke, Elena] Arctic &amp; Antarctic Res Inst, Bering Str 38, St Petersburg 199397, Russia; [Andreev, Andrei A.; Wennrich, Volker; Melles, Martin] Univ Cologne, Inst Geol &amp; Mineral, Zulpicher Str 49a, D-50674 Cologne, Germany; [Andreev, Andrei A.] Kazan Fed Univ, Inst Geol &amp; Petr Technol, Kremlyovskaya Str 18, Kazan 420008, Russia; [Raschke, Elena; Schwamborn, Georg] Helmholtz Ctr Polar &amp; Marine Res, Alfred Wegener Inst, Dept Polar Terr Environm Syst, Telegrafenberg A43, D-14473 Potsdam, Germany; [Glushkova, Olga Y.] Russian Acad Sci, North East Interdisciplinary Sci Res, Inst East Branch, Portovaya Str 16, Magadan 685000, Russia; [Juschus, Olaf] Hsch Nachhaltige Entwicklung Eberswalde, Fachbereich Landschaftsnutzung &amp; Nat Schutz, Schicklerstr 5, D-16225 Eberswalde, Germany; [Zander, Anja] Univ Cologne, Inst Geog, Otto Fisher Str 4, D-50674 Cologne, Germany</t>
  </si>
  <si>
    <t>Saint Petersburg State University; Arctic &amp; Antarctic Research Institute; University of Cologne; Kazan Federal University; Helmholtz Association; Alfred Wegener Institute, Helmholtz Centre for Polar &amp; Marine Research; Russian Academy of Sciences; University of Cologne</t>
  </si>
  <si>
    <t>Fedorov, G (corresponding author), St Petersburg State Univ, Univ Skaya Nab 7-9, St Petersburg 199034, Russia.;Fedorov, G (corresponding author), Arctic &amp; Antarctic Res Inst, Bering Str 38, St Petersburg 199397, Russia.</t>
  </si>
  <si>
    <t>g.fedorov@spbu.ru</t>
  </si>
  <si>
    <t>Melles, Martin/J-4070-2012; Wennrich, Volker/I-3435-2012; Raschke, Elena A/M-9982-2016; Fedorov, Grigory/N-5788-2019; Schwamborn, Georg Johannes/ABC-9636-2020; Andreev, Andrei A/J-2701-2015</t>
  </si>
  <si>
    <t>Melles, Martin/0000-0003-0977-9463; Wennrich, Volker/0000-0003-3617-1963; Fedorov, Grigory/0000-0003-2269-4501; Schwamborn, Georg Johannes/0000-0001-9635-0539; Andreev, Andrei A/0000-0002-8745-9636; Zander, Anja/0000-0003-0449-1401</t>
  </si>
  <si>
    <t>International Continental Scientific Drilling Program (ICDP); US National Science Foundation (NSF); German Federal Ministry of Education and Research (BMBF) [03G0839A]; Alfred Wegener Institute (AWI); Helmholtz Centre Potsdam (GFZ); Russian Academy of Sciences Far East Branch (RAS FEB); Russian Foundation for Basic Research (RFBR); Austrian Federal Ministry of Science and Research (BMWF); BMBF; Russian Federation [11.G34.31.0025]; St. Petersburg State University [18.65.39.2017]; German Research Foundation (DFG) [ME 1169/24]; Russian Government Program of Competitive Growth of Kazan Federal University</t>
  </si>
  <si>
    <t>International Continental Scientific Drilling Program (ICDP); US National Science Foundation (NSF)(National Science Foundation (NSF)); German Federal Ministry of Education and Research (BMBF)(Federal Ministry of Education &amp; Research (BMBF)); Alfred Wegener Institute (AWI); Helmholtz Centre Potsdam (GFZ); Russian Academy of Sciences Far East Branch (RAS FEB); Russian Foundation for Basic Research (RFBR)(Russian Foundation for Basic Research (RFBR)); Austrian Federal Ministry of Science and Research (BMWF); BMBF(Federal Ministry of Education &amp; Research (BMBF)); Russian Federation(Russian Federation); St. Petersburg State University; German Research Foundation (DFG)(German Research Foundation (DFG)); Russian Government Program of Competitive Growth of Kazan Federal University</t>
  </si>
  <si>
    <t>Most of the fieldwork for this study was carried out as part of the international El'gygytgyn Drilling Project, which was co-funded by the International Continental Scientific Drilling Program (ICDP), the US National Science Foundation (NSF), the German Federal Ministry of Education and Research (BMBF), Alfred Wegener Institute (AWI) and Helmholtz Centre Potsdam (GFZ), the Russian Academy of Sciences Far East Branch (RAS FEB), the Russian Foundation for Basic Research (RFBR), and the Austrian Federal Ministry of Science and Research (BMWF). Fieldwork in summer 2011 was funded by BMBF and partly by a governmental grant from the Russian Federation (grant 11.G34.31.0025). Analytical work was partly supported by St. Petersburg State University (grant 18.65.39.2017). The work of A. A. Andreev was sponsored by the German Research Foundation (DFG grant ME 1169/24), the German Federal Ministry of Education and Research (BMBF, grant 03G0839A) and partly by the Russian Government Program of Competitive Growth of Kazan Federal University. We are particularly grateful to the reviewers Julie Brigham-Grette and Alexander Francke, and to the guest editor Bernd Wagner, for their competent suggestions, which helped significantly to improve the manuscript.</t>
  </si>
  <si>
    <t>10.1111/bor.12367</t>
  </si>
  <si>
    <t>WOS:000463748900018</t>
  </si>
  <si>
    <t>Jung, JH; Berger, H</t>
  </si>
  <si>
    <t>Jung, Jae-Ho; Berger, Helmut</t>
  </si>
  <si>
    <t>Monographic treatment of Paraholosticha muscicola (Ciliophora, Keronopsidae), including morphological and molecular biological characterization of a brackish water population from Korea</t>
  </si>
  <si>
    <t>EUROPEAN JOURNAL OF PROTISTOLOGY</t>
  </si>
  <si>
    <t>Hypotricha; Key to Paraholosticha species; Nomenclature; Principal component analysis; Revision; Taxonomy</t>
  </si>
  <si>
    <t>SOIL CILIATES PROTOZOA; STYLONYCHIA-LEMNAE; MORPHOGENESIS; HYPOTRICHIDA; REDESCRIPTION; BIODIVERSITY; ORGANIZATION; IMPREGNATION; ANTARCTICA; MICROFAUNA</t>
  </si>
  <si>
    <t>Paraholosticha muscicola, type species of Paraholosticha Wenzel, inhabits mainly terrestrial habitats, but also freshwater. A brackish water population from Korea is described, the first record from such a habitat. Principal component analysis shows that this population is more similar to a terrestrial population from Denmark than to a population from Antarctic soil. Keronopsids have two strong morphological/ontogenetic apomorphies (frontal corona formed from anlagen I-III; division in cysts). However, the SSU rRNA sequence of the Korean population does not cluster with that of the Antarctic population in the phylogenetic tree, but both branch off consecutively and immediately before a mixture of other non-dorsomarginalian hypotrichs, including two further keronopsids. Furthermore, the keronopsids cluster in the phylogenetic network, providing phylogenetic conflicts, which cannot be exemplified in the conventional gene tree. To complete the picture of P. muscicola, we provide a detailed overview about nomenclature, history, taxonomy, and its geographic distribution. From the four synonyms proposed so far, we tentatively accept only P. lichenicola and P. ovata. Paraholosticha algivora is likewise very similar. Thus we propose to include these three taxa as members of the P. muscicola complex. Stylonethes sterkii and P. algivora are transferred to Paraholosticha Wenzel. A key to the Paraholosticha species is provided. (C) 2018 Elsevier GmbH. All rights reserved.</t>
  </si>
  <si>
    <t>[Jung, Jae-Ho] Gangneung Wonju Natl Univ, Dept Biol, Kangnung, South Korea; [Berger, Helmut] Consulting Engn Off Ecol, Radetzkystr 10, A-5020 Salzburg, Austria</t>
  </si>
  <si>
    <t>Kangnung Wonju National University</t>
  </si>
  <si>
    <t>Jung, JH (corresponding author), Gangneung Wonju Natl Univ, Dept Biol, Kangnung, South Korea.</t>
  </si>
  <si>
    <t>jhjung@gwnu.ac.kr</t>
  </si>
  <si>
    <t>Jung, Jae-Ho/L-2849-2016</t>
  </si>
  <si>
    <t>Jung, Jae-Ho/0000-0001-5497-8678; Berger, Helmut/0000-0002-1726-0082</t>
  </si>
  <si>
    <t>National Research Foundation of Korea (NRF) - Korean government (MSIP; Ministry of Science, ICT &amp; Future Planning) [NRF-2017R1C1B5017183]; Marine Biotechnology Program of the Korea Institute of Marine Science and Technology Promotion (KIMST) - Ministry of Oceans and Fisheries (MOF) [20170431]; National Institute of Biological Resources (NIBR) - Ministry of Environment (ME) of the Republic of Korea [NIBR201701201]; Austrian Science Fund FWF [P20569-B17]; Austrian Science Fund (FWF) [P20569] Funding Source: Austrian Science Fund (FWF)</t>
  </si>
  <si>
    <t>National Research Foundation of Korea (NRF) - Korean government (MSIP; Ministry of Science, ICT &amp; Future Planning)(National Research Foundation of KoreaMinistry of Science, ICT &amp; Future Planning, Republic of Korea); Marine Biotechnology Program of the Korea Institute of Marine Science and Technology Promotion (KIMST) - Ministry of Oceans and Fisheries (MOF)(Korea Institute of Marine Science &amp; Technology Promotion (KIMST)Ministry of Oceans &amp; Fisheries (MOF), Republic of Korea); National Institute of Biological Resources (NIBR) - Ministry of Environment (ME) of the Republic of Korea(Ministry of Environment (ME), Republic of Korea); Austrian Science Fund FWF(Austrian Science Fund (FWF)); Austrian Science Fund (FWF)(Austrian Science Fund (FWF))</t>
  </si>
  <si>
    <t>This work was supported by grants from the National Research Foundation of Korea (NRF) funded by the Korean government (MSIP; Ministry of Science, ICT &amp; Future Planning) (No. NRF-2017R1C1B5017183), the Marine Biotechnology Program of the Korea Institute of Marine Science and Technology Promotion (KIMST) funded by the Ministry of Oceans and Fisheries (MOF) (No. 20170431), and the National Institute of Biological Resources (NIBR) funded by the Ministry of Environment (ME) of the Republic of Korea (NIBR201701201) to J.-H. Jung and the Austrian Science Fund FWF [Project P20569-B17] to H. Berger.</t>
  </si>
  <si>
    <t>0932-4739</t>
  </si>
  <si>
    <t>1618-0429</t>
  </si>
  <si>
    <t>EUR J PROTISTOL</t>
  </si>
  <si>
    <t>Eur. J. Protistol.</t>
  </si>
  <si>
    <t>10.1016/j.ejop.2018.12.004</t>
  </si>
  <si>
    <t>HR9OB</t>
  </si>
  <si>
    <t>WOS:000463489300005</t>
  </si>
  <si>
    <t>Davolos, D; Pietrangeli, B; Persiani, AM; Maggi, O</t>
  </si>
  <si>
    <t>Davolos, Domenico; Pietrangeli, Biancamaria; Persiani, Anna Maria; Maggi, Oriana</t>
  </si>
  <si>
    <t>Victoriomyces antarcticus gen. nov., sp. nov., a distinct evolutionary lineage of the Cephalothecaceae (Ascomycota) based on sequence-based phylogeny and morphology</t>
  </si>
  <si>
    <t>INTERNATIONAL JOURNAL OF SYSTEMATIC AND EVOLUTIONARY MICROBIOLOGY</t>
  </si>
  <si>
    <t>Victoriomyces antarcticus; new genus and species; Cephalothecaceae; phylogeny; divergence time</t>
  </si>
  <si>
    <t>RNA-POLYMERASE-II; FUNGI; YEASTS; LECYTHOPHORA; PHIALEMONIUM; SYSTEMATICS; INFERENCE; MRBAYES; ORIGIN; GENERA</t>
  </si>
  <si>
    <t>In this study, we propose a new genus, Victoriomyces, with a new species, Victoriomyces antarcticus, isolated from soil samples collected in Victoria Land, Antarctica. To determine its taxonomic status and evolutionary relationships, phylogenetic analysis was performed on DNA sequences from the nuclear 18S rRNA, 28S rRNA and the second largest subunit of RNA polymerase II (RPB2) genes. Victoriomyces antarcticus constitutes one well-supported distinct lineage within the Cephalothecaceae (family incertae sedis in Sordariomycetes), in which the only recognised asexual morphs belong to the genus Phialemonium and to Acremonium thermophilum. Victoriomyces antarcticus can be clearly distinguished from these taxa by means of DNA sequence analysis and its morphological traits that consist in having a Metarhizium-like asexual morph, dark red-coloured disk-like structures, immature bodies and the production of an intense red pigment in the growth media. Finally, we inferred the divergence time of V. antarcticus and the Cephalothecaceae using Bayesian analysis and secondary calibration. The holotype of V. antarcticus is FBL 165. The ex-type strain has been deposited as MUT 3686(T) and CCF 6158(T). An additional strain of the species is FBL 577. The MycoBank number is MB 823713 for the genus and MB 823714 for the species.</t>
  </si>
  <si>
    <t>[Davolos, Domenico; Pietrangeli, Biancamaria] INAIL, Dept Technol Innovat &amp; Safety Plants, Prod &amp; Anthrop Settlements, Res Area, Via R Ferruzzi 38-40, I-00143 Rome, Italy; [Persiani, Anna Maria; Maggi, Oriana] Sapienza Univ Rome, Dept Environm Biol, Piazzale A Moro 5, I-00185 Rome, Italy</t>
  </si>
  <si>
    <t>Istituto Nazionale per l'Assicurazione Contro gli Infortuni sul Lavoro (INAIL); Sapienza University Rome</t>
  </si>
  <si>
    <t>Davolos, D (corresponding author), INAIL, Dept Technol Innovat &amp; Safety Plants, Prod &amp; Anthrop Settlements, Res Area, Via R Ferruzzi 38-40, I-00143 Rome, Italy.</t>
  </si>
  <si>
    <t>d.davolos@inail.it</t>
  </si>
  <si>
    <t>Persiani, Anna Maria/E-4321-2012</t>
  </si>
  <si>
    <t>Italian National Antarctic Research Programme (PNRA)</t>
  </si>
  <si>
    <t>The authors wish to thank the Italian National Antarctic Research Programme (PNRA) for financial grant, the Italian National Agency for new Technologies, Energy and Sustainable Economic Development (ENEA) for technical support, Professor Silvano Onofri (Tuscia University, Italy) and Dr Santo Sedmak (Trieste University, Italy) for the collection of soil samples. The authors thank Dr Maria Carla Sclocchi and Mr Piero Colaizzi (Central Institute for the Restoration and Conservation of the Archival and Book Heritage, Rome, Italy) for the support in the qualitative and quantitative analysis carried out at the SEM, Dr Konstanze Bensch (Westerdijk Fungal Biodiversity Institute, Utrecht, The Netherlands) and Dr Shaun Pennycook (Landcare Research, New Zealand) for the contribution in defining the generic and specific epithets.</t>
  </si>
  <si>
    <t>MICROBIOLOGY SOC</t>
  </si>
  <si>
    <t>14-16 MEREDITH ST, LONDON, ENGLAND</t>
  </si>
  <si>
    <t>1466-5026</t>
  </si>
  <si>
    <t>1466-5034</t>
  </si>
  <si>
    <t>INT J SYST EVOL MICR</t>
  </si>
  <si>
    <t>Int. J. Syst. Evol. Microbiol.</t>
  </si>
  <si>
    <t>10.1099/ijsem.0.003275</t>
  </si>
  <si>
    <t>HR7PV</t>
  </si>
  <si>
    <t>WOS:000463347900033</t>
  </si>
  <si>
    <t>Robinson, M</t>
  </si>
  <si>
    <t>Robinson, Matthew</t>
  </si>
  <si>
    <t>'It's spiritual, man': Eddie the Eagle and English Amateurism</t>
  </si>
  <si>
    <t>JOURNAL OF BRITISH CINEMA AND TELEVISION</t>
  </si>
  <si>
    <t>amateur; biopic; corruption; Eddie Edwards; Eddie the Eagle; nostalgia; Olympics; professionalisation; sport</t>
  </si>
  <si>
    <t>The theme of amateurism has been persistent throughout the history of the British biopic, evidenced in films including Scott of the Antarctic (1948), The Magic Box (1951) and The Flying Scotsman (2006). Eddie the Eagle (2016), a film about ski-jumper Eddie 'the Eagle' Edwards and his preparation for the 1988 Winter Olympics where he finished 73rd out of 73 competitors, exemplifies how fascination with the amateur continues in contemporary biopic production. However, Eddie the Eagle represents the amateur ethos within a particularly unstable period for organised sports. The integrity of the Olympics and organised sports in general has been undermined by persistent corruption which centres on hosting rights, bribery and the use of performance-enhancing drugs by competitors. This article traces the genealogy of the amateur in British biopics, before considering the wider context in which Eddie the Eagle was produced. It then employs textual analysis of key sequences to illuminate the film's representation of amateurism and how it is constructed through oppositions: the value of amateurism against professionalism and the struggle of the outsider against the sporting Establishment. It suggests that Eddie the Eagle continues a theme at the heart of various British biopics, namely the integrity of the amateur and the value of taking part and 'doing one's best', at a time when the integrity of organised sport is increasingly under threat.</t>
  </si>
  <si>
    <t>[Robinson, Matthew] Univ Derby, Media, Derby, England</t>
  </si>
  <si>
    <t>University of Derby</t>
  </si>
  <si>
    <t>Robinson, M (corresponding author), Univ Derby, Media, Derby, England.</t>
  </si>
  <si>
    <t>EDINBURGH UNIV PRESS</t>
  </si>
  <si>
    <t>EDINBURGH</t>
  </si>
  <si>
    <t>THE TUN-HOLYROOD RD, 12 2F JACKSONS ENTRY, EDINBURGH EH8 8PJ, SCOTLAND</t>
  </si>
  <si>
    <t>1743-4521</t>
  </si>
  <si>
    <t>1755-1714</t>
  </si>
  <si>
    <t>J BRIT CINE TELEV</t>
  </si>
  <si>
    <t>J. Br. Cine. Telev.</t>
  </si>
  <si>
    <t>10.3366/jbctv.2019.0467</t>
  </si>
  <si>
    <t>Film, Radio, Television</t>
  </si>
  <si>
    <t>Arts &amp; Humanities Citation Index (A&amp;HCI)</t>
  </si>
  <si>
    <t>Film, Radio &amp; Television</t>
  </si>
  <si>
    <t>HS3DX</t>
  </si>
  <si>
    <t>WOS:000463744100003</t>
  </si>
  <si>
    <t>Spydell, MS; Feddersen, F; Suanda, S</t>
  </si>
  <si>
    <t>Spydell, Matthew S.; Feddersen, Falk; Suanda, Sutara</t>
  </si>
  <si>
    <t>Inhomogeneous Turbulent Dispersion across the Nearshore Induced by Surfzone Eddies</t>
  </si>
  <si>
    <t>Ocean; Coastlines; Diffusion; Dispersion; Turbulence</t>
  </si>
  <si>
    <t>EDDY DIFFUSIVITY; LAGRANGIAN STATISTICS; DIRECTIONALLY SPREAD; TRACER; ZONE; WAVES; CIRCULATION; SUPPRESSION; TRAJECTORIES; GENERATION</t>
  </si>
  <si>
    <t>In various oceanic regions, drifter-derived diffusivities reach a temporal maximum and subsequently decrease. Often, these are regions of inhomogeneous eddies, however, the effect of inhomogeneous turbulence on dispersion is poorly understood. The nearshore region (spanning from the surfzone to the inner shelf) also has strong cross-shore inhomogeneous turbulence. Nearshore Lagrangian statistics are estimated from drifter trajectories simulated with a wave-resolving two-dimensional Boussinesq model with random, normally incident, and directionally spread waves. The simulation is idealized and does not include other (wind, tidal, Coriolis) processes. The eddy field cross-shore inhomogeneity affects both the mean cross-shore drift and cross- and alongshore diffusivities. Short-time diffusivities are locally ballistic, and the mean drift is toward the eddy velocity variance maximum. The diffusivities reach a maximum and subsequently decrease, that is, are subdiffusive. The diffusivity maximum and time to maximum are parameterized taking into account the eddy field inhomogeneity. At long times, the cross- and alongshore diffusivities scale as t(-1/2) and t(-1/4), respectively, which is related to the offshore decay of the eddy intensity. A diffusion equation, with a space-dependent Fickian diffusivity related to the eddy velocity variance, reproduced the short-, intermediate-, and long-time behavior of the mean drift and cross-shore diffusivity. The small Middleton parameter, indicating fixed float dispersion, suggests the Eulerian time scale can parameterize the Lagrangian time scale in this region. Although this idealized simulation had no mean currents, and thus no shear dispersion or mixing suppression, inhomogeneous turbulence effects may be relevant in other regions such as the Antarctic Circumpolar Current (ACC) and western boundary current extensions.</t>
  </si>
  <si>
    <t>[Spydell, Matthew S.; Feddersen, Falk] Scripps Inst Oceanog, La Jolla, CA 92037 USA; [Suanda, Sutara] Univ Otago, Dept Marine Sci, Dunedin, New Zealand</t>
  </si>
  <si>
    <t>University of California System; University of California San Diego; Scripps Institution of Oceanography; University of Otago</t>
  </si>
  <si>
    <t>Spydell, MS (corresponding author), Scripps Inst Oceanog, La Jolla, CA 92037 USA.</t>
  </si>
  <si>
    <t>mspydell@ucsd.edu</t>
  </si>
  <si>
    <t>Feddersen, Falk/HPE-1148-2023</t>
  </si>
  <si>
    <t>Suanda, Sutara/0000-0002-9158-4077</t>
  </si>
  <si>
    <t>National Science Foundation [OCE-1367060]; Office of Naval Research through the National Ocean Partnership Program [N00014-15-1-2607]</t>
  </si>
  <si>
    <t>National Science Foundation(National Science Foundation (NSF)); Office of Naval Research through the National Ocean Partnership Program(Office of Naval Research)</t>
  </si>
  <si>
    <t>This work was funded by the National Science Foundation (OCE-1367060) and the Office of Naval Research (N00014-15-1-2607) through the National Ocean Partnership Program. The Boussinesq model funwaveC is open source and available at http://falk.ucsd.edu.Themodel data, and files necessary to reproduce the results herein, can be obtained by contacting the corresponding author (mspydell@ucsd.edu).Wethank the two reviewers who helped improve this manuscript.</t>
  </si>
  <si>
    <t>10.1175/JPO-D-18-0102.1</t>
  </si>
  <si>
    <t>HS1JB</t>
  </si>
  <si>
    <t>WOS:000463617100001</t>
  </si>
  <si>
    <t>Kim, BM; Ahn, DH; Kang, S; Jeong, J; Jo, E; Kim, BK; Kim, JH; Park, H</t>
  </si>
  <si>
    <t>Kim, Bo-Mi; Ahn, Do-Hwan; Kang, Seunghyun; Jeong, Jihye; Jo, Euna; Kim, Bum-Keun; Kim, Jin-Hyoung; Park, Hyun</t>
  </si>
  <si>
    <t>Skin transcriptome profiling reveals the distinctive molecular effects of temperature changes on Antarctic bullhead notothen</t>
  </si>
  <si>
    <t>MOLECULAR &amp; CELLULAR TOXICOLOGY</t>
  </si>
  <si>
    <t>Antarctic bullhead notothen; Notothenia coriiceps; Temperature; Skin; Transcriptome</t>
  </si>
  <si>
    <t>ANTIOXIDANT DEFENSE SYSTEM; HEAT-SHOCK RESPONSE; CELLULAR-RESPONSES; NEW-ZEALAND; FISH; COLD; GENE; ACETYLCHOLINE; EXPRESSION; TOLERANCE</t>
  </si>
  <si>
    <t>Backgrounds: Temperature is an important abiotic factor that directly influences the physiology of marine fish. The Antarctic bullhead notothen Notothenia coriiceps inhabits water with temperatures ranging from -1.9 to 2 degrees C at circumpolar regions. Thus, N. coriiceps is useful as a model animal for understanding the effects of temperature stress. Methods: To assess the transcriptional response of skin tissue to temperature changes, Antarctic bullhead notothen were exposed to two temperature stresses, 4 degrees C and -2 degrees C, following acclimatization at 2 degrees C. Twenty-four hours after the temperature change, skin transcriptomes were sequenced using the Illumina Hiseq 2000 platform and analyzed using a series of bioinformatics tools. Functional gene annotations through pathway analyses of the Gene Ontology and Kyoto Encyclopedia of Genes and Genomes databases revealed commonly or distinctively modulated transcriptional changes in skin. Results: Both temperature stressors significantly upregulated the actin cytoskeleton regulation pathway and the skin's water barrier function, while the stressors downregulated the metabolism involved in muscle contraction, choline receptor regulation, collagen regulation, and immunity. Cold stress caused significant downregulation of the mRNA expression of genes involved in vasopressin-regulated water reabsorption. Neither the heat- nor cold-stressed skin transcriptomes exhibited significant heat shock protein expression. Conclusion: Our results suggest that, as a first barrier for fish, the skin has complex metabolisms with high transcriptional sensitivity against environmental temperature stress. These results will be useful for understanding the skin-specific molecular mechanisms that Antarctic fish use to adapt to temperature fluctuations.</t>
  </si>
  <si>
    <t>[Kim, Bo-Mi; Ahn, Do-Hwan; Kang, Seunghyun; Jeong, Jihye; Jo, Euna; Kim, Jin-Hyoung; Park, Hyun] Korea Polar Res Inst, Unit Polar Genom, Incheon 21990, South Korea; [Kim, Bum-Keun] Korea Food Res Inst, 245 Nongsaengmyeong Ro, Wanju Gun 55365, Jeollabuk Do, South Korea; [Park, Hyun] Univ Sci &amp; Technol, Polar Sci, Daejeon 34113, South Korea</t>
  </si>
  <si>
    <t>Korea Polar Research Institute (KOPRI); Korea Food Research Institute (KFRI); University of Science &amp; Technology (UST)</t>
  </si>
  <si>
    <t>Kim, JH; Park, H (corresponding author), Korea Polar Res Inst, Unit Polar Genom, Incheon 21990, South Korea.;Park, H (corresponding author), Univ Sci &amp; Technol, Polar Sci, Daejeon 34113, South Korea.</t>
  </si>
  <si>
    <t>kimjh@kopri.re.kr; hpark@kopri.re.kr</t>
  </si>
  <si>
    <t>Jo, Euna/0000-0003-2666-6743; Park, Hyun/0000-0002-8055-2010</t>
  </si>
  <si>
    <t>Polar Genome 101 Project [PE19080]; Polar Research Institute of South Korea</t>
  </si>
  <si>
    <t>Polar Genome 101 Project; Polar Research Institute of South Korea</t>
  </si>
  <si>
    <t>This work was supported by the Polar Genome 101 Project (PE19080) grant, funded by the Polar Research Institute of South Korea.</t>
  </si>
  <si>
    <t>KOREAN SOCIETY TOXICOGENOMICS &amp; TOXICOPROTEOMICS-KSTT</t>
  </si>
  <si>
    <t>GYEONGGI-DO</t>
  </si>
  <si>
    <t>HANYANG UNIV, SCI &amp; TECHNOL BLDG 1, RM 423, SA-DONG, SANGROK-GU, ANSAN, GYEONGGI-DO, 426 791, SOUTH KOREA</t>
  </si>
  <si>
    <t>1738-642X</t>
  </si>
  <si>
    <t>2092-8467</t>
  </si>
  <si>
    <t>MOL CELL TOXICOL</t>
  </si>
  <si>
    <t>Mol. Cell. Toxicol.</t>
  </si>
  <si>
    <t>10.1007/s13273-019-0020-1</t>
  </si>
  <si>
    <t>Biochemistry &amp; Molecular Biology; Toxicology</t>
  </si>
  <si>
    <t>HS2YZ</t>
  </si>
  <si>
    <t>WOS:000463730500007</t>
  </si>
  <si>
    <t>Hao, WF; Zhu, C; Li, F; Yan, JG; Ye, M; Barriot, JP</t>
  </si>
  <si>
    <t>Hao, Weifeng; Zhu, Chang; Li, Fei; Yan, Jianguo; Ye, Mao; Barriot, Jean-Pierre</t>
  </si>
  <si>
    <t>Illumination and communication conditions at the Mons Rumker region based on the improved Lunar Orbiter Laser Altimeter data</t>
  </si>
  <si>
    <t>PLANETARY AND SPACE SCIENCE</t>
  </si>
  <si>
    <t>Chang'E-5; Lunar reconnaissance orbiter; Digit elevation model; Illumination conditions; Communication conditions</t>
  </si>
  <si>
    <t>MOON</t>
  </si>
  <si>
    <t>Mons Rumker is a large volcanic cluster in Oceanus Procellarum on the Moon, and was chosen as a candidate-landing region for the Chang'E-5 mission. The Lunar Reconnaissance Orbiter (LRO) was launched in 2009, and is still in operation. It acquired a large amount of high-precision laser altimeter data from the Moon, which provided the basis for the construction of a digital elevation model (DEM) and other related research in the Chang'E-5 landing region. We developed a reasonable data processing method based on all of the valid Lunar Orbiter Laser Altimeter (LOLA) data and produced an improved DEM of the Mons Rumker region. A new method combining filtering and clustering was used to eliminate the noise points. Then, crossover adjustment was adopted in order to reduce the root mean square (RMS) of the radial residuals from 1.98 m to 1.31 m. We generated the DEM of the Mons Rumker region using Kriging interpolation. Some errors in the NASA product were revealed by comparing our improved DEM with the NASA DEM. Illumination and communication maps were derived by the improved ray-tracing method using our DEM. Illumination maps showed that the sunlight was abundant in the Mons Rumker region, which was illuminated from 30% to 53% of the study period from November 2017 to December 2019. Moreover, we found that the conditions were favorable for communication between the Mons Rumker region and three Chinese observation stations located at Jiamusi, Kashi, and Neuquen (Argentina). Most regional communications to each station were available for approximately 50% of the investigated period of October 2019. The accumulated communication was less than 16% for only a few craters and on the back of mountains. Continuous communication for 24 h per day at the two example points could be maintained when the three ground stations were synergistically observed.</t>
  </si>
  <si>
    <t>[Hao, Weifeng; Zhu, Chang; Li, Fei] Wuhan Univ, Chinese Antarctic Ctr Surveying &amp; Mapping, 129 Luoyu Rd, Wuhan 430079, Hubei, Peoples R China; [Hao, Weifeng; Li, Fei; Yan, Jianguo; Ye, Mao; Barriot, Jean-Pierre] Wuhan Univ, State Key Lab Informat Engn Surveying Mapping &amp; R, 129 Luoyu Rd, Wuhan 430079, Hubei, Peoples R China; [Barriot, Jean-Pierre] Univ French Polynesia, Observ Geodes Tahiti, BP 6570, F-98702 Tahiti, French Polynesi, France</t>
  </si>
  <si>
    <t>Li, F (corresponding author), Wuhan Univ, Chinese Antarctic Ctr Surveying &amp; Mapping, 129 Luoyu Rd, Wuhan 430079, Hubei, Peoples R China.</t>
  </si>
  <si>
    <t>fli@whu.edu.cn</t>
  </si>
  <si>
    <t>Barriot, Jean-Pierre/AAD-6709-2021</t>
  </si>
  <si>
    <t>Barriot, Jean-Pierre/0000-0002-2112-9685</t>
  </si>
  <si>
    <t>National Natural Science Foundation of China [41604004, 41874010]; fundamental research funds for the central universities [2042018kf0231]; Hubei Province Natural Science Foundation innovation group project [2015CFA011]; DAR grant in planetology from the French Space Agency (CNES)</t>
  </si>
  <si>
    <t>National Natural Science Foundation of China(National Natural Science Foundation of China (NSFC)); fundamental research funds for the central universities(Fundamental Research Funds for the Central Universities); Hubei Province Natural Science Foundation innovation group project; DAR grant in planetology from the French Space Agency (CNES)</t>
  </si>
  <si>
    <t>We thank the LRO Mission Operations Center and LOLA scientific teams for their hard work on the production of the LOLA RDR data used in this study. The LOLA RDR data and the images of LROC data can be accessed from the PDS Geosciences Node (http://pds-geosciences.w ustl.edu/). We also thank the NAIF group, whose SPICE system was used in this study. We are grateful to the anonymous reviewers for their constructive feedback, which improved the quality of this paper. This research was supported by the National Natural Science Foundation of China (41604004, 41874010), the fundamental research funds for the central universities (2042018kf0231), and the Hubei Province Natural Science Foundation innovation group project (2015CFA011). Jean-Pierre Barriot was funded by a DAR grant in planetology from the French Space Agency (CNES).</t>
  </si>
  <si>
    <t>0032-0633</t>
  </si>
  <si>
    <t>PLANET SPACE SCI</t>
  </si>
  <si>
    <t>Planet Space Sci.</t>
  </si>
  <si>
    <t>10.1016/j.pss.2019.01.010</t>
  </si>
  <si>
    <t>HR7CO</t>
  </si>
  <si>
    <t>WOS:000463309700007</t>
  </si>
  <si>
    <t>Dang, M; Nowell, C; Nguyen, T; Bach, L; Sonne, C; Norregaard, R; Stride, M; Nowak, B</t>
  </si>
  <si>
    <t>Mai Dang; Nowell, Cameron; Tam Nguyen; Bach, Lis; Sonne, Christian; Norregaard, Rasmus; Stride, Megan; Nowak, Barbara</t>
  </si>
  <si>
    <t>Characterisation and 3D structure of melanomacrophage centers in shorthorn sculpins (Myoxocephalus scorpius)</t>
  </si>
  <si>
    <t>TISSUE &amp; CELL</t>
  </si>
  <si>
    <t>Melanomacrophage centers; 3D structure; Melanin; Pheomelanin; Shorthorn sculpin</t>
  </si>
  <si>
    <t>MELANO-MACROPHAGE CENTERS; QUANTITATIVE-ANALYSIS; SEASONAL-VARIATION; NEOTROPICAL FISH; BLUEFIN TUNA; HEAD KIDNEY; LIVER; SPLEEN; INDICATORS; BIOMARKERS</t>
  </si>
  <si>
    <t>Melanomacrophage centres (MMCs) are distinct aggregations of pigment-containing cells in internal organs of fish, amphibians and reptiles. Although MMCs are commonly used as biomarkers for anthropogenic exposure in many environmental monitoring programs, a substantial knowledge on characteristics of MMCs is required prior to the assessment of MMC responses. The present study was the first to determine the 3D structure of splenic MMCs of a fish from a number of consecutive histology sections by use of the Fiji and AutoCad software. Most splenic MMCs of shorthorn sculpins (Myoxocephalus scorpius) had spherical shape and limited variation in size (maximum diameter). We confirmed the close relationship between MMCs and blood vessels in spleen of shorthorn sculpins as 97% of investigated MMCs (60 whole MMCs over 510 mu m thickness of the samples) were closely associated with splenic blood capillaries (mainly ellipsoids) at least once in a set of consecutive sections. In this paper, we describe variations in morphology, density, size, area, distribution, pigments and response to pathogens of MMC populations from different organs (spleen, kidney, liver, pancreas and gills). Additionally, we provide evidence suggesting the presence and dominance of pheomelanin in MMCs of shorthorn sculpins.</t>
  </si>
  <si>
    <t>[Mai Dang; Nowak, Barbara] Univ Tasmania, Inst Marine &amp; Antarctic Studies, Launceston, Tas 7250, Australia; [Mai Dang] Inst Vet Res &amp; Dev Cent Vietnam, Dept Bacteriol, Km 4,2-4 St, Nha Trang 57000, Khanh Hoa, Vietnam; [Nowell, Cameron] Monash Univ, Monash Inst Pharmaceut Sci, Drug Discovery Biol, Parkville Campus,381 Royal Parade, Parkville, Vic 3052, Australia; [Tam Nguyen] Nha Trang Univ, Dept Educ &amp; Training, 2 Nguyen Dinh Chieu St, Nha Trang 57000, Khanh Hoa, Vietnam; [Bach, Lis; Sonne, Christian; Norregaard, Rasmus; Stride, Megan; Nowak, Barbara] Aarhus Univ, ARC, Fac Sci &amp; Technol, Dept Biosci, Frederiksborgvej 399,POB 358, DK-4000 Roskilde, Denmark</t>
  </si>
  <si>
    <t>University of Tasmania; Monash University; Nha Trang University; Aarhus University</t>
  </si>
  <si>
    <t>Dang, M; Nowak, B (corresponding author), Univ Tasmania, Inst Marine &amp; Antarctic Studies, Launceston, Tas 7250, Australia.</t>
  </si>
  <si>
    <t>thi.dang@iutas.edu.au; b.nowak@utas.edu.au</t>
  </si>
  <si>
    <t>Sonne, Christian/I-7532-2013; Nowak, Barbara/J-7261-2014; Bach, Lis/J-6567-2013</t>
  </si>
  <si>
    <t>Sonne, Christian/0000-0001-5723-5263; Nowak, Barbara/0000-0002-0347-643X; Nowell, Cameron/0000-0002-8662-9840; Dang, Mai T. S./0000-0003-2542-120X; Bach, Lis/0000-0003-2891-4202</t>
  </si>
  <si>
    <t>CHURCHILL LIVINGSTONE</t>
  </si>
  <si>
    <t>JOURNAL PRODUCTION DEPT, ROBERT STEVENSON HOUSE, 1-3 BAXTERS PLACE, LEITH WALK, EDINBURGH EH1 3AF, MIDLOTHIAN, SCOTLAND</t>
  </si>
  <si>
    <t>0040-8166</t>
  </si>
  <si>
    <t>TISSUE CELL</t>
  </si>
  <si>
    <t>Tissue Cell</t>
  </si>
  <si>
    <t>10.1016/j.tice.2019.02.003</t>
  </si>
  <si>
    <t>Anatomy &amp; Morphology; Cell Biology</t>
  </si>
  <si>
    <t>HR1YK</t>
  </si>
  <si>
    <t>WOS:000462932200005</t>
  </si>
  <si>
    <t>Cordaro, EG; Venegas-Aravena, P; Laroze, D</t>
  </si>
  <si>
    <t>Cordaro, E. G.; Venegas-Aravena, P.; Laroze, D.</t>
  </si>
  <si>
    <t>Variations of geomagnetic cutoff rigidity in the southern hemisphere close to 70°W (South-Atlantic Anomaly and Antarctic zones) in the period 1975-2010</t>
  </si>
  <si>
    <t>Geomagnetic field; Geomagnetic cutoff rigidity; South Atlantic magnetic anomaly; Latitudinal variation rate of geomagnetic cutoff rigidity; Altiplano to Antarctica</t>
  </si>
  <si>
    <t>DAWN-DUSK ASYMMETRY; NEUTRON MONITOR; FIELD; MAGNETOSPHERE; INTENSITY; MODEL; EARTH</t>
  </si>
  <si>
    <t>We report the existence of rapid variations in (effective) geomagnetic cutoff rigidity (Rc) between the equatorial and Antarctic zones adjacent to the Andes Mountains, revealed by the variation rate of geomagnetic cutoff rigidity (VRc) in the period 1975-2010. Our analysis is based on empirical records and theoretical models of the variations in cosmic rays and on the structure of geomagnetic fields. These have given us a different view of variations in Rc in time and space along the 70 degrees W meridian, where secular variations in the geomagnetic field are strongly influenced by the proximity of the South Atlantic Magnetic Anomaly (SAMA), one of the most important characteristics of the terrestrial magnetic field that affects our planet, close from the equator to the 50 degrees S parallel and from South America to South Africa. The VRc presents rapid changes in mid-latitudes where SAMA exerts its influence despite the existence of smooth changes in the geomagnetic field. This shows that these changes occur mainly in the spatial configuration, rather than in the temporal evolution of Rc. The analysis was performed using measurements from the Chilean Network of Cosmic Rays and Geomagnetism Observatories, equipped with BF-3 and latest generation He-3 neutron monitors, Fluxgate magnetometers, geomagnetic reference field (IGRF) and Tsyganenko 2001 model (just for completeness). (C) 2018 COSPAR. Published by Elsevier Ltd. All rights reserved.</t>
  </si>
  <si>
    <t>[Cordaro, E. G.; Venegas-Aravena, P.] Univ Chile, Observ Radiac Cosm, Casilla 487-3, Santiago, Chile; [Cordaro, E. G.] Univ Autonoma Chile, Fac Ingn, Pedro de Valdivia 425, Santiago, Chile; [Venegas-Aravena, P.] Univ Chile, Dept Geofis, Blanco Encalada 2002, Santiago, Chile; [Venegas-Aravena, P.] Pontificia Univ Catolica Chile, Sch Engn, Dept Struct &amp; Geotech Engn, Vicuna Mackenna 4860, Santiago, Chile; [Laroze, D.] Univ Tarapaca, CEDENNA, Inst Alta Invest, Casilla 7D, Arica, Chile; [Laroze, D.] Univ Navarra, Dept Fis &amp; Matemat Aplicada, E-31080 Pamplona, Spain</t>
  </si>
  <si>
    <t>Universidad de Chile; Universidad Autonoma de Chile; Universidad de Chile; Pontificia Universidad Catolica de Chile; Universidad de Tarapaca; University of Navarra</t>
  </si>
  <si>
    <t>Cordaro, EG (corresponding author), Univ Chile, Observ Radiac Cosm, Casilla 487-3, Santiago, Chile.;Cordaro, EG (corresponding author), Univ Autonoma Chile, Fac Ingn, Pedro de Valdivia 425, Santiago, Chile.</t>
  </si>
  <si>
    <t>ecordaro@dfi.uchile.cl; venegas@ing.uchile.cl; dlarozen@uta.cl</t>
  </si>
  <si>
    <t>Venegas-Aravena, Patricio/HKO-9306-2023; Laroze, David/Z-2852-2019; Venegas-Aravena, Patricio/JBR-8213-2023</t>
  </si>
  <si>
    <t>Venegas-Aravena, Patricio/0000-0003-3777-0941; Laroze, David/0000-0002-6487-8096; Venegas-Aravena, Patricio/0000-0003-3777-0941</t>
  </si>
  <si>
    <t>FCFM-University of Chile; South American Magnetometer B -Field Array (SAMBA/AMBER) project of the University of California, Los Angeles, USA; University of Tarapaca, Chile; Chile/Italy Collaboration via U. Chile (Chile); PNRA (ITALY); INACh; CONICYT-ANILLO ACT 1410; BASAL/CONICYT financing [FB0807]; FONDECYT [1180905]</t>
  </si>
  <si>
    <t>FCFM-University of Chile; South American Magnetometer B -Field Array (SAMBA/AMBER) project of the University of California, Los Angeles, USA; University of Tarapaca, Chile; Chile/Italy Collaboration via U. Chile (Chile); PNRA (ITALY); INACh; CONICYT-ANILLO ACT 1410; BASAL/CONICYT financing; FONDECYT(Comision Nacional de Investigacion Cientifica y Tecnologica (CONICYT)CONICYT FONDECYT)</t>
  </si>
  <si>
    <t>The authors are grateful for the help and dedication that was given by the Editor and anonymous referee. The authors also thank Dr. E. Zesta (UCLA-IGPP), and Dr. L.A. Raggi (Incas-U.Chile) for their collaboration and support. We also thank our English language consultant, Jorge Carroza. The fluxgate magnetometer at Putre-Incas Observatories is partially supported by FCFM-University of Chile, in collaboration with the South American Magnetometer B -Field Array (SAMBA/AMBER) project of the University of California, Los Angeles, USA, and University of Tarapaca, Chile. LARC observatory The Chile/Italy Collaboration via U. Chile (Chile), PNRA (ITALY) supports, and INACh partial support. The results presented in this paper rely on data collected at magnetic observatories. We thank the national institutes that support them and INTERMAGNET for promoting high standards of magnetic observatory practice (www.intermagnet.org).D.L.acknowledges partial financial support from CONICYT-ANILLO ACT 1410, and Centers of excellence with BASAL/CONICYT financing, Grant FB0807, CEDENNA and FONDECYT 1180905.</t>
  </si>
  <si>
    <t>10.1016/j.asr.2018.12.019</t>
  </si>
  <si>
    <t>HR4QU</t>
  </si>
  <si>
    <t>WOS:000463131800027</t>
  </si>
  <si>
    <t>Chown, SL</t>
  </si>
  <si>
    <t>Chown, Steven L.</t>
  </si>
  <si>
    <t>Antarctica loses one of its greatest champions Obituary</t>
  </si>
  <si>
    <t>ANTARCTIC SCIENCE</t>
  </si>
  <si>
    <t>Biographical-Item</t>
  </si>
  <si>
    <t>[Chown, Steven L.] Sci Comm Antarctic Res, Cambridge, England</t>
  </si>
  <si>
    <t>University of Cambridge</t>
  </si>
  <si>
    <t>Chown, SL (corresponding author), Sci Comm Antarctic Res, Cambridge, England.</t>
  </si>
  <si>
    <t>Chown, Steven/ABD-7646-2021</t>
  </si>
  <si>
    <t>32 AVENUE OF THE AMERICAS, NEW YORK, NY 10013-2473 USA</t>
  </si>
  <si>
    <t>0954-1020</t>
  </si>
  <si>
    <t>1365-2079</t>
  </si>
  <si>
    <t>ANTARCT SCI</t>
  </si>
  <si>
    <t>Antarct. Sci.</t>
  </si>
  <si>
    <t>PII S0954102019000105</t>
  </si>
  <si>
    <t>10.1017/S0954102019000105</t>
  </si>
  <si>
    <t>Environmental Sciences; Geography, Physical; Geosciences, Multidisciplinary</t>
  </si>
  <si>
    <t>Environmental Sciences &amp; Ecology; Physical Geography; Geology</t>
  </si>
  <si>
    <t>HR4AT</t>
  </si>
  <si>
    <t>WOS:000463086400002</t>
  </si>
  <si>
    <t>Woulds, C; Bell, JB; Glover, AG; Bouillon, S; Brown, LS</t>
  </si>
  <si>
    <t>Woulds, Clare; Bell, James B.; Glover, Adrian G.; Bouillon, Steven; Brown, Louise S.</t>
  </si>
  <si>
    <t>Carbon processing by the benthic ecosystem and benthic C fixation in methane-rich sediments on the South Georgia margin</t>
  </si>
  <si>
    <t>C-13; carbon cycle; chemosynthesis; isotope tracer; macrofauna; seep</t>
  </si>
  <si>
    <t>DISSOLVED ORGANIC-CARBON; DEEP-SEA FAN; COMMUNITY RESPONSES; RAPID RESPONSE; FATTY-ACIDS; ISOTOPE; OXYGEN; NITROGEN; BIOMARKERS; ABUNDANCE</t>
  </si>
  <si>
    <t>As bottom water warms, destabilisation of gas hydrates may increase the extent of methane-rich sediments. The authors present an assessment of organic carbon processing by the benthic community in methane-rich sediments, including one of the first investigations of inorganic C fixation in a non-hydrothermal vent setting. This topic was previously poorly studied, and there is much need to fill the gaps in knowledge of such ecosystems. The authors hypothesized that benthic C fixation would occur, and that a high biomass macrofaunal community would play a substantial role in organic C cycling. Experiments were conducted at a 257 m deep site off South Georgia. Sediment cores were amended with C-13 and N-15 labelled algal detritus, or C-13 labelled bicarbonate solution. In the bicarbonate experiment, labelling of bacteria-specific phospholipid fatty acids provided direct evidence of benthic C fixation, with transfer of fixed C to macrofauna and dissolved organic carbon (DOC). In the algae experiment, macrofauna played an active role in organic carbon cycling. Compared to similar experiments, low temperature supressed the rates of community respiration and macrofaunal C uptake. While benthic C fixation occurred, the biological processing of organic carbon was dominantly controlled by low temperature and high photic zone productivity.</t>
  </si>
  <si>
    <t>[Woulds, Clare; Bell, James B.; Brown, Louise S.] Univ LeetR, Sch Geog, Leeds LS2 9JT, W Yorkshire, England; [Bell, James B.; Brown, Louise S.] Cefas, Pakefield Rd, Lowestoft NR33 0HT, Suffolk, England; [Glover, Adrian G.] Nat Hist Museum, Life Sci Dept, Cromwell Rd, London SW7 5BD, England; [Bouillon, Steven] Katholieke Univ Leuven, Dept Earth &amp; Environm Sci, Leuven, Belgium</t>
  </si>
  <si>
    <t>Centre for Environment Fisheries &amp; Aquaculture Science; Natural History Museum London; KU Leuven</t>
  </si>
  <si>
    <t>Woulds, C (corresponding author), Univ LeetR, Sch Geog, Leeds LS2 9JT, W Yorkshire, England.</t>
  </si>
  <si>
    <t>c.woulds@leeds.uc.uk</t>
  </si>
  <si>
    <t>Bouillon, Steven/C-5177-2011</t>
  </si>
  <si>
    <t>Bouillon, Steven/0000-0001-7669-2929</t>
  </si>
  <si>
    <t>Antarctic Science Ltd; NERC [NE/J013307/1]; NERC [NE/J013307/1] Funding Source: UKRI</t>
  </si>
  <si>
    <t>Antarctic Science Ltd; NERC(UK Research &amp; Innovation (UKRI)Natural Environment Research Council (NERC)); NERC(UK Research &amp; Innovation (UKRI)Natural Environment Research Council (NERC))</t>
  </si>
  <si>
    <t>This work was funded by Antarctic Science Ltd and NERC (grant NE/J013307/1). The authors would like to thank Professor Paul Tyler, as well as the officers and crew of RRS James Cook, and the on-board scientific party on cruise JC 55. The authors would also like to thank Elisa Neame for assistance with extracting macrofauna, and three anonymous reviewers for comments which led to improvements of the manuscript.</t>
  </si>
  <si>
    <t>PII S0954102018000548</t>
  </si>
  <si>
    <t>10.1017/S0954102018000548</t>
  </si>
  <si>
    <t>WOS:000463086400003</t>
  </si>
  <si>
    <t>Caruso, C; Rizzo, C; Mangano, S; Poli, A; Di Donato, P; Nicolaus, B; Finore, I; Di Marco, G; Michaud, L; Lo Giudice, A</t>
  </si>
  <si>
    <t>Caruso, Consolazione; Rizzo, Carmen; Mangano, Santina; Poli, Annarita; Di Donato, Paola; Nicolaus, Barbara; Finore, Ilaria; Di Marco, Gaetano; Michaud, Luigi; Lo Giudice, Angelina</t>
  </si>
  <si>
    <t>Isolation, characterization and optimization of EPSs produced by a cold-adapted Marinobacter isolate from Antarctic seawater</t>
  </si>
  <si>
    <t>bioprospecting; cryoprotection; emulsifying activity; EPS; heavy metals</t>
  </si>
  <si>
    <t>EXTRACELLULAR POLYMERIC SUBSTANCES; SP NOV.; PSYCHROTROPHIC BACTERIA; HALOPHILIC BACTERIUM; HYDROTHERMAL VENT; EXOPOLYSACCHARIDE; SEA; HALOTOLERANT; RESISTANCE; METAL</t>
  </si>
  <si>
    <t>Marinobacter sp. W1-16 from Antarctic surface seawater was analysed for the production of extracellular polymeric substances (EPSs). Enhancement of the EPS biosynthesis was carried out by evaluating the influences of the carbon source (type and concentration), temperature, pH and salinity. EPS yields varied strongly depending on sugar substrate and temperature, while pH and salinity did not strongly affect levels of EPS production. Marinobacter sp. W1-16 produced the highest quantity of EPSs when growing at 15 degrees C and pH 8, in the presence of 2% glucose and 3% NaCl. The EPS chemical characterization revealed a molecular weight of about 260 kDa. Colorimetric assays determined a higher quantity of carbohydrate than of proteins and uronic acids, as well as the presence of sulphate, in the extracted EPSs. The monosaccharidic composition resulted in Glc:Man:Gal:GalN:GalA:GlcA in relative molar proportions of 1:0.9:0.2:0.1:0.1:0.01. Some biotechnological potentialities (i.e. emulsifying and cryoprotective actions, and heavy metal binding properties) of the EPSs were proved, suggesting possible industrial and bioremediation applications.</t>
  </si>
  <si>
    <t>[Caruso, Consolazione; Rizzo, Carmen; Mangano, Santina; Michaud, Luigi; Lo Giudice, Angelina] Univ Messina, ChiBioFarAm, Dept Chem Biol Pharmaceut &amp; Environm Sci, Messina, Italy; [Poli, Annarita; Di Donato, Paola; Nicolaus, Barbara; Finore, Ilaria] Natl Res Council ICB CNR, Inst Biomol Chem, Pozzuoli, NA, Italy; [Di Donato, Paola] Univ Naples Parthenope, Dept Sci &amp; Technol, Ctr Direz, Isola C4, I-80143 Naples, Italy; [Di Marco, Gaetano] Natl Res Council IPCF CNR, Inst Chem Phys Proc, Messina, Italy; [Lo Giudice, Angelina] Natl Res Council IRB CNR, Inst Biol Resources &amp; Marine Biotechnol, Messina, Italy</t>
  </si>
  <si>
    <t>University of Messina; Consiglio Nazionale delle Ricerche (CNR); Istituto di Chimica Biomolecolare (ICB-CNR); Parthenope University Naples; Consiglio Nazionale delle Ricerche (CNR); Istituto per i Processi Chimico-Fisici (IPCF-CNR); Consiglio Nazionale delle Ricerche (CNR); Istituto per le Risorse Biologiche Biotecnologie Marine (IRBIM-CNR)</t>
  </si>
  <si>
    <t>Lo Giudice, A (corresponding author), Univ Messina, ChiBioFarAm, Dept Chem Biol Pharmaceut &amp; Environm Sci, Messina, Italy.;Lo Giudice, A (corresponding author), Natl Res Council IRB CNR, Inst Biol Resources &amp; Marine Biotechnol, Messina, Italy.</t>
  </si>
  <si>
    <t>angelina.logiudice@cnr.it</t>
  </si>
  <si>
    <t>Rizzo, Carmen/AAA-3075-2022; Rizzo, Carmen/S-6285-2019; Di Donato, Paola/P-9245-2016</t>
  </si>
  <si>
    <t>Di Donato, Paola/0000-0002-7485-1815</t>
  </si>
  <si>
    <t>PNRA (Programma Nazionale di Ricerche in Antartide); Italian Ministry of Education and Research [PNRA 2003/1.5, PNRA 2004/1.6]; MNA (Museo Nazionale dell'Antartide)</t>
  </si>
  <si>
    <t>PNRA (Programma Nazionale di Ricerche in Antartide); Italian Ministry of Education and Research(Ministry of Education, Universities and Research (MIUR)); MNA (Museo Nazionale dell'Antartide)</t>
  </si>
  <si>
    <t>This research was supported by grants from PNRA (Programma Nazionale di Ricerche in Antartide), Italian Ministry of Education and Research (Research Projects PNRA 2003/1.5 and PNRA 2004/1.6), and from MNA (Museo Nazionale dell'Antartide). The authors would like to thank the anonymous reviewers for their careful reading and valuable suggestions.</t>
  </si>
  <si>
    <t>PII S0954102018000482</t>
  </si>
  <si>
    <t>10.1017/S0954102018000482</t>
  </si>
  <si>
    <t>WOS:000463086400004</t>
  </si>
  <si>
    <t>Kim, S</t>
  </si>
  <si>
    <t>Kim, Stacy</t>
  </si>
  <si>
    <t>Complex life under the McMurdo Ice Shelf, and some speculations on food webs</t>
  </si>
  <si>
    <t>Antarctic; benthic; community; macrofauna</t>
  </si>
  <si>
    <t>SEA-ICE; SOUND; SEDIMENTATION; ENVIRONMENTS; KRILL</t>
  </si>
  <si>
    <t>Habitats under ice shelves are minimally explored, primarily because of technological limitations. These areas are separated from photosynthetic primary productivity by thick ice and distance to open water. Nevertheless, a diverse macrofaunal benthic community was discovered at 188 m depth, 80 km back from the edge of the McMurdo Ice Shelf. The general habitat was fine sediment with occasional dropstones, and dominant taxa were polychaetes and brittle stars, with alcyonacean soft corals and anemones on hard substrates. Gelatinous animals were abundant near the seafloor, and possibly part of a food web that supports the benthic community.</t>
  </si>
  <si>
    <t>[Kim, Stacy] Moss Landing Marine Labs, 8272 Moss Landing Rd, Moss Landing, CA 95039 USA</t>
  </si>
  <si>
    <t>Moss Landing Marine Laboratories</t>
  </si>
  <si>
    <t>Kim, S (corresponding author), Moss Landing Marine Labs, 8272 Moss Landing Rd, Moss Landing, CA 95039 USA.</t>
  </si>
  <si>
    <t>skim@mlml.calstate.edu</t>
  </si>
  <si>
    <t>NSF [OPP-0619622, ANT-0944747]; CCR; VideoRay</t>
  </si>
  <si>
    <t>NSF(National Science Foundation (NSF)); CCR(United States Department of Health &amp; Human ServicesNational Institutes of Health (NIH) - USA); VideoRay</t>
  </si>
  <si>
    <t>This work was possible only with the dedicated preparation and fieldwork of the 2008 SCINI field team, especially Francois Cazenave, D.J. Osborne, and Scott Heeschen. Marty Hynes provided invaluable assistance with mathematical processing. McMurdo Station personnel supported many aspects of the field season. The authors are very grateful to the reviewers and editors who improved this paper. Financial support was provided by CC&amp;R, VideoRay and NSF grant numbers OPP-0619622 and ANT-0944747. Any opinions, findings and conclusions or recommendations expressed in this material are those of the authors and do not necessarily reflect the views of the NSF.</t>
  </si>
  <si>
    <t>PII S0954102018000561</t>
  </si>
  <si>
    <t>10.1017/S0954102018000561</t>
  </si>
  <si>
    <t>WOS:000463086400005</t>
  </si>
  <si>
    <t>Amsler, CD; Amsler, MO; Curtis, MD; McClintock, JB; Baker, BJ</t>
  </si>
  <si>
    <t>Amsler, Charles D.; Amsler, Margaret O.; Curtis, Michelle D.; McClintock, James B.; Baker, Bill J.</t>
  </si>
  <si>
    <t>Impacts of gastropods on epiphytic microalgae on the brown macroalga Himantothallus grandifolius</t>
  </si>
  <si>
    <t>Antarctic Peninsula; biofouling; herbivory; mesograzers; Phaeophyceae</t>
  </si>
  <si>
    <t>DOMINANT SUBTIDAL MACROALGAE; WESTERN ANTARCTIC PENINSULA; PALATABILITY; ABUNDANCE; AMPHIPODS; GROWTH; ISLAND; ALGAE</t>
  </si>
  <si>
    <t>Chemically defended benthic macroalgae that dominate shallow, hard bottom communities along the western Antarctic Peninsula support very high densities of mesograzers, particularly amphipods but also small gastropods. Previous studies have demonstrated that the macroalgae and amphipods form a mutualistic relationship. The chemically defended macroalgae provide the amphipods with a refuge from predation while the macroalgae benefit from the amphipods greatly reducing surface fouling by smaller algae. One of the three most important macroalgae in terms of overstory cover, Himantothallus grandifolius, forms huge blades that can carpet the benthos. Field observations suggest that gastropods may be higher in relative abundance in proportion to amphipods on H. grandifolius than on other overstory macroalgae. The present study documents the finding that natural abundances of gastropods on H. grandifolius maintained in mesocosms reduce fouling by microscopic algae, primarily diatoms. However, amphipods are probably also important in keeping the macroalga clean of diatoms in nature. In a smaller scale experiment, three gastropod species were differentially effective at reducing diatom coverage on H. grandifolius. The hypothesis that gastropods benefit from associating with H. grandifolius in potentially gaining a refuge from sea-star predation was also tested but not supported by the experimental results.</t>
  </si>
  <si>
    <t>[Amsler, Charles D.; Amsler, Margaret O.; Curtis, Michelle D.; McClintock, James B.] Univ Alabama Birmingham, Dept Biol, 1300 Univ Blvd, Birmingham, AL 35233 USA; [Baker, Bill J.] Univ S Florida, Dept Chem, 4202 E Fowler Ave, Tampa, FL 33620 USA</t>
  </si>
  <si>
    <t>University of Alabama System; University of Alabama Birmingham; State University System of Florida; University of South Florida</t>
  </si>
  <si>
    <t>Amsler, CD (corresponding author), Univ Alabama Birmingham, Dept Biol, 1300 Univ Blvd, Birmingham, AL 35233 USA.</t>
  </si>
  <si>
    <t>amsler@uab.edu</t>
  </si>
  <si>
    <t>Baker, Bill/N-4312-2019</t>
  </si>
  <si>
    <t>National Science Foundation from the Antarctic Organisms and Ecosystems Program [PLR-1341333, PLR-1341339]; Endowed University Professorship in Polar and Marine Biology by the University of Alabama at Birmingham</t>
  </si>
  <si>
    <t>National Science Foundation from the Antarctic Organisms and Ecosystems Program(National Science Foundation (NSF)NSF - Directorate for Geosciences (GEO)); Endowed University Professorship in Polar and Marine Biology by the University of Alabama at Birmingham</t>
  </si>
  <si>
    <t>The authors are grateful to S. Heiser, A. Shilling, C. Brothers, and K. Smith for assistance in the field as well as to the Antarctic Support Contract staff of Palmer Station for outstanding logistical support of this research. Thanks are also due to two anonymous reviewers for constructive comments that improved the final version of the manuscript. L. Miller performed preliminary experiments which informed the design of the behavioural experiment and collected gastropod samples in 2017 that were used for determination of gastropod densities in the mesocosm experiment. L. Miller and R. Edwards contributed to the enumeration of the 2017 gastropod samples. This research was funded by National Science Foundation awards PLR-1341333 (CDA, JBM) and PLR-1341339 (BJB) from the Antarctic Organisms and Ecosystems Program. JBM acknowledges the support of an Endowed University Professorship in Polar and Marine Biology provided by the University of Alabama at Birmingham.</t>
  </si>
  <si>
    <t>PII S0954102019000014</t>
  </si>
  <si>
    <t>10.1017/S0954102019000014</t>
  </si>
  <si>
    <t>WOS:000463086400006</t>
  </si>
  <si>
    <t>Marx, FG; Buono, MR; Evans, AR; Fordyce, RE; Reguero, M; Hocking, DP</t>
  </si>
  <si>
    <t>Marx, Felix G.; Buono, Monica R.; Evans, Alistair R.; Fordyce, R. Ewan; Reguero, Marcelo; Hocking, David P.</t>
  </si>
  <si>
    <t>Gigantic mysticete predators roamed the Eocene Southern Ocean</t>
  </si>
  <si>
    <t>Antarctica; baleen whale; Llanocetus; Palaeogene; raptorial; suction feeding</t>
  </si>
  <si>
    <t>TOOTHED MYSTICETE; CETACEA; WHALE; OLIGOCENE; EVOLUTION; ORIGIN</t>
  </si>
  <si>
    <t>Modern baleen whales (Mysticeti), the largest animals on Earth, arose from small ancestors around 36.4 million years ago (Ma). True gigantism is thought to have arisen late in mysticete history, with species exceeding 10 m unknown prior to 8 Ma. This view is challenged by new fossils from Seymour Island (Isla Marambio), Antarctica, which suggest that enormous whales once roamed the Southern Ocean during the Late Eocene (c. 34 Ma). The new material hints at an unknown species of the archaic mysticete Llanocetus with a total body length of up to 12 m. The latter is comparable to that of extant Omura's whales (Balaenoptera omurai Wada et al. 2003), and suggests that gigantism has been a re-occurring feature of mysticetes since their very origin. Functional analysis including sharpness and dental wear implies an at least partly raptorial feeding strategy, starkly contrasting with the filtering habit of living whales. The new material markedly expands the size range of archaic mysticetes, and demonstrates that whales achieved considerable disparity shortly after their origin.</t>
  </si>
  <si>
    <t>[Marx, Felix G.] Royal Belgian Inst Nat Sci, Directorate Earth &amp; Hist Life, Brussels, Belgium; [Marx, Felix G.; Evans, Alistair R.; Hocking, David P.] Monash Univ, Sch Biol Sci, Clayton, Vic, Australia; [Marx, Felix G.; Evans, Alistair R.; Hocking, David P.] Museums Victoria, Geosci, Melbourne, Vic, Australia; [Buono, Monica R.] CCT CONICET CENPAT, IPGT, Puerto Madryn, Chubut, Argentina; [Fordyce, R. Ewan] Univ Otago, Dept Geol, Dunedin, New Zealand; [Fordyce, R. Ewan] Smithsonian Inst, Natl Museum Nat Hist, Dept Vertebrate Zool, Washington, DC 20560 USA; [Fordyce, R. Ewan] Smithsonian Inst, Natl Museum Nat Hist, Dept Paleobiol, Washington, DC 20560 USA; [Reguero, Marcelo] Inst Antartico Argentino, Direcc Nacl Antartico, San Martin, Argentina</t>
  </si>
  <si>
    <t>Royal Belgian Institute of Natural Sciences; Monash University; Melbourne Genomics Health Alliance; Centro Nacional Patagonico (CENPAT); University of Otago; Smithsonian Institution; Smithsonian National Museum of Natural History; Smithsonian Institution; Smithsonian National Museum of Natural History; Instituto Antartico Argentino</t>
  </si>
  <si>
    <t>Marx, FG (corresponding author), Royal Belgian Inst Nat Sci, Directorate Earth &amp; Hist Life, Brussels, Belgium.;Marx, FG (corresponding author), Monash Univ, Sch Biol Sci, Clayton, Vic, Australia.;Marx, FG (corresponding author), Museums Victoria, Geosci, Melbourne, Vic, Australia.</t>
  </si>
  <si>
    <t>felix.marx@monash.edu</t>
  </si>
  <si>
    <t>Reguero, Marcelo A./JHS-4893-2023; Evans, Alistair/D-4239-2011; Hocking, David Philip/A-2666-2017; Marx, Felix Georg/AAI-3480-2021</t>
  </si>
  <si>
    <t>Evans, Alistair/0000-0002-4078-4693; Hocking, David Philip/0000-0001-6848-1208; Marx, Felix Georg/0000-0002-1029-4001; Buono, Monica Romina/0000-0003-1812-7467</t>
  </si>
  <si>
    <t>EU Marie Skodowska-Curie Global Postdoctoral fellowship [656010/ MYSTICETI]; Instituto Antartico Argentino (PICTA); Instituto Antartico Argentino [PICTO 2010-0093]</t>
  </si>
  <si>
    <t>EU Marie Skodowska-Curie Global Postdoctoral fellowship; Instituto Antartico Argentino (PICTA); Instituto Antartico Argentino</t>
  </si>
  <si>
    <t>Thanks are due to the Instituto Antartico Argentino and Fuerza Aerea Argentina for logistical support, Guillermo Lopez and Sergio Santillana who found the specimens studied here, Juan Jose Moly and Santiago Bessone for the preparation of the specimens, Pablo Navarro and Erich M.G. Fitzgerald for help with data acquisition, Carl Buell for providing life reconstructions of Llanocetus, and Alberto Collareta and Olivier Lambert for their constructive reviews. F.G.M. was funded by an EU Marie Skodowska-Curie Global Postdoctoral fellowship (656010/ MYSTICETI), and M.R. by the Instituto Antartico Argentino (PICTA and PICTO 2010-0093).</t>
  </si>
  <si>
    <t>PII S095410201800055X</t>
  </si>
  <si>
    <t>10.1017/S095410201800055X</t>
  </si>
  <si>
    <t>WOS:000463086400007</t>
  </si>
  <si>
    <t>Titos, M; Bueno, A; García, L; Benítez, MC; Ibañez, J</t>
  </si>
  <si>
    <t>Titos, Manuel; Bueno, Angel; Garcia, Luz; Carmen Benitez, M.; Ibanez, Jesus</t>
  </si>
  <si>
    <t>Detection and Classification of Continuous Volcano-Seismic Signals With Recurrent Neural Networks</t>
  </si>
  <si>
    <t>IEEE TRANSACTIONS ON GEOSCIENCE AND REMOTE SENSING</t>
  </si>
  <si>
    <t>Geophysical signal processing; pattern recognition; recurrent neural networks; seismology; supervised learning</t>
  </si>
  <si>
    <t>DECEPTION ISLAND VOLCANO; FLUID-DRIVEN CRACK; LONG-PERIOD EVENTS; EARTHQUAKE CLASSIFICATION; QUANTITATIVE-ANALYSIS; PHREATIC ERUPTION; MARKOV-MODELS; WAVE-FIELD; ANTARCTICA; SYSTEM</t>
  </si>
  <si>
    <t>This paper introduces recurrent neural networks (RNN), long short-term memory (LSTM), and gated recurrent unit (GRU) to detect and classify continuous sequences of volcano-seismic events at the Deception Island Volcano, Antarctica. A representative data set containing volcano-tectonic earthquakes, long-period events, volcanic tremors, and hybrid events was used to train these models. Experimental results show that RNN, LSTM, and GRU can exploit temporal and frequency information from continuous seismic data, attaining close to 90%, 94%, and 92% events correctly detected and classified. A second experiment is presented in this paper. The architectures described above, trained with data from campaigns of seismic records obtained in 1995-2002, have been tested with data from the recent seismic survey performed at the Deception Island Volcano in 2016-2017 by the Spanish Antarctic scientific campaign. Despite the variations in the geophysical properties of the seismic events within the volcano across eruptive periods, results provide good generalization accuracy. This result expands the possibilities of RNNs for real-time monitoring of volcanic activity, even if seismic sources change over time.</t>
  </si>
  <si>
    <t>[Titos, Manuel; Bueno, Angel; Garcia, Luz; Carmen Benitez, M.] Univ Granada, Dept Signal Theory Telemat &amp; Commun, E-18071 Granada, Spain; [Ibanez, Jesus] Univ Granada, Inst Andaluz Geofis, E-18071 Granada, Spain</t>
  </si>
  <si>
    <t>University of Granada; University of Granada</t>
  </si>
  <si>
    <t>Titos, M (corresponding author), Univ Granada, Dept Signal Theory Telemat &amp; Commun, E-18071 Granada, Spain.</t>
  </si>
  <si>
    <t>mmtitos@ugr.es</t>
  </si>
  <si>
    <t>García, Luz/D-2512-2012; IBANEZ, JESUS M/G-9910-2019; Titos, Manuel/H-9774-2015; Benitez Ortuzar, M. Carmen/C-2424-2012</t>
  </si>
  <si>
    <t>IBANEZ, JESUS M/0000-0002-9846-8781; Bueno Rodriguez, Angel/0000-0002-7265-5642; Titos, Manuel/0000-0002-8279-2341; Benitez Ortuzar, M. Carmen/0000-0002-5407-8335; Garcia Martinez, Luz/0000-0001-5904-5412</t>
  </si>
  <si>
    <t>[TEC2015-68752-R]</t>
  </si>
  <si>
    <t>This work was supported by TEC2015-68752-R under Grant MINECO/FEDER.</t>
  </si>
  <si>
    <t>IEEE-INST ELECTRICAL ELECTRONICS ENGINEERS INC</t>
  </si>
  <si>
    <t>PISCATAWAY</t>
  </si>
  <si>
    <t>445 HOES LANE, PISCATAWAY, NJ 08855-4141 USA</t>
  </si>
  <si>
    <t>0196-2892</t>
  </si>
  <si>
    <t>1558-0644</t>
  </si>
  <si>
    <t>IEEE T GEOSCI REMOTE</t>
  </si>
  <si>
    <t>IEEE Trans. Geosci. Remote Sensing</t>
  </si>
  <si>
    <t>10.1109/TGRS.2018.2870202</t>
  </si>
  <si>
    <t>Geochemistry &amp; Geophysics; Engineering, Electrical &amp; Electronic; Remote Sensing; Imaging Science &amp; Photographic Technology</t>
  </si>
  <si>
    <t>Geochemistry &amp; Geophysics; Engineering; Remote Sensing; Imaging Science &amp; Photographic Technology</t>
  </si>
  <si>
    <t>HR3EH</t>
  </si>
  <si>
    <t>WOS:000463019000009</t>
  </si>
  <si>
    <t>Fernández, DA; Bruno, DO; Llompart, FM</t>
  </si>
  <si>
    <t>Fernandez, Daniel A.; Bruno, Daniel O.; Llompart, Facundo M.</t>
  </si>
  <si>
    <t>Length-weight relationship of six notothenioid species from sub-Antarctic waters (Beagle Channel, Argentina)</t>
  </si>
  <si>
    <t>JOURNAL OF APPLIED ICHTHYOLOGY</t>
  </si>
  <si>
    <t>ELEGINOPS-MACLOVINUS; SOUTH; SEA</t>
  </si>
  <si>
    <t>This study presents length-weight relationships (LWR) for six species of fishes of the Suborder Notothenioidei that inhabit the sub-Antarctic waters of the Beagle Channel (Argentina). These species represent five of the nine families of this Suborder. The specimens belong to historical fish collections in the area (from 1987 to 1990) using gill and trammel nets. All species but Eleginops maclovinus had no previous LWR estimates. The coefficient of determination (r(2)) ranged from 0.91 to 0.99 and b values ranged from 2.74 to 3.2. Harpagifer bispinis was the only species with a b value lower than three. This information is useful to predict the weight from the length data and to provide insights into the ecology of sub-Antarctic nototheniod fish.</t>
  </si>
  <si>
    <t>[Fernandez, Daniel A.; Bruno, Daniel O.; Llompart, Facundo M.] Univ Nacl Tierra Fuego ICPA UNTDF, Inst Ciencias Polares Ambiente &amp; Recursos Nat, Ushuaia, Tierra Del Fueg, Argentina; [Fernandez, Daniel A.; Bruno, Daniel O.; Llompart, Facundo M.] Ctr Austral Invest Cient CADIC CONICET, Lab Ecol Fisiol &amp; Evoluc Organismos Acuat LEFyE, Ushuaia, Tierra Del Fueg, Argentina</t>
  </si>
  <si>
    <t>Consejo Nacional de Investigaciones Cientificas y Tecnicas (CONICET)</t>
  </si>
  <si>
    <t>Fernández, DA (corresponding author), Univ Nacl Tierra Fuego ICPA UNTDF, Inst Ciencias Polares Ambiente &amp; Recursos Nat, Ushuaia, Tierra Del Fueg, Argentina.</t>
  </si>
  <si>
    <t>dfernandez@untdf.edu.ar</t>
  </si>
  <si>
    <t>Fernandez, Daniel Alfredo/0000-0002-3367-4138</t>
  </si>
  <si>
    <t>Consejo Nacional de Investigaciones Cientificas y Tecnicas [PIP 440]</t>
  </si>
  <si>
    <t>Consejo Nacional de Investigaciones Cientificas y Tecnicas(Consejo Nacional de Investigaciones Cientificas y Tecnicas (CONICET))</t>
  </si>
  <si>
    <t>Consejo Nacional de Investigaciones Cientificas y Tecnicas, Grant/Award Number: PIP 440</t>
  </si>
  <si>
    <t>0175-8659</t>
  </si>
  <si>
    <t>1439-0426</t>
  </si>
  <si>
    <t>J APPL ICHTHYOL</t>
  </si>
  <si>
    <t>J. Appl. Ichthyol.</t>
  </si>
  <si>
    <t>10.1111/jai.13833</t>
  </si>
  <si>
    <t>Fisheries; Marine &amp; Freshwater Biology</t>
  </si>
  <si>
    <t>HQ9VP</t>
  </si>
  <si>
    <t>WOS:000462776200027</t>
  </si>
  <si>
    <t>Puckridge, M; Last, PR; Gledhill, DC; Andreakis, N</t>
  </si>
  <si>
    <t>Puckridge, Melody; Last, Peter R.; Gledhill, Daniel C.; Andreakis, Nikos</t>
  </si>
  <si>
    <t>From the tropics to the pole and back again: Radiation in the flathead fishes (Platycephalidae) across Australia and the Indo-West Pacific</t>
  </si>
  <si>
    <t>JOURNAL OF BIOGEOGRAPHY</t>
  </si>
  <si>
    <t>Australian fauna; biodiversity hotspot; comparative phylogeography; cryptic species; endemic; Latitudinal Diversity Gradient; Platycephalidae; temperate origins</t>
  </si>
  <si>
    <t>COMPARATIVE PHYLOGEOGRAPHY; CRYPTIC DIVERSITY; LEEUWIN CURRENT; LATE EOCENE; SPECIATION; EVOLUTION; OLIGOCENE; TELEOSTEI; PATTERNS; GRADIENT</t>
  </si>
  <si>
    <t>Aim To develop a comparative phylogeographic framework to understand the origins, evolution, taxonomic richness, and distribution of Australian demersal fish endemics in the context of the Indo-West Pacific (IWP). Location Southern Australia and the IWP. Taxon Platycephalidae (flathead fishes). Methods Nuclear and mitochondrial phylogenies of flathead fishes were inferred from 46 of 85 nominal species, and 14 additional cryptic species-level lineages, representing 17 of the 18 genera. Molecular clocks and habitat trait reconstructions were used to infer the palaeoclimatic and geological events responsible for shaping the evolution and diversification of the group. Results The family Platycephalidae comprises two sister subfamilies; Platycephalinae and Onigociinae, which diverged in the Eocene into predominantly temperate and tropical assemblages respectively. The basal platycephalin taxa are confined to southern Australia with the most derived groups in the tropics, following a high- to low-latitudinal evolutionary trajectory. In contrast, the onigociins are predominantly associated with the tropics, and have diversified across the region since the early Miocene with very few introductions into temperate Australia. Main conclusions Platycephalinae and Onigociinae show contrasting evolutionary scenarios. Platycephalins have a temperate to tropical evolutionary trajectory consistent with their arrival into the region via tectonic rafting and subsequent dispersal. This dispersal was likely facilitated by formation of shallow-water environments along the Sunda Arc margin following collision of the Australian and Eurasian Plates. In contrast, the Onigociinae has likely maintained a tropical presence across the IWP since the Eocene and has experienced higher diversification rates leading to circa three times the species diversity found in the Platycephalinae. Rounds of dispersal and allopatric speciation have subsequently played out across both low and high latitudes with both subfamilies harbouring cryptic species-level lineages. This work provides an explicit working hypothesis for exploring origins and diversification in other demersal fishes endemic to the Australian continent.</t>
  </si>
  <si>
    <t>[Puckridge, Melody] Univ Tasmania, Inst Marine &amp; Antarctic Studies, Hobart, Tas, Australia; [Puckridge, Melody; Last, Peter R.; Gledhill, Daniel C.] CSIRO, Oceans &amp; Atmosphere, Hobart, Tas, Australia; [Puckridge, Melody; Last, Peter R.; Gledhill, Daniel C.] Australian Natl Fish Collect, Hobart, Tas, Australia; [Andreakis, Nikos] James Cook Univ, Coll Sci &amp; Engn, Townsville, Qld, Australia; [Andreakis, Nikos] Australian Inst Marine Sci, Townsville, Qld, Australia</t>
  </si>
  <si>
    <t>University of Tasmania; Commonwealth Scientific &amp; Industrial Research Organisation (CSIRO); Commonwealth Scientific &amp; Industrial Research Organisation (CSIRO); James Cook University; Australian Institute of Marine Science</t>
  </si>
  <si>
    <t>Puckridge, M (corresponding author), Univ Tasmania, Inst Marine &amp; Antarctic Studies, Hobart, Tas, Australia.;Puckridge, M (corresponding author), CSIRO, Oceans &amp; Atmosphere, Hobart, Tas, Australia.;Puckridge, M (corresponding author), Australian Natl Fish Collect, Hobart, Tas, Australia.</t>
  </si>
  <si>
    <t>melodypuckridge@me.com</t>
  </si>
  <si>
    <t>Andreakis, Nikos/A-4010-2010; Last, Peter R/B-9740-2009</t>
  </si>
  <si>
    <t>University of Tasmania; Commonwealth Research and Environment Facilities (CERF) Marine Biodiversity Hub; CERF programme</t>
  </si>
  <si>
    <t>The University of Tasmania and the Commonwealth Research and Environment Facilities (CERF) Marine Biodiversity Hub provided financial support. The CERF programme is an Australian Government initiative supporting world class, public good research and is a collaborative partnership between the University of Tasmania, CSIRO Wealth from Oceans Flagship, Geoscience Australia, Australian Institute of Marine Science and Museum Victoria. We are deeply grateful to the Australian National Fish Collection (ANFC) and CSIRO Oceans and Atmosphere (Hobart) staff for providing most of the samples: W. White, A. Graham, J. Pogonoski, G. Yearsley, and R. Daley. Also to K. Graham (formerly NSW Fisheries), A. Connell (South African Institute for Aquatic Biodiversity), and D. Fairclough (Department of Fisheries Western Australia), for providing additional samples to ANFC. Permission to use samples donated to the Barcode of Life Project (http://www.barcodeoflife.org/) was granted by M. Gomon (Museum Victoria), M. McGrouther (Australian Museum), S. Chow (Agriculture, Forestry and Fisheries Research Council, Japan), J. Zhang (Shanghai Ocean University), A. Connell (SAIAB), P. Heemstra, E. Heemstra, A. Driscoll, L. Knapp, C. Meyer, S. Planes, and J. Williams (of the Moorea barcoding project). S. Appleyard supervised MP in the laboratory. P. Virtue and B. Ward provided additional supervisory input. A. Butler and N. Bax (CSIRO) and four anonymous reviewers provided helpful advice on an earlier version of this manuscript.</t>
  </si>
  <si>
    <t>0305-0270</t>
  </si>
  <si>
    <t>1365-2699</t>
  </si>
  <si>
    <t>J BIOGEOGR</t>
  </si>
  <si>
    <t>J. Biogeogr.</t>
  </si>
  <si>
    <t>10.1111/jbi.13484</t>
  </si>
  <si>
    <t>Ecology; Geography, Physical</t>
  </si>
  <si>
    <t>Environmental Sciences &amp; Ecology; Physical Geography</t>
  </si>
  <si>
    <t>HR1QR</t>
  </si>
  <si>
    <t>WOS:000462909100002</t>
  </si>
  <si>
    <t>Moro, G; Buonocore, F; Barucca, M; Spazzali, F; Canapa, A; Pallavicini, A; Scapigliati, G; Gerdol, M</t>
  </si>
  <si>
    <t>Moro, Giulia; Buonocore, Francesco; Barucca, Marco; Spazzali, Francesca; Canapa, Adriana; Pallavicini, Alberto; Scapigliati, Giuseppe; Gerdol, Marco</t>
  </si>
  <si>
    <t>The first transcriptomic resource for the Antarctic scallop Adamussium colbecki</t>
  </si>
  <si>
    <t>MARINE GENOMICS</t>
  </si>
  <si>
    <t>Adamussium colbecki; Antarctica; Transcriptome; Bivalve; Pectinida; Phylogenomics</t>
  </si>
  <si>
    <t>PECTINIDAE MOLLUSCA; PHYLOGENY; FAMILIES; BIVALVIA; 16S</t>
  </si>
  <si>
    <t>Adamussium colbecki is one of the most common bivalve mollusks found in the coastal waters of the Antarctic continent. Its widespread distribution, easiness of collection and sensitivity to slight alterations of water temperature and presence of pollutants make this cold-adapted scallop a potentially interesting sentinel species for the biomonitoring of the impact of anthropic activities on the Antarctic benthic communities. However, while the availability of genetic and molecular data would represent a resource of the utmost importance to enable the use of this species as a model for environmental studies, this data is presently nearly non-existing. Here we report a high quality de novo assembled and annotated transcriptome for A. colbecki, discussing the long-debated phylogenetic position of this species within the order Pectinida through a Bayesian phylogenomics approach, based on the concatenated multiple sequence alignment of 978 universally conserved orthologous genes.</t>
  </si>
  <si>
    <t>[Moro, Giulia; Spazzali, Francesca; Pallavicini, Alberto; Gerdol, Marco] Univ Trieste, Dept Life Sci, I-34127 Trieste, TS, Italy; [Buonocore, Francesco; Scapigliati, Giuseppe] Univ Tuscia, Dept Innovat Biol Agrofood &amp; Forest Syst, Largo Univ Snc, I-05100 Viterbo, VT, Italy; [Barucca, Marco; Canapa, Adriana] Marche Polytech Univ, Dept Life &amp; Environm Sci, Via Brecce Manche, I-60131 Ancona, AN, Italy; [Moro, Giulia] Churchill Hosp, Ctr Clin Vaccinol &amp; Trop Med, Oxford Vaccine Grp, Oxford OX3 7LE, England</t>
  </si>
  <si>
    <t>University of Trieste; Tuscia University; Marche Polytechnic University; University of Oxford</t>
  </si>
  <si>
    <t>Gerdol, M (corresponding author), Univ Trieste, Dept Life Sci, I-34127 Trieste, TS, Italy.</t>
  </si>
  <si>
    <t>giulia.moro@paediatrics.ox.ac.uk; fbuono@unitus.it; m.barucca@univpm.it; a.canapa@univpm.it; pallavic@units.it; scapigg@unitus.it; mgerdol@units.it</t>
  </si>
  <si>
    <t>Gerdol, Marco/D-2115-2013; Pallavicini, Alberto/H-9281-2019; Buonocore, Francesco/AAA-5236-2020</t>
  </si>
  <si>
    <t>Gerdol, Marco/0000-0001-6411-0813; Pallavicini, Alberto/0000-0001-7174-4603; Buonocore, Francesco/0000-0001-8045-5651</t>
  </si>
  <si>
    <t>Italian Program of Antarctic Research [PNRA16_00099]</t>
  </si>
  <si>
    <t>Italian Program of Antarctic Research</t>
  </si>
  <si>
    <t>This work was supported by the Italian Program of Antarctic Research (grant number PNRA16_00099). We thank Prof. Giulianini (University of Trieste) for providing the photograph of A. colbecki in Fig. 1.</t>
  </si>
  <si>
    <t>1874-7787</t>
  </si>
  <si>
    <t>1876-7478</t>
  </si>
  <si>
    <t>MAR GENOM</t>
  </si>
  <si>
    <t>Mar. Genom.</t>
  </si>
  <si>
    <t>10.1016/j.margen.2018.09.007</t>
  </si>
  <si>
    <t>Genetics &amp; Heredity; Marine &amp; Freshwater Biology</t>
  </si>
  <si>
    <t>HR0EI</t>
  </si>
  <si>
    <t>WOS:000462800700008</t>
  </si>
  <si>
    <t>Li, HF; Liu, ZY; Wang, M; Liu, XX; Wang, Q; Liu, Q; Jiang, Y; Li, ZS; Shao, HB; McMinn, A</t>
  </si>
  <si>
    <t>Li, Huifang; Liu, Zhaoyang; Wang, Min; Liu, Xinxin; Wang, Qi; Liu, Qian; Jiang, Yong; Li, Zhongshi; Shao, Hongbing; McMinn, Andrew</t>
  </si>
  <si>
    <t>Isolation and genome sequencing of the novel marine phage PHS3 from the Yellow Sea, China</t>
  </si>
  <si>
    <t>Pseudoalteromonas phage; Siphoviridae; Genome sequencing</t>
  </si>
  <si>
    <t>BACTERIOPHAGE; BACTERIUM; NOV.</t>
  </si>
  <si>
    <t>The genus Pseudoalteromonas of the class Gammaproteobacteria represents a ubiquitous Glade of marine bacteria, and is known to be ecologically and evolutionarily influenced by phages. Here, we report the complete genome sequence of a Pseudoalteromonas phage (PHS3) and major findings from the genomic analysis. Morphological observation suggested that the phage belongs to the Siphoviridae family. Genome of phage PHS3 consisted of a linear, double-stranded 35.626 kb DNA molecule with 40.85% GC content, and 58 putative open reading frames (ORFs) without tRNA. Comparative genome analysis revealed that phage PHS3 is related to the Pseudoalteromonas phage pq0 (acc. no. NC_029100). They had a synteny in the structure and DNA replication/regulation module and shared many structural and replicate genes, while little similarity was found in the phage packaging module. Knowledge of this phage might be helpful for further research on the interaction between phages and their hosts.</t>
  </si>
  <si>
    <t>[Li, Huifang; Liu, Zhaoyang; Wang, Min; Liu, Xinxin; Wang, Qi; Liu, Qian; Jiang, Yong; Li, Zhongshi; Shao, Hongbing] Ocean Univ China, Coll Marine Life Sci, Qingdao, Shandong, Peoples R China; [Wang, Min; Jiang, Yong] Ocean Univ China, Inst Evolut &amp; Marine Biodivers, Qingdao, Shandong, Peoples R China; [Wang, Min; Jiang, Yong] Ocean Univ China, Key Lab Polar Oceanog &amp; Global Ocean Change, Qingdao, Shandong, Peoples R China; [McMinn, Andrew] Univ Tasmania, Inst Marine &amp; Antarctic Studies, Hobart, Tas, Australia</t>
  </si>
  <si>
    <t>Ocean University of China; Ocean University of China; Ocean University of China; University of Tasmania</t>
  </si>
  <si>
    <t>Wang, M; Jiang, Y (corresponding author), Ocean Univ China, Coll Marine Life Sci, Qingdao, Shandong, Peoples R China.</t>
  </si>
  <si>
    <t>mingwang@ouc.edu.cn; yongjiang@ouc.edu.cn</t>
  </si>
  <si>
    <t>Wang, Min/AFR-9645-2022; 李, 慧芳/IYJ-6595-2023; long, wang/KGM-0871-2024; Jiang, Yong/AGK-3016-2022; Li, Yan/JUU-5189-2023</t>
  </si>
  <si>
    <t>Wang, Min/0000-0002-2357-589X; 李, 慧芳/0000-0003-2268-5496; Jiang, Yong/0000-0002-4072-1668; Jiang, Yong/0000-0001-6055-488X</t>
  </si>
  <si>
    <t>National Natural Science Foundation of China (NSFC) [31500339, 41676178, 41076088]; National Key Basic Research Program of China (973Program) [2013CB429704]; China Postdoctoral Science Foundation [2015 M570612, 2016T90649]; Fundamental Research Funds for the Central University of Ocean University of China [201564010, 201512008]</t>
  </si>
  <si>
    <t>National Natural Science Foundation of China (NSFC)(National Natural Science Foundation of China (NSFC)); National Key Basic Research Program of China (973Program)(National Basic Research Program of China); China Postdoctoral Science Foundation(China Postdoctoral Science Foundation); Fundamental Research Funds for the Central University of Ocean University of China</t>
  </si>
  <si>
    <t>This work was supported by the National Natural Science Foundation of China (NSFC Grant Nos. 31500339, 41676178, 41076088), the National Key Basic Research Program of China (973Program, Grant No: 2013CB429704), China Postdoctoral Science Foundation (Grant Nos. 2015 M570612 and 2016T90649), and Fundamental Research Funds for the Central University of Ocean University of China (Grant Nos. 201564010 and 201512008).</t>
  </si>
  <si>
    <t>10.1016/j.margen.2018.10.001</t>
  </si>
  <si>
    <t>WOS:000462800700010</t>
  </si>
  <si>
    <t>Hasegawa, H; Mikouchi, T; Yamaguchi, A; Yasutake, M; Greenwood, RC; Franchi, IA</t>
  </si>
  <si>
    <t>Hasegawa, Hikari; Mikouchi, Takashi; Yamaguchi, Akira; Yasutake, Masahiro; Greenwood, Richard C.; Franchi, Ian A.</t>
  </si>
  <si>
    <t>Petrological, petrofabric, and oxygen isotopic study of five ungrouped meteorites related to brachinites</t>
  </si>
  <si>
    <t>METEORITICS &amp; PLANETARY SCIENCE</t>
  </si>
  <si>
    <t>PARTIAL MELT RESIDUES; ACHONDRITES; RICH; GEOCHEMISTRY; LODRANITES; EVOLUTION; ORIGIN; ROCK</t>
  </si>
  <si>
    <t>Northwest Africa (NWA) 6112, Miller Range (MIL) 090206 (plus its pairs: MIL 090340 and MIL 090405), and Divnoe are olivine-rich ungrouped achondrites. We investigated and compared their petrography, mineralogy, and olivine fabrics. We additionally measured the oxygen isotopic compositions of NWA 6112. They show similar petrography, mineralogy, and oxygen isotopic compositions and we concluded that these five meteorites are brachinite clan meteorites. We found that NWA 6112 and Divnoe had a c axis concentration pattern of olivine fabrics using electron backscattered diffraction (EBSD). NWA 6112 and Divnoe are suggested to have been exposed to magmatic melt flows during their crystallization on their parent body. On the other hand, the three MIL meteorites have b axis concentration patterns of olivine fabrics. This indicates that the three MIL meteorites may be cumulates where compaction of olivine grains was dominant. Alternatively, they formed as residues and were exposed to olivine compaction. The presence of two different olivine fabric patterns implies that the parent body(s) of brachinite clan meteorites experienced diverse igneous processes.</t>
  </si>
  <si>
    <t>[Hasegawa, Hikari; Mikouchi, Takashi] Univ Tokyo, Grad Sch Sci, Dept Earth &amp; Planetary Sci, Bunkyo Ku, Tokyo 1130033, Japan; [Mikouchi, Takashi] Univ Tokyo, Univ Museum, Bunkyo Ku, Tokyo 1130033, Japan; [Yamaguchi, Akira] Natl Inst Polar Res, Antarctic Meteorite Res Ctr, Tachikawa, Tokyo 1908518, Japan; [Yamaguchi, Akira] Grad Univ Adv Sci, Sch Multidisciplinary Sci, Dept Polar Sci, Tachikawa, Tokyo 1908518, Japan; [Yasutake, Masahiro] Kyoto Univ, Grad Sch Sci, Div Earth &amp; Planetary Sci, Kyoto 6068502, Japan; [Greenwood, Richard C.; Franchi, Ian A.] Open Univ, Sch Phys Sci, Planetary &amp; Space Sci, Walton Hall, Milton Keynes MK7 6AA, Bucks, England</t>
  </si>
  <si>
    <t>University of Tokyo; University of Tokyo; Research Organization of Information &amp; Systems (ROIS); National Institute of Polar Research (NIPR) - Japan; Kyoto University; Open University - UK</t>
  </si>
  <si>
    <t>Hasegawa, H (corresponding author), Univ Tokyo, Grad Sch Sci, Dept Earth &amp; Planetary Sci, Bunkyo Ku, Tokyo 1130033, Japan.</t>
  </si>
  <si>
    <t>hasegawah@eps.s.u-tokyo.ac.jp</t>
  </si>
  <si>
    <t>Mikouchi, Takashi/AAY-7355-2021</t>
  </si>
  <si>
    <t>Yasutake, Masahiro/0000-0001-6420-0827; Greenwood, Richard/0000-0002-5544-8027; Mikouchi, Takashi/0000-0002-9998-8754</t>
  </si>
  <si>
    <t>[16J03702]; STFC [ST/P000657/1] Funding Source: UKRI</t>
  </si>
  <si>
    <t>; STFC(UK Research &amp; Innovation (UKRI)Science &amp; Technology Facilities Council (STFC))</t>
  </si>
  <si>
    <t>We thank the U.S. Meteorite Working Group for the loan of MIL samples and Bruno Fectay and Carine Bidaut for providing the NWA 6112 sample. Discussions with Drs. J. Ando and N. Tomioka are greatly appreciated. We also thank NIPR (National Institute of Polar Research, Ms. T. Ojima) for supporting SEM and EBSD works. Mr. H. Yoshida and Mr. K. Ichimura supported electron microprobe works at Department of Earth and Planetary Science, University of Tokyo. This work was supported by a Grant-in-Aid for JSPS Fellowship to HH (16J03702). We thank Dr. D. W. Mittlefehldt and two anonymous reviewers for helpful reviews, and Dr. C. A. Goodrich for editorial handling.</t>
  </si>
  <si>
    <t>1086-9379</t>
  </si>
  <si>
    <t>1945-5100</t>
  </si>
  <si>
    <t>METEORIT PLANET SCI</t>
  </si>
  <si>
    <t>Meteorit. Planet. Sci.</t>
  </si>
  <si>
    <t>10.1111/maps.13249</t>
  </si>
  <si>
    <t>HR1RM</t>
  </si>
  <si>
    <t>WOS:000462911900005</t>
  </si>
  <si>
    <t>Imae, N; Kimura, M; Yamaguchi, A; Kojima, H</t>
  </si>
  <si>
    <t>Imae, Naoya; Kimura, Makoto; Yamaguchi, Akira; Kojima, Hideyasu</t>
  </si>
  <si>
    <t>Primordial, thermal, and shock features of ordinary chondrites: Emulating bulk X-ray diffraction using in-plane rotation of polished thin sections</t>
  </si>
  <si>
    <t>RESOLUTION ELECTRON-MICROSCOPY; HIGH-TEMPERATURE; STONY METEORITES; MODAL MINERALOGY; PHASE-TRANSITION; ORTHO-PYROXENE; LL-CHONDRITES; CLASSIFICATION; PRESSURE; ENSTATITE</t>
  </si>
  <si>
    <t>Using an X-ray diffractometer, powder-like diffraction patterns were acquired from in-plane rotation of polished thin sections (PTSs) of 60 ordinary chondrites (23 H, 21 L, and 16 LL), in order to explore the thermal and shock metamorphism and its modifications of primordial features. The olivine (Ol) 130 peak position shown as Bragg indices clearly correlates with the chemical group for equilibrated ordinary chondrites (EOCs), while the peak is split or broad for unequilibrated ordinary chondrites (UOCs). The intensity ratio of kamacite may be useful for distinguishing the chemical group between H and L-LL, but it is not definite because of heterogeneous terrestrial weathering of kamacite, especially in H chondrites. The summed intensities of the orthoenstatite (Oen) 511 and 421 peaks positively correlates with the metamorphic sequence from 3 to 6, while that of clinoenstatite (Cen) 221 over bar is inversely correlated. The shock stage positively correlates with the summed full width of half maximum values of the Oen 511 and 421 peaks and the FWHM of Ol 130 peak for each class. Significant amount of Oen (Pbca) transformed through Cen (C2/c) finally to Cen (P2(1)/c) is stable at high pressure for shock stage S6 (Tenham and NWA 4719). The shock melted LL chondrite is characterized by the occurrence of Cen and abundant homogeneous olivine. The effects of both thermal and shock metamorphism are thus incorporated into the bulk X-ray diffraction (XRD) data. The bulk XRD method is useful for determining the bulk mineralogy, resulting in the classification of ordinary chondrites. The method is also applicable to samples other than PTS.</t>
  </si>
  <si>
    <t>[Imae, Naoya; Kimura, Makoto; Yamaguchi, Akira; Kojima, Hideyasu] Natl Inst Polar Res, Antarctic Meteorite Res Ctr, 10-3 Midori Cho, Tachikawa, Tokyo 1908518, Japan; [Imae, Naoya; Yamaguchi, Akira] SOKENDAI Grad Univ Adv Studies, Sch Multidisciplinary Sci, Dept Polar Sci, 10-3 Midori Cho, Tachikawa, Tokyo 1908518, Japan</t>
  </si>
  <si>
    <t>Research Organization of Information &amp; Systems (ROIS); National Institute of Polar Research (NIPR) - Japan; Graduate University for Advanced Studies - Japan</t>
  </si>
  <si>
    <t>Imae, N (corresponding author), Natl Inst Polar Res, Antarctic Meteorite Res Ctr, 10-3 Midori Cho, Tachikawa, Tokyo 1908518, Japan.;Imae, N (corresponding author), SOKENDAI Grad Univ Adv Studies, Sch Multidisciplinary Sci, Dept Polar Sci, 10-3 Midori Cho, Tachikawa, Tokyo 1908518, Japan.</t>
  </si>
  <si>
    <t>imae@nipr.ac.jp</t>
  </si>
  <si>
    <t>Kimura, Makoto/0000-0003-3352-4989</t>
  </si>
  <si>
    <t>National Institute of Polar Research (NIPR) [KP-307]; KAKENHI [17K05721]; Grants-in-Aid for Scientific Research [17K05721] Funding Source: KAKEN</t>
  </si>
  <si>
    <t>National Institute of Polar Research (NIPR)(National Institute of Polar Research (NIPR) - Japan);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</si>
  <si>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The authors are grateful to Drs. Roberta L. Flemming and M. R. M. Izawa for thoughtful and constructive reviews and to Dr. K. Righter for the handling of our manuscript. NI is grateful to Dr. S. Ohi in Shiga University for providing the reliable XRD data of synthesized Cen. The production of this paper was partly supported by a publication subsidy and Project Research KP-307 from the National Institute of Polar Research (NIPR), and KAKENHI (17K05721).</t>
  </si>
  <si>
    <t>10.1111/maps.13257</t>
  </si>
  <si>
    <t>WOS:000462911900013</t>
  </si>
  <si>
    <t>Pelle, T; Morlighem, M; Bondzio, JH</t>
  </si>
  <si>
    <t>Pelle, Tyler; Morlighem, Mathieu; Bondzio, Johannes H.</t>
  </si>
  <si>
    <t>Brief communication: PICOP, a new ocean melt parameterization under ice shelves combining PICO and a plume model</t>
  </si>
  <si>
    <t>RATES; BASE</t>
  </si>
  <si>
    <t>Basal melting at the bottom of Antarctic ice shelves is a major control on glacier dynamics, as it modulates the amount of buttressing that floating ice shelves exert onto the ice streams feeding them. Three-dimensional ocean circulation numerical models provide reliable estimates of basal melt rates but remain too computationally expensive for century-scale projections. Ice sheet modelers therefore routinely rely on simplified parameterizations based on either ice shelf depth or more sophisticated box models. However, existing parameterizations do not accurately resolve the complex spatial patterns of sub-shelf melt rates that have been observed over Antarctica's ice shelves, especially in the vicinity of the grounding line, where basal melting is one of the primary drivers of grounding line migration. In this study, we couple the Potsdam Ice-shelf Cavity mOdel (PICO, Reese et al., 2018) to a buoyant plume melt rate parameterization (Lazeroms et al., 2018) to create PICOP, a novel basal melt rate parameterization that is easy to implement in transient ice sheet numerical models and produces a melt rate field that is in excellent agreement with the spatial distribution and magnitude of observations for several ocean basins. We test PICOP on the Amundsen Sea sector of West Antarctica, Totten, and Moscow University ice shelves in East Antarctica and the Filchner-Ronne Ice Shelf and compare the results to PICO. We find that PICOP is able to reproduce inferred high melt rates beneath Pine Island, Thwaites, and Totten glaciers (on the order of 100 m yr(-1)) and removes the banding pattern observed in melt rates produced by PICO over the Filchner-Ronne Ice Shelf. PICOP resolves many of the issues contemporary basal melt rate parameterizations face and is therefore a valuable tool for those looking to make future projections of Antarctic glaciers.</t>
  </si>
  <si>
    <t>[Pelle, Tyler; Morlighem, Mathieu; Bondzio, Johannes H.] Univ Calif Irvine, Dept Earth Syst Sci, Irvine, CA 92697 USA</t>
  </si>
  <si>
    <t>University of California System; University of California Irvine</t>
  </si>
  <si>
    <t>Pelle, T (corresponding author), Univ Calif Irvine, Dept Earth Syst Sci, Irvine, CA 92697 USA.</t>
  </si>
  <si>
    <t>tpelle@uci.edu</t>
  </si>
  <si>
    <t>Morlighem, Mathieu/O-9942-2014</t>
  </si>
  <si>
    <t>Morlighem, Mathieu/0000-0001-5219-1310; Pelle, Tyler/0000-0002-9772-1730</t>
  </si>
  <si>
    <t>National Aeronautics and Space Administration, Cryospheric Sciences Program [NNX15AD55G]</t>
  </si>
  <si>
    <t>National Aeronautics and Space Administration, Cryospheric Sciences Program</t>
  </si>
  <si>
    <t>This work was performed at the University of California Irvine under a contract with the National Aeronautics and Space Administration, Cryospheric Sciences Program (no. NNX15AD55G).</t>
  </si>
  <si>
    <t>10.5194/tc-13-1043-2019</t>
  </si>
  <si>
    <t>HR3CE</t>
  </si>
  <si>
    <t>WOS:000463013300001</t>
  </si>
  <si>
    <t>Frisch, AJ; Rizzari, JR</t>
  </si>
  <si>
    <t>Frisch, Ashley J.; Rizzari, Justin R.</t>
  </si>
  <si>
    <t>Parks for sharks: human exclusion areas outperform no-take marine reserves</t>
  </si>
  <si>
    <t>FRONTIERS IN ECOLOGY AND THE ENVIRONMENT</t>
  </si>
  <si>
    <t>GREAT-BARRIER-REEF; FISH; POPULATIONS; MOVEMENTS; PATTERNS; RECOVERY; BENEFITS; BIOMASS; GROWTH</t>
  </si>
  <si>
    <t>We collected reef shark population data from a large network of no-take and no-entry reserves (ie human exclusion areas), as well as from fished reefs, in one of the world's most intensively managed marine parks - the Great Barrier Reef of Australia. The sampled reserves have been protected for varying lengths of time, making it possible to use space-for-time chronosequences to infer recovery trajectories of reef shark populations after extractive use is banned, and to compare the effectiveness of shark population recovery in no-take and no-entry reserves. After 20- 40 years of protection, density and biomass of sharks in no-entry reserves approached asymptotes (ie plateaus) that were more than double and triple, respectively, those in no-take reserves. These results not only indicate that restoration of near-natural shark populations requires multidecadal time frames, but also clearly demonstrate the superior performance of no-entry reserves in terms of rebuilding shark populations. Ongoing poaching in no-take reserves, which are more difficult for law enforcement to police than no-entry reserves, is the probable cause of the disparity. Given the ubiquitous use of no-take reserves as ecological baselines and the potentially pervasive trophic effects of removing large predators, we argue that current perceptions of the structure and function of natural reef ecosystems may be skewed, which has broad implications for science and management of marine ecosystems</t>
  </si>
  <si>
    <t>[Frisch, Ashley J.] Great Barrier Reef Marine Pk Author, Reef HQ, Townsville, Qld, Australia; [Frisch, Ashley J.] James Cook Univ, ARC Ctr Excellence Coral Reef Studies, Townsville, Qld, Australia; [Rizzari, Justin R.] Deakin Univ, Sch Life &amp; Environm Sci, Geelong, Vic, Australia; [Rizzari, Justin R.] Univ Tasmania, Inst Marine &amp; Antarctic Studies, Fisheries &amp; Aquaculture Ctr, Hobart, Tas, Australia</t>
  </si>
  <si>
    <t>James Cook University; Deakin University; University of Tasmania</t>
  </si>
  <si>
    <t>Frisch, AJ (corresponding author), Great Barrier Reef Marine Pk Author, Reef HQ, Townsville, Qld, Australia.;Frisch, AJ (corresponding author), James Cook Univ, ARC Ctr Excellence Coral Reef Studies, Townsville, Qld, Australia.</t>
  </si>
  <si>
    <t>ashley.frisch@gbrmpa.gov.au</t>
  </si>
  <si>
    <t>Lizard Island Research Station; Save Our Seas Foundation</t>
  </si>
  <si>
    <t>B Moore, J Aumend, and F Molloy provided technical and editorial assistance, and S Gingins provided two photographs used in the figures. Funding was provided by the Lizard Island Research Station and the Save Our Seas Foundation. Permission to access no-entry reserves was granted by the GBR Marine Park Authority (permit G13/36059).</t>
  </si>
  <si>
    <t>1540-9295</t>
  </si>
  <si>
    <t>1540-9309</t>
  </si>
  <si>
    <t>FRONT ECOL ENVIRON</t>
  </si>
  <si>
    <t>Front. Ecol. Environ.</t>
  </si>
  <si>
    <t>10.1002/fee.2003</t>
  </si>
  <si>
    <t>Ecology; Environmental Sciences</t>
  </si>
  <si>
    <t>HR1QN</t>
  </si>
  <si>
    <t>WOS:000462908600016</t>
  </si>
  <si>
    <t>Fung, MK; Katz, ME; Miller, KG; Browning, JV; Rosenthal, Y</t>
  </si>
  <si>
    <t>Fung, Megan K.; Katz, Miriam E.; Miller, Kenneth G.; Browning, James, V; Rosenthal, Yair</t>
  </si>
  <si>
    <t>Sequence stratigraphy, micropaleontology, and foraminiferal geochemistry, Bass River, New Jersey paleoshelf, USA: Implications for Eocene ice-volume changes</t>
  </si>
  <si>
    <t>GEOSPHERE</t>
  </si>
  <si>
    <t>GLOBAL SEA-LEVEL; COASTAL-PLAIN; BENTHIC FORAMINIFERA; ANTARCTIC GLACIATION; DYNAMIC TOPOGRAPHY; CARBON-DIOXIDE; LONG-TERM; RECORD; SHELF; CONSTRAINTS</t>
  </si>
  <si>
    <t>Micropaleontological faunal studies coupled with foraminiferal geochemical analyses from the Bass River Site (Ocean Drilling Program [ODP] Leg 174AX; New Jersey, USA) reveal rapid changes in relative sea level due to million-year-scale glaciations during the early to middle Eocene, a time previously thought to have been mainly ice free. We examine benthic foraminiferal assemblages, stable isotopes (delta O-18 and delta C-13), Mg/Ca, planktonic foraminiferal abundances, and ostracod abundances in eight lower to middle Eocene sequences at Bass River to reconstruct paleo-water depth and paleoceanographic changes within a sequence stratigraphic framework on the New Jersey paleo-continental shelf. Distinct benthic foraminiferal biofacies are identified and interpreted for paleodepth and environmental changes. Certain dominant species (e.g., Uvigerina spp., Cibicidoides eocaenus, Spiroplectammina alabamensis, Siphonina claibornensis, and Cibicidoides pippeni) indicate changes in water depth and/or environmental conditions. We estimate middle to outer neritic (50-100+ m) paleodepths for much of the early to middle Eocene, with maximum water depths (similar to 150 +/- 25 m) occurring in the early Eocene. We integrate these results with ostracod abundances and diversity, planktonic foraminiferal abundances, lithofacies, downhole logs, and core erosional surfaces to create a sequence framework for the early Eocene to early late Eocene of the New Jersey coastal plain. We compare the relationships among these sequences to foraminiferal biofacies of coreholes of the New Jersey Coastal Plain Drilling Project (Island Beach, Atlantic City, and ACGS#4), showing coeval hiatuses associated with regional base-level lowerings. Benthic and planktonic foraminifera delta O-18 coupled with low-resolution Mg/Ca measurements provide a first-order correlation of sequence boundaries and delta O-18(seawater) variations, indicating glacioeustatic changes associated with the growth and decay of small ice sheets on the order of 20-30 m sea-level equivalent during the Eocene.</t>
  </si>
  <si>
    <t>[Fung, Megan K.; Katz, Miriam E.] Rensselaer Polytech Inst, Dept Earth &amp; Environm Sci, 110 8th St, Troy, NY 12180 USA; [Miller, Kenneth G.; Browning, James, V; Rosenthal, Yair] Rutgers State Univ, Dept Earth &amp; Planetary Sci, 610 Taylor Rd, Piscataway, NJ 08854 USA; [Rosenthal, Yair] Rutgers State Univ, Inst Marine &amp; Coastal Sci, 71 Dudley Rd, New Brunswick, NJ 08901 USA</t>
  </si>
  <si>
    <t>Rensselaer Polytechnic Institute; Rutgers University System; Rutgers University New Brunswick; Rutgers University System; Rutgers University New Brunswick</t>
  </si>
  <si>
    <t>Fung, MK (corresponding author), Rensselaer Polytech Inst, Dept Earth &amp; Environm Sci, 110 8th St, Troy, NY 12180 USA.</t>
  </si>
  <si>
    <t>fungm3@rpi.edu</t>
  </si>
  <si>
    <t>GEOLOGICAL SOC AMER, INC</t>
  </si>
  <si>
    <t>BOULDER</t>
  </si>
  <si>
    <t>PO BOX 9140, BOULDER, CO 80301-9140 USA</t>
  </si>
  <si>
    <t>1553-040X</t>
  </si>
  <si>
    <t>Geosphere</t>
  </si>
  <si>
    <t>10.1130/GES01652.1</t>
  </si>
  <si>
    <t>HQ5TY</t>
  </si>
  <si>
    <t>WOS:000462476700012</t>
  </si>
  <si>
    <t>Elliot, DH; Fanning, CM; Mukasa, SB; Milla, IL</t>
  </si>
  <si>
    <t>Elliot, David H.; Fanning, C. Mark; Mukasa, Samuel B.; Milla, Ian L.</t>
  </si>
  <si>
    <t>Hf- and O-isotope data from detrital and granitoid zircons reveal characteristics of the Permian-Triassic magmatic belt along the Antarctic sector of Gondwana</t>
  </si>
  <si>
    <t>MARIE-BYRD-LAND; U-PB GEOCHRONOLOGY; LARGE IGNEOUS PROVINCE; WEST-ANTARCTICA; PACIFIC MARGIN; NEW-ZEALAND; IN-SITU; TRANSANTARCTIC MOUNTAINS; THURSTON ISLAND; OXYGEN ISOTOPES</t>
  </si>
  <si>
    <t>Permian-Triassic strata in the Transantarctic Mountains and West Antarctica carry a significant detrital component derived from a contemporaneous magmatic belt along the Gondwana margin. Hf- and O-isotope characteristics were determined for near-contemporaneous (as shown by U-Pb zircon geochronology) detrital igneous zircons in Upper Permian and Triassic sandstones. Zircons from six granitoids in the contemporaneous magmatic belt were also analyzed for Hf and O isotopes in order to gain insight into the potential detrital zircon sources. Although the ages of these granitoids only loosely correspond with the depositional ages of the sandstones, the initial epsilon(Hf) and delta O-18 isotope compositions for these igneous zircon grains, in general, overlap those recorded for the detrital igneous zircon grains. Results demonstrate a range of epsilon(Hf), and delta O-18 values. Features of particular interest are the very low delta O-18 values in two of the granitoids, and similar low values also recorded in the detrital igneous zircons in two sandstones. The distribution of Permian-Triassic granitoids must be much greater than is apparent from the existing outcrops in the extensively ice-covered region. The Permian and one of the Triassic granitoids have Hf-isotope characteristics similar to the Cretaceous granites and Devonian-Carboniferous plutons of West Antarctica, whereas the other Triassic granite differs from both. Importantly, the zircon isotopic data from the Permian-Triassic rocks suggest that an Hf-defined Upper Meso-proterozoic lithosphere underlies much of the magmatic belt.</t>
  </si>
  <si>
    <t>[Elliot, David H.] Ohio State Univ, Sch Earth Sci, Columbus, OH 43210 USA; [Elliot, David H.] Ohio State Univ, Byrd Polar &amp; Climate Res Ctr, Columbus, OH 43210 USA; [Fanning, C. Mark] Australian Natl Univ, Res Sch Earth Sci, Canberra, ACT 0200, Australia; [Mukasa, Samuel B.] Univ Minnesota, Coll Sci &amp; Engn, Minneapolis, MN 55455 USA; [Milla, Ian L.] British Geol Survey, Keyworth NG12 5GG, Notts, England</t>
  </si>
  <si>
    <t>University System of Ohio; Ohio State University; University System of Ohio; Ohio State University; Australian National University; University of Minnesota System; University of Minnesota Twin Cities; UK Research &amp; Innovation (UKRI); Natural Environment Research Council (NERC); NERC British Geological Survey</t>
  </si>
  <si>
    <t>Elliot, DH (corresponding author), Ohio State Univ, Sch Earth Sci, Columbus, OH 43210 USA.;Elliot, DH (corresponding author), Ohio State Univ, Byrd Polar &amp; Climate Res Ctr, Columbus, OH 43210 USA.</t>
  </si>
  <si>
    <t>elliot.1@osu.edu</t>
  </si>
  <si>
    <t>Fanning, C. Mark/I-6449-2016</t>
  </si>
  <si>
    <t>National Science Foundation [ANT 0944662]; Natural Environment Research Council [NE/S011587/1] Funding Source: researchfish</t>
  </si>
  <si>
    <t>National Science Foundation(National Science Foundation (NSF)); Natural Environment Research Council(UK Research &amp; Innovation (UKRI)Natural Environment Research Council (NERC))</t>
  </si>
  <si>
    <t>This research was supported by National Science Foundation grant ANT 0944662 to Elliot. The Jeffrey Head granodiorite (collected by Terry Wilson in 2014), the Guy Peaks hornblende diorite (collected by Campbell Craddock and Craig White in 1968), and the Ohio Range sandstone (collected by William E. Long in the 1963-1964 field season) were provided by the U.S. Polar Rock Repository at Ohio State University. Steve Weaver kindly provided the zircons from the Mount Murphy granite. Elliot wishes to acknowledge significant support over many years from the Office of Polar Programs at the National Science Foundation. Comments by the associate editor and two anonymous reviewers greatly improved the manuscript. Byrd Polar and Climate Research Center Contribution #1579.</t>
  </si>
  <si>
    <t>10.1130/GES02011.1</t>
  </si>
  <si>
    <t>Green Accepted, gold, Green Published</t>
  </si>
  <si>
    <t>WOS:000462476700015</t>
  </si>
  <si>
    <t>Jiang, H; Liu, JB; Wang, ZM; An, JC; Ou, JK; Liu, SL; Wang, NB</t>
  </si>
  <si>
    <t>Jiang, Hu; Liu, Jingbin; Wang, Zemin; An, Jiachun; Ou, Jikun; Liu, Shulun; Wang, Ningbo</t>
  </si>
  <si>
    <t>Assessment of spatial and temporal TEC variations derived from ionospheric models over the polar regions</t>
  </si>
  <si>
    <t>JOURNAL OF GEODESY</t>
  </si>
  <si>
    <t>Polar ionosphere; Ionospheric model; Total electron content (TEC); GPS; COSMIC and JASON TEC; Weddell Sea Anomaly (WSA); Ionospheric storm</t>
  </si>
  <si>
    <t>DIFFERENTIAL CODE BIASES; KLOBUCHAR MODEL; NEQUICK MODEL; VTEC MAPS; GPS; IMPROVEMENT; USERS</t>
  </si>
  <si>
    <t>A comprehensive evaluation of Global Positioning System (GPS) Klobuchar, Galileo broadcast NeQuick2, international reference ionosphere (IRI) and global ionospheric map (GIM) models in estimating ionospheric total electron content (TEC) is performed using GPS-derived, constellation observing system for meteorology, ionosphere, and climate and JASON-2 TECs under various solar conditions in the Arctic and Antarctic. The performances of the four ionospheric models are first analysed for the overall polar regions. In addition, according to the temporal and spatial characteristics of the polar regions, the accuracies of the four models are evaluated for the polar days and nights, the Antarctic ice sheet (AIS) and the Arctic Ocean (AO), the Weddell Sea Anomaly (WSA) as well as for ionospheric storm. The results show that Klobuchar, NeQuick2, IRI2016 and GIM can mitigate the ionospheric delay by 28.69-29.41%, 44.57-56.09%, 43.38-55.99% and 67.17-77.56%, respectively. The performances of the four models during the polar days are obviously worse than those during the polar nights. In the AIS and AO, the Galileo broadcast NeQuick outperforms the GPS broadcast Klobuchar, and the root-mean-square error of IRI2016 performs almost the same as NeQuick2, but IRI2016 has a greater deviation. In addition, the GIM model can only mitigate the ionospheric delay by 46.81-56.72%, which is lower than other regions due to the lack of GPS ground station observations. Under the WSA conditions, the four models underestimate the real TEC to varying degrees, and the night-time deviations of the Klobuchar, NeQuick2 and IRI2016 models are significantly greater than the daytime deviations. The relative accuracy of four ionospheric models is lower during the ionospheric storm period than that in the ionospheric quiet period, especially the NeQuick2 and IRI2016 over the Antarctic.</t>
  </si>
  <si>
    <t>[Jiang, Hu; Wang, Zemin; An, Jiachun; Liu, Shulun] Wuhan Univ, Chinese Antarctic Ctr Surveying &amp; Mapping, Wuhan, Hubei, Peoples R China; [Wang, Zemin] Wuhan Univ, Collaborat Innovat Ctr Territorial Sovereignty &amp;, Wuhan, Hubei, Peoples R China; [Ou, Jikun] Chinese Acad Sci, Inst Geodesy &amp; Geophys, State Key Lab Geodesy &amp; Earths Dynam, Wuhan, Hubei, Peoples R China; [Liu, Jingbin] Wuhan Univ, State Key Lab Informat Engn Surveying Mapping &amp; R, Wuhan, Hubei, Peoples R China; [Liu, Jingbin] Wuhan Univ, Collaborat Innovat Ctr Geospatial Technol, Wuhan, Hubei, Peoples R China; [Liu, Jingbin] Finnish Geospatial Res Inst, Dept Remote Sensing &amp; Photogrammetry, Masala 02430, Finland; [Liu, Jingbin] Finnish Geospatial Res Inst, Ctr Excellence Laser Scanning Res, Masala 02430, Finland; [Wang, Ningbo] Chinese Acad Sci, Acad Optoelect, Beijing, Peoples R China; [An, Jiachun] Univ Politecn Cataluna, UPC IonSat, Barcelona, Spain</t>
  </si>
  <si>
    <t>Wuhan University; Wuhan University; Chinese Academy of Sciences; Innovation Academy for Precision Measurement Science &amp; Technology, CAS; Wuhan University; Wuhan University; The National Land Survey of Finland; Finnish Geospatial Research Institute (FGI); The National Land Survey of Finland; Finnish Geospatial Research Institute (FGI); Chinese Academy of Sciences; Academy of Opto-Electronics, CAS; Universitat Politecnica de Catalunya</t>
  </si>
  <si>
    <t>Wang, ZM (corresponding author), Wuhan Univ, Chinese Antarctic Ctr Surveying &amp; Mapping, Wuhan, Hubei, Peoples R China.;Wang, ZM (corresponding author), Wuhan Univ, Collaborat Innovat Ctr Territorial Sovereignty &amp;, Wuhan, Hubei, Peoples R China.</t>
  </si>
  <si>
    <t>Liu, Jingbin/AAE-8803-2020; An, Jiachun/ABG-4275-2020; ZeMin, Wang/AAU-3422-2020</t>
  </si>
  <si>
    <t>Liu, Jingbin/0000-0001-6216-0956</t>
  </si>
  <si>
    <t>Natural Science Funds of China [41776195, 41231064, 41531069, 41574015]; National Key Research Development Program of China [2016YFE0202300]</t>
  </si>
  <si>
    <t>Natural Science Funds of China(National Natural Science Foundation of China (NSFC)); National Key Research Development Program of China</t>
  </si>
  <si>
    <t>The authors would like to acknowledge the International GNSS Services (IGS), the Polar Earth Observing Network (POLENET), the COSMIC Data Analysis and Archive Center (CDAAC) as well as the Center for Orbit Determination in Europe (CODE) for providing access to the observations. We would also like to acknowledge all the developers of the above-studied ionospheric models. Our deepest gratitude goes to the anonymous reviewers, editors and Professor Manuel Hernandez-Pajares for their careful work and thoughtful suggestions that have helped improve this paper substantially. This research was supported by the Natural Science Funds of China (Nos. 41776195, 41231064, 41531069 and 41574015) and the National Key Research Development Program of China with Project No. 2016YFE0202300.</t>
  </si>
  <si>
    <t>0949-7714</t>
  </si>
  <si>
    <t>1432-1394</t>
  </si>
  <si>
    <t>J GEODESY</t>
  </si>
  <si>
    <t>J. Geodesy</t>
  </si>
  <si>
    <t>10.1007/s00190-018-1175-6</t>
  </si>
  <si>
    <t>Geochemistry &amp; Geophysics; Remote Sensing</t>
  </si>
  <si>
    <t>HP6HV</t>
  </si>
  <si>
    <t>WOS:000461785800001</t>
  </si>
  <si>
    <t>Romano, D; Burton, MG; Ashley, MCB; Molinari, S; Rebolledo, D; Braiding, C; Schisano, E</t>
  </si>
  <si>
    <t>Romano, Domenico; Burton, Michael G.; Ashley, Michael C. B.; Molinari, Sergio; Rebolledo, David; Braiding, Catherine; Schisano, Eugenio</t>
  </si>
  <si>
    <t>The G332 molecular cloud ring: I. Morphology and physical characteristics</t>
  </si>
  <si>
    <t>MONTHLY NOTICES OF THE ROYAL ASTRONOMICAL SOCIETY</t>
  </si>
  <si>
    <t>techniques: image processing; ISM: clouds; ISM: kinematics and dynamics; ISM: dust</t>
  </si>
  <si>
    <t>GALACTIC PLANE SURVEY; MILKY-WAY; CO SURVEY; CARBON-MONOXIDE; REFERENCE TOOL; DATA RELEASE; HI-GAL; DUST; EMISSION; ASTRONOMY</t>
  </si>
  <si>
    <t>We present a morphological and physical analysis of a giant molecular cloud (GMC) using the carbon monoxide isotopologues ((CO)-C-12,(CO)-C-13,(COP2)-O-18-P-3 -&gt; P-3(1)) survey of the Galactic Plane (Mopra CO Southern Galactic Plane Survey), supplemented with neutral carbon maps from the HEAT telescope in Antarctica. The GMC structure (hereinafter the ring) covers the sky region 332 degrees &lt; l &lt; 333 degrees and b = +/- 0.5 degrees (hereinafter the G332 region). The mass of the ring and its distance are determined to be similar to 2 x 10(5) M-circle dot and similar to 3.7 kpc from the Sun, respectively. The dark molecular gas fraction - estimated from the (CO)-C-13 and [CI] lines - is similar to 17 per cent for a CO T-ex between [10,20 K]. Comparing the [CI] integrated intensity and N(H-2) traced by (CO)-C-13 and (CO)-C-12, we define an X-CI(809) factor, analogous to the usual X-co, through the [CI] line. X-CI(809) ranges between [1.8,2.0] x 10(21) cm(-2) K-1 km(-1) s. We examined local variation in X-co and T-ex across the cloud, and find in regions where the star formation activity is not in an advanced state, an increase in the mean and dispersion of the X-co factor as the excitation temperature decreases. We present a catalogue of (CO)-O-18 clumps within the cloud, and report their physical characteristics. The star formation (SF) activity ongoing in the cloud shows a correlation with T-ex, [CI], and CO emissions, and anticorrelation with X-co suggesting a North-South spatial gradient in the SF activity. We propose a method to disentangle dust emission across the Galaxy, using H I and (CO)-C-13 data. We describe virtual reality and augmented reality data visualization techniques, which open new perspectives in the analysis of radio astronomy data.</t>
  </si>
  <si>
    <t>[Romano, Domenico; Burton, Michael G.; Ashley, Michael C. B.; Braiding, Catherine] Univ New South Wales, Sch Phys, Sydney, NSW 2052, Australia; [Romano, Domenico; Molinari, Sergio; Schisano, Eugenio] INAF, Inst Nazl Astrofis, Via Fosso Cavaliere 100, I-00133 Rome, Italy; [Burton, Michael G.] Armagh Observ &amp; Planetarium, Coll Hill, Armagh BT61 9DG, North Ireland; [Rebolledo, David] Joint ALMA Observ, Alonso Cordova 3107, Santiago, Chile; [Rebolledo, David] Natl Radio Astron Observ, 520 Edgemont Rd, Charlottesville, VA 22903 USA; [Schisano, Eugenio] Inaf Ist RadioAstron, Via Gobetto 101, I-40129 Bologna, Italy; [Schisano, Eugenio] Italian ALMA Reg Ctr, Via Gobetto 101, I-40129 I- Bologna, Italy</t>
  </si>
  <si>
    <t>University of New South Wales Sydney; Istituto Nazionale Astrofisica (INAF); National Radio Astronomy Observatory (NRAO); Istituto Nazionale Astrofisica (INAF)</t>
  </si>
  <si>
    <t>Romano, D; Burton, MG (corresponding author), Univ New South Wales, Sch Phys, Sydney, NSW 2052, Australia.;Romano, D (corresponding author), INAF, Inst Nazl Astrofis, Via Fosso Cavaliere 100, I-00133 Rome, Italy.;Burton, MG (corresponding author), Armagh Observ &amp; Planetarium, Coll Hill, Armagh BT61 9DG, North Ireland.</t>
  </si>
  <si>
    <t>domenico.romano@student.unsw.edu.au; michael.burton@armagh.ac.uk</t>
  </si>
  <si>
    <t>Molinari, Sergio/O-4095-2016</t>
  </si>
  <si>
    <t>Molinari, Sergio/0000-0002-9826-7525; Schisano, Eugenio/0000-0003-1560-3958; Burton, Michael/0000-0001-7289-1998; Braiding, Catherine/0000-0002-6475-0797; Rebolledo, David/0000-0002-1010-583X; Romano, Domenico/0000-0002-5778-8623; Ashley, Michael/0000-0003-1412-2028</t>
  </si>
  <si>
    <t>National Science Foundation [PLR-0944335]; Astronomy Australia Limited; University of New South Wales; Education Investment Fund; ARC [DP120101585]</t>
  </si>
  <si>
    <t>National Science Foundation(National Science Foundation (NSF)); Astronomy Australia Limited; University of New South Wales; Education Investment Fund; ARC(Australian Research Council)</t>
  </si>
  <si>
    <t>Funding for the HEAT telescope is provided by the National Science Foundation under grant number PLR-0944335. PLATO-R was funded by Astronomy Australia Limited, as well as the University of New South Wales, as an initiative of the Australian Government being conducted as part of the Super Science Initiative and financed from the Education Investment Fund. Logistical support for HEAT and PLATO-R is provided by the United States Antarctic Program. We also acknowledge ARC support through Discovery Project DP120101585.</t>
  </si>
  <si>
    <t>0035-8711</t>
  </si>
  <si>
    <t>1365-2966</t>
  </si>
  <si>
    <t>MON NOT R ASTRON SOC</t>
  </si>
  <si>
    <t>Mon. Not. Roy. Astron. Soc.</t>
  </si>
  <si>
    <t>10.1093/mnras/sty3510</t>
  </si>
  <si>
    <t>HQ3HS</t>
  </si>
  <si>
    <t>WOS:000462302600047</t>
  </si>
  <si>
    <t>Chadid, M; Vernin, J</t>
  </si>
  <si>
    <t>Chadid, M.; Vernin, J.</t>
  </si>
  <si>
    <t>First multiband atmospheric extinction in Antarctica PAIX monitoring the South Polar Sky</t>
  </si>
  <si>
    <t>atmospheric effects; instrumentation: photometers; site testing; techniques: photometric</t>
  </si>
  <si>
    <t>DOME-C; WATER-VAPOR</t>
  </si>
  <si>
    <t>For the first time, multiband atmospheric extinction in Antarctica is reported. Extinction coefficients are derived from 17 500 CCD stellar frames, by use of simultaneous multicolour Johnson-Cousin filters, over a whole polar wintertime. Polar observations were performed using PAIX - Photometer Antarctica eXtinction, the first Antarctica robotic multiband photometer. Bouguer's lines and then the atmospheric extinction coefficients are inferred from 1.2 and 1.8 airmass continuous and uninterrupted observations of the same target. Besides the known good seeing, large isoplanatic angle, high coherence time, and exceptional light transmission in the whole IR-mm bandwidth, we detect that the blue atmospheric extinction at Dome C is 1.6-1.9 times better than that of the highest ranking ground-based observatories around the world. Moreover, our results show a similar atmospheric extinction value in the V band at Dome C and the ground-based observatories. However, in the R band, the atmospheric extinction coefficient is worse at Dome C than the ranking ground-based observatories. The original polar technology - PAIX - opens a new window towards novel insights in long-term time series stellar pulsation and evolution studies.</t>
  </si>
  <si>
    <t>[Chadid, M.] Univ Cote Azur, Artemis UMR 7250, F-06304 Nice 4, France; [Vernin, J.] TANGO Tibet &amp; Antarctica Network Ground Observ, 107 Route St Pierre de Feric, F-06000 Nice, France</t>
  </si>
  <si>
    <t>Universite Cote d'Azur; Observatoire de la Cote d'Azur</t>
  </si>
  <si>
    <t>Vernin, J (corresponding author), TANGO Tibet &amp; Antarctica Network Ground Observ, 107 Route St Pierre de Feric, F-06000 Nice, France.</t>
  </si>
  <si>
    <t>vernin@unice.fr</t>
  </si>
  <si>
    <t>Vernin, Jean/0000-0002-8956-8844</t>
  </si>
  <si>
    <t>United States Air Force Research Laboratory through its European Office of Aerospace Research and Development; French Agence Nationale de la Recherche [ANR-05-BLAN-0033-01]; Conseil des Programmes Scientifiques et Technologiques (CPST); Programme National de Physique Stellaire (PNPS); French and Italian Antarctic Research Program IPEV; French and Italian Antarctic Research Program PNRA; Agence Nationale de la Recherche (ANR) [ANR-05-BLAN-0033] Funding Source: Agence Nationale de la Recherche (ANR)</t>
  </si>
  <si>
    <t>United States Air Force Research Laboratory through its European Office of Aerospace Research and Development; French Agence Nationale de la Recherche(Agence Nationale de la Recherche (ANR)); Conseil des Programmes Scientifiques et Technologiques (CPST); Programme National de Physique Stellaire (PNPS); French and Italian Antarctic Research Program IPEV; French and Italian Antarctic Research Program PNRA; Agence Nationale de la Recherche (ANR)(Agence Nationale de la Recherche (ANR))</t>
  </si>
  <si>
    <t>The PAIX project is supported by the United States Air Force Research Laboratory through its European Office of Aerospace Research and Development, the French Agence Nationale de la Recherche (ANR-05-BLAN-0033-01), the French and Italian Antarctic Research Programs, IPEV and PNRA, the Conseil des Programmes Scientifiques et Technologiques (CPST), and the Programme National de Physique Stellaire (PNPS). Special thanks are addressed to the polar Institut Paul Emile Victor (IPEV) for the valuable and ongoing help. We are indebted to all polar staffs who participate to PAIX Antarctic expeditions. Finally, we notably thank the PAIX Team for his continued and strong dedication to the PAIX project.</t>
  </si>
  <si>
    <t>10.1093/mnras/stz249</t>
  </si>
  <si>
    <t>HQ4VV</t>
  </si>
  <si>
    <t>WOS:000462410300057</t>
  </si>
  <si>
    <t>Al-Aidaroos, AM; Devassy, RP; El-Sherbiny, MM</t>
  </si>
  <si>
    <t>Al-Aidaroos, Ali M.; Devassy, Reny P.; El-Sherbiny, Mohsen M.</t>
  </si>
  <si>
    <t>UNUSUAL DOMINANCE OF HARMFUL MICROALGAE PSEUDO-NITZSCHIA DELICATISSIMA CF. (CLEVE) HEIDEN IN THE COASTAL WATERS OF JEDDAH, CENTRAL RED SEA</t>
  </si>
  <si>
    <t>PAKISTAN JOURNAL OF BOTANY</t>
  </si>
  <si>
    <t>Pseudo-nitzschia delicatissima; Abundance; Oligotrophic; Jeddah; Red Sea</t>
  </si>
  <si>
    <t>ENVIRONMENTAL-CONDITIONS; DOMOIC ACID; BACILLARIOPHYCEAE; PHYTOPLANKTON; DYNAMICS; ABUNDANCE; BLOOMS; GULF; EUTROPHICATION; TRICHODESMIUM</t>
  </si>
  <si>
    <t>Dominance of harmful pennate diatom Pseudo-nitzschia delicatissima was observed during a regular environmental monitoring study carried out in the coastal waters of Jeddah, Saudi Arabia. Neither any discoloration of water nor any fish kill was reported during the period of this specific phenomena. This diatom species dominated the area with a higher percentage (97.5%) of the total phytoplankton community encountered. Apart from these, the occurrence of harmful algal bloom causing heterotrophic dinoflagellates was also noticed in a few numbers. Phytoplankton biomass in terms of chlorophyll a obtained was 4.1 mg m(-3) and the silicate values (1.92 mu mol l(-1)) were comparatively higher than the other inorganic nutrients. Zooplankton abundance was relatively low (705 ind. m(-3)) and were dominated mainly by copepods (79.9%) followed by mollusc and decapod larvae.</t>
  </si>
  <si>
    <t>[Al-Aidaroos, Ali M.; Devassy, Reny P.; El-Sherbiny, Mohsen M.] King Abdulaziz Univ, Dept Marine Biol, Jeddah 21589, Saudi Arabia; [El-Sherbiny, Mohsen M.] Suez Canal Univ, Dept Marine Sci, Ismailia 41522, Egypt</t>
  </si>
  <si>
    <t>King Abdulaziz University; Egyptian Knowledge Bank (EKB); Suez Canal University</t>
  </si>
  <si>
    <t>El-Sherbiny, MM (corresponding author), King Abdulaziz Univ, Dept Marine Biol, Jeddah 21589, Saudi Arabia.;El-Sherbiny, MM (corresponding author), Suez Canal Univ, Dept Marine Sci, Ismailia 41522, Egypt.</t>
  </si>
  <si>
    <t>ooomar@kau.edu.sa</t>
  </si>
  <si>
    <t>عمر, محسن محمد الشربيني/T-7129-2019; El-Sherbiny, Mohsen M/H-8171-2012; El-Sherbiny, Mohsen/M-2735-2019</t>
  </si>
  <si>
    <t>El-Sherbiny, Mohsen/0000-0003-3040-3575; Devassy, Reny/0000-0002-6787-8980</t>
  </si>
  <si>
    <t>Deanship of Scientific Research (DSR) at King Abdulaziz University, Jeddah, Saudi Arabia [RG-1-150-35]; DSR</t>
  </si>
  <si>
    <t>Deanship of Scientific Research (DSR) at King Abdulaziz University, Jeddah, Saudi Arabia; DSR</t>
  </si>
  <si>
    <t>This project was funded by the Deanship of Scientific Research (DSR) at King Abdulaziz University, Jeddah, Saudi Arabia, under the grant no RG-1-150-35. The authors, therefore, acknowledge with thanks DSR technical and financial support. Authors are also grateful for the support provided by Professor Gustaaf M. Hallegraeff (Institute of Marine Antarctic Studies, Tasmania, Australia) in the confirmation of Pseudo-nitzschia delicatissima species. We further extend our gratitude towards Mr. Jose Manuel Fortuno (Institute of Marine Sciences, Barcelona, Spain) for his helping hand in order to complete the scanning electron micrographs.</t>
  </si>
  <si>
    <t>PAKISTAN BOTANICAL SOC</t>
  </si>
  <si>
    <t>KARACHI</t>
  </si>
  <si>
    <t>DEPT OF BOTANY UNIV KARACHI, 32 KARACHI, PAKISTAN</t>
  </si>
  <si>
    <t>0556-3321</t>
  </si>
  <si>
    <t>2070-3368</t>
  </si>
  <si>
    <t>PAK J BOT</t>
  </si>
  <si>
    <t>Pak. J. Bot.</t>
  </si>
  <si>
    <t>10.30848/PJB2019-2(44)</t>
  </si>
  <si>
    <t>HQ7NZ</t>
  </si>
  <si>
    <t>WOS:000462608800045</t>
  </si>
  <si>
    <t>Altuna, A; López-González, PJ</t>
  </si>
  <si>
    <t>Altuna, Alvaro; Lopez-Gonzalez, Pablo J.</t>
  </si>
  <si>
    <t>Description of two new species of bathyal Primnoidae (Octocorallia: Alcyonacea) from the Porcupine Bank (northeastern Atlantic)</t>
  </si>
  <si>
    <t>Callogorgia; Thouarella; Cnidaria; description; new species; Porcupine Bank</t>
  </si>
  <si>
    <t>ANTHOZOA OCTOCORALLIA; GENUS CALLOGORGIA; CONTINENTAL-SLOPE; CNIDARIA ANTHOZOA; CANDIDELLA-BAYER; PLUMARELLA-GRAY; THOUARELLA GRAY; PART 3; DEEP; COELENTERATA</t>
  </si>
  <si>
    <t>Two new species of bathyal Primnoidae gorgonians (Octocorallia: Alcyonacea), Callogorgia europaea sp. nov., and Thouarella porcupinensis sp. nov., were collected during a research expedition of the Spanish Institute of Oceanography to the Porcupine Bank (off Ireland, northeastern Atlantic). In the present paper, both species are described, compared with their closest congeners, and their polyps and scleromes illustrated by scanning electron microphotographs. Callogorgia europaea sp. nov. is the first species of the genus described from the northeastern Atlantic having abaxial scales with an external ornamentation of prominent longitudinal crests. Thouarella porcupinensis sp. nov. is the first one in the same area characterized by a planar ramification with isolated polyps, and marginal scales having several perpendicular ridges in their distal inner side instead of a pointed edge.</t>
  </si>
  <si>
    <t>[Altuna, Alvaro] INSUB, Museo Okendo, Zemoria 12,Apdo 3223, Donostia San Sebastian 20013, Spain; [Lopez-Gonzalez, Pablo J.] Univ Seville, Fac Biol, Dept Zool, Biodiversidad &amp; Ecol Acuat, Reina Mercedes 6, E-41012 Seville, Spain</t>
  </si>
  <si>
    <t>Altuna, A (corresponding author), INSUB, Museo Okendo, Zemoria 12,Apdo 3223, Donostia San Sebastian 20013, Spain.</t>
  </si>
  <si>
    <t>alvaro.altuna@telefonica.net; pjlopez@us.es</t>
  </si>
  <si>
    <t>Lopez-González, Pablo J./0000-0002-7348-6270; Altuna, Alvaro/0000-0003-1364-7826</t>
  </si>
  <si>
    <t>European Union (EU) through the European Maritime and Fisheries Fund (EMFF); University of Seville [VI PPIT-2017-1.5]; Spanish Ministry of Economy, Industry and Competitiveness [CTM2017-83920-P]</t>
  </si>
  <si>
    <t>European Union (EU) through the European Maritime and Fisheries Fund (EMFF)(European Union (EU)); University of Seville; Spanish Ministry of Economy, Industry and Competitiveness</t>
  </si>
  <si>
    <t>We are indebted to Francisco Baldo and Susana Ruiz (IEO Santander) for giving us the opportunity to study this material. Mr. Tony Krupa is thanked for reviewing the English version, an anonymous referee for improving the text and Les Watling for his help during the editing of the paper. The Porcupine surveys are carried out by the Spanish Institute of Oceanography. They are funded by the European Union (EU) through the European Maritime and Fisheries Fund (EMFF), within the Spanish National Program of collection, management, and use of data in the fisheries sector and support for scientific advice regarding the Common Fisheries Policy. The work at the Scanning Electron Microscopy facilities at the University of Seville was possible thanks to a grant to PJL-G by the VI PPIT-2017-1.5 (VI Plan Propio de Investigacion de la Universidad de Sevilla, Vicerrectorado de Investigacion). Antarctic specimens of Thouarella species were consulted within the project CTM2017-83920-P (DIVERSICORAL), funded by the Spanish Ministry of Economy, Industry and Competitiveness.</t>
  </si>
  <si>
    <t>PO BOX 41383, AUCKLAND, ST LUKES 1030, NEW ZEALAND</t>
  </si>
  <si>
    <t>10.11646/zootaxa.4576.1.3</t>
  </si>
  <si>
    <t>HQ8UJ</t>
  </si>
  <si>
    <t>WOS:000462701300003</t>
  </si>
  <si>
    <t>Terashima, M; Ohashi, K; Takasuka, TE; Kojima, H; Fukui, M</t>
  </si>
  <si>
    <t>Terashima, Mia; Ohashi, Keisuke; Takasuka, Taichi E.; Kojima, Hisaya; Fukui, Manabu</t>
  </si>
  <si>
    <t>Antarctic heterotrophic bacterium Hymenobacter nivis P3T displays light-enhanced growth and expresses putative photoactive proteins</t>
  </si>
  <si>
    <t>ENVIRONMENTAL MICROBIOLOGY REPORTS</t>
  </si>
  <si>
    <t>RADIATION-RESISTANT BACTERIUM; ALGA CHLAMYDOMONAS-NIVALIS; SPORE PHOTOPRODUCT LYASE; COMPLETE GENOME SEQUENCE; SP NOV.; ESCHERICHIA-COLI; EFFLUX PUMPS; BLUE-LIGHT; DNA; SNOW</t>
  </si>
  <si>
    <t>Hymenobacter nivis P3(T) is a heterotrophic bacterium isolated from Antarctic red snow generated by algal blooms. Despite being non-photosynthetic, H. nivis was dominantly found in the red snow environment that is exposed to high light and UV irradiation, suggesting that this species can flourish under such harsh conditions. In order to further understand the adaptive strategies on the snow surface environment of Antarctica, the genome of H. nivis P3(T) was sequenced and analyzed, which identified genes putatively encoding for light-reactive proteins such as proteorhodopsin, phytochrome, photolyase and several copies of cryptochromes. Culture-based experiments revealed that H. nivis P3(T) growth was significantly enhanced under light conditions, while dark conditions had increased extracellular polymeric substances. Furthermore, the expression of several putative light-reactive proteins was determined by proteomic analysis. These results indicate that H. nivis P3(T) is able to potentially utilize light, which may explain its dominance on the red snow surface environment of Antarctica. Originality-significance statement The role of proteorhodopsin in heterotrophic bacteria is not well-characterized, as only a handful of proteorhodopsin-harbouring isolates were shown to have a light-enhanced phenotype through culture-based experiments to date. This is the first study that demonstrates light-stimulated growth and protein expression evidence of photoactive proteins for a non-marine psychrophile and for a member of the genus Hymenobacter. It is also the first study that provides comprehensive proteome information for this genus. This study presents significant results in understanding the adaptive mechanism of a heterotrophic non-photosynthetic bacterium thriving on the snow surface environment of Antarctica as well as demonstrating the role of light-utilization in promoting growth, possibly through proteorhodopsin.</t>
  </si>
  <si>
    <t>[Terashima, Mia; Kojima, Hisaya; Fukui, Manabu] Hokkaido Univ, Inst Low Temp Sci, Kita Ku, Sapporo, Hokkaido 0600819, Japan; [Ohashi, Keisuke; Takasuka, Taichi E.] Hokkaido Univ, Res Fac Agr, Kita Ku, Sapporo, Hokkaido 0608589, Japan</t>
  </si>
  <si>
    <t>Hokkaido University; Hokkaido University</t>
  </si>
  <si>
    <t>Terashima, M (corresponding author), Hokkaido Univ, Inst Low Temp Sci, Kita Ku, Sapporo, Hokkaido 0600819, Japan.</t>
  </si>
  <si>
    <t>m.terashima@lowtem.hokudai.ac.jp</t>
  </si>
  <si>
    <t>Takasuka, Taichi/AAF-9441-2020; Fukui, Manabu/E-1323-2012; Kojima, Hisaya/D-9100-2012; Terashima, Mia/X-6707-2019</t>
  </si>
  <si>
    <t>Takasuka, Taichi/0000-0002-4413-2924;</t>
  </si>
  <si>
    <t>Institute of Fermentation, Osaka; grant for Joint Research Program of the Institute of Low Temperature Science</t>
  </si>
  <si>
    <t>The flow cytometric analysis was carried with the instrument at the institute for Genetic Medicine provided by Hokkaido University's Open Facility program. This study was supported in part by the Institute of Fermentation, Osaka, and by the grant for Joint Research Program of the Institute of Low Temperature Science. The authors declare no conflict of interest.</t>
  </si>
  <si>
    <t>1758-2229</t>
  </si>
  <si>
    <t>ENV MICROBIOL REP</t>
  </si>
  <si>
    <t>Environ. Microbiol. Rep.</t>
  </si>
  <si>
    <t>10.1111/1758-2229.12702</t>
  </si>
  <si>
    <t>Environmental Sciences; Microbiology</t>
  </si>
  <si>
    <t>Environmental Sciences &amp; Ecology; Microbiology</t>
  </si>
  <si>
    <t>HP7MA</t>
  </si>
  <si>
    <t>WOS:000461871000017</t>
  </si>
  <si>
    <t>Biederman, AM; Kuhn, DE; O'Brien, KM; Crockett, EL</t>
  </si>
  <si>
    <t>Biederman, Amanda M.; Kuhn, Donald E.; O'Brien, Kristin M.; Crockett, Elizabeth L.</t>
  </si>
  <si>
    <t>Physical, chemical, and functional properties of neuronal membranes vary between species of Antarctic notothenioids differing in thermal tolerance</t>
  </si>
  <si>
    <t>JOURNAL OF COMPARATIVE PHYSIOLOGY B-BIOCHEMICAL SYSTEMS AND ENVIRONMENTAL PHYSIOLOGY</t>
  </si>
  <si>
    <t>Antarctic fishes; Neuronal membranes; Membrane fluidity; Arrhenius break temperature; Cholesterol; Phospholipids</t>
  </si>
  <si>
    <t>FRESH-WATER FISH; AURATUS L BRAIN; BASOLATERAL MEMBRANES; ORGANOPHOSPHORUS INSECTICIDE; TEMPERATURE-ACCLIMATION; INTESTINAL EPITHELIA; EURYHALINE FISH; ACETYLCHOLINESTERASE; ADAPTATION; CHOLESTEROL</t>
  </si>
  <si>
    <t>Disruption of neuronal function is likely to influence limits to thermal tolerance. We hypothesized that with acute warming the structure and function of neuronal membranes in the Antarctic notothenioid fish Chaenocephalus aceratus are more vulnerable to perturbation than membranes in the more thermotolerant notothenioid Notothenia coriiceps. Fluidity was quantified in synaptic membranes, mitochondrial membranes, and myelin from brains of both species of Antarctic fishes. Polar lipid compositions and cholesterol contents were analyzed in myelin; cholesterol was measured in synaptic membranes. Thermal profiles were determined for activities of two membrane-associated proteins, acetylcholinesterase (AChE) and Na+/K+-ATPase (NKA), from brains of animals maintained at ambient temperature or exposed to their critical thermal maxima (CTMAX). Synaptic membranes of C. aceratus were consistently more fluid than those of N. coriiceps (P&lt;0.0001). Although the fluidities of both myelin and mitochondrial membranes were similar among species, sensitivity of myelin fluidity to in vitro warming was greater in N. coriiceps than in C. aceratus (P&lt;0.001), which can be explained by lower cholesterol contents in myelin of N. coriiceps (P&lt;0.05). Activities of both enzymes, AChE and NKA, declined upon CTMAX exposure in C. aceratus, but not in N. coriiceps. We suggest that hyper-fluidization of synaptic membranes with warming in C. aceratus may explain the greater stenothermy in this species, and that thermal limits in notothenioids are more likely to be influenced by perturbations in synaptic membranes than in other membranes of the nervous system.</t>
  </si>
  <si>
    <t>[Biederman, Amanda M.; Kuhn, Donald E.; Crockett, Elizabeth L.] Ohio Univ, Dept Biol Sci, Athens, OH 45701 USA; [O'Brien, Kristin M.] Univ Alaska, Inst Arctic Biol, Fairbanks, AK 99775 USA</t>
  </si>
  <si>
    <t>University System of Ohio; Ohio University; University of Alaska System; University of Alaska Fairbanks</t>
  </si>
  <si>
    <t>Crockett, EL (corresponding author), Ohio Univ, Dept Biol Sci, Athens, OH 45701 USA.</t>
  </si>
  <si>
    <t>crockett@ohio.edu</t>
  </si>
  <si>
    <t>Kuhn, Donald/0000-0002-8546-9507; O'Brien, Kristin/0000-0002-3311-0690; Biederman, Amanda/0000-0003-3555-1104</t>
  </si>
  <si>
    <t>US National Science Foundation [PLR 1341602]</t>
  </si>
  <si>
    <t>US National Science Foundation(National Science Foundation (NSF))</t>
  </si>
  <si>
    <t>Financial support for this research was provided by the US National Science Foundation [Grant no. PLR 1341602].</t>
  </si>
  <si>
    <t>0174-1578</t>
  </si>
  <si>
    <t>1432-136X</t>
  </si>
  <si>
    <t>J COMP PHYSIOL B</t>
  </si>
  <si>
    <t>J. Comp. Physiol. B-Biochem. Syst. Environ. Physiol.</t>
  </si>
  <si>
    <t>10.1007/s00360-019-01207-x</t>
  </si>
  <si>
    <t>Physiology; Zoology</t>
  </si>
  <si>
    <t>HQ2EN</t>
  </si>
  <si>
    <t>WOS:000462213000003</t>
  </si>
  <si>
    <t>Han, ZB; Hu, CY; Sun, WP; Zhao, J; Pan, JM; Fan, GJ; Zhang, HS</t>
  </si>
  <si>
    <t>Han, Zhengbing; Hu, Chuanyu; Sun, Weiping; Zhao, Jun; Pan, Jianming; Fan, Gaojing; Zhang, Haisheng</t>
  </si>
  <si>
    <t>Characteristics of particle fluxes in the Prydz Bay polynya, Eastern Antarctica</t>
  </si>
  <si>
    <t>SCIENCE CHINA-EARTH SCIENCES</t>
  </si>
  <si>
    <t>Prydz Bay; Particle fluxes; Polynya; Ballast effect; Biological pump efficiency</t>
  </si>
  <si>
    <t>POLAR FRONTAL ZONES; ORGANIC-CARBON FLUXES; SOUTHERN-OCEAN; SEA-ICE; SEDIMENT TRAP; ROSS SEA; PRIMARY PRODUCTIVITY; PACIFIC SECTOR; PHYTOPLANKTON BIOMASS; CONTINENTAL-SHELF</t>
  </si>
  <si>
    <t>The settling of particulate carbon in seawater is a key component of the ocean carbon cycle. We deployed a set of sediment trap in the polynya of Prydz Bay from December 2010 to December 2011 to investigate the seasonal variations in particle fluxes. There was a clear seasonal variation in the particle fluxes, with maximum and minimum fluxes recorded during the summer and winter, respectively. The average total flux over the sampling period was 193.58 mg m(-2) d(-1), and the average fluxes of organic carbon (C-org), inorganic carbon (C-inorg), and biogenic silica (Si-bio) were 721.78, 28.67, and 2382.80 mu mol m(-2) d(-1), respectively. Si-bio was the main contributor to the total mass flux, and strongly correlated with C-org. The high Si-bio/C-org molar ratios (&gt;1) suggest that C-org was transported to deep sea in association with Si-bio. By comparing remote sensing data of sea ice and chlorophyll in the upper water column, we found that the dynamics of carbon fluxes were closely related to changes in sea ice. Algae in sea ice may have a key role in biological pump processes in early summer. Apart from the ice algae bloom period, variations in carbon fluxes generally corresponded with phytoplankton blooms in the upper water. The ballast effect controlled the particle settling velocity and the efficiency of the biological pump. Sea ice rafts initiated the first particle export event and enhanced the particle settling efficiency during melting period. As diatoms might become less dominant in the ice-free area, sea ice loss may cause the efficiency of the biological pump efficiency to decrease over the long term.</t>
  </si>
  <si>
    <t>[Han, Zhengbing; Hu, Chuanyu; Sun, Weiping; Zhao, Jun; Pan, Jianming; Fan, Gaojing; Zhang, Haisheng] Minist Nat Resources, Inst Oceanog 2, Hangzhou 310012, Zhejiang, Peoples R China; [Han, Zhengbing; Hu, Chuanyu; Sun, Weiping; Zhao, Jun; Pan, Jianming; Fan, Gaojing; Zhang, Haisheng] State Ocean Adm, Key Lab Marine Ecosyst &amp; Biogeochem, Hangzhou 310012, Zhejiang, Peoples R China; [Han, Zhengbing; Fan, Gaojing] China Univ Geosci, Wuhan 430074, Hubei, Peoples R China</t>
  </si>
  <si>
    <t>Ministry of Natural Resources of the People's Republic of China; China University of Geosciences</t>
  </si>
  <si>
    <t>Pan, JM (corresponding author), Minist Nat Resources, Inst Oceanog 2, Hangzhou 310012, Zhejiang, Peoples R China.;Pan, JM (corresponding author), State Ocean Adm, Key Lab Marine Ecosyst &amp; Biogeochem, Hangzhou 310012, Zhejiang, Peoples R China.</t>
  </si>
  <si>
    <t>jmpan@sio.org.cn</t>
  </si>
  <si>
    <t>National Natural Science Foundation of China [41406219, 41576186, 41506223]; Scientific Research Fund of the Second Institute of Oceanography, SOA [JT1405]; Chinese Polar Environment Comprehensive Investigation &amp; Assessment Programs [CHINARE 01-04, 04-01]; Chinese Arctic and Antarctic Administration Foundation [20150302]; Scientific Research Project of Marine Public Welfare Industry of China [201405031-04]</t>
  </si>
  <si>
    <t>National Natural Science Foundation of China(National Natural Science Foundation of China (NSFC)); Scientific Research Fund of the Second Institute of Oceanography, SOA; Chinese Polar Environment Comprehensive Investigation &amp; Assessment Programs; Chinese Arctic and Antarctic Administration Foundation; Scientific Research Project of Marine Public Welfare Industry of China</t>
  </si>
  <si>
    <t>The authors are very grateful to the help of the R/V Xuelong in the field work, as well as the valuable advices from Dr. Walker Smith and Dr. Tom Trull. This study was supported by the National Natural Science Foundation of China (Grant Nos. 41406219, 41576186 &amp; 41506223), the Scientific Research Fund of the Second Institute of Oceanography, SOA (Grant No. JT1405), the Chinese Polar Environment Comprehensive Investigation &amp; Assessment Programs (Grant No. CHINARE 01-04, 04-01), the Chinese Arctic and Antarctic Administration Foundation (Grant No. 20150302) and the Scientific Research Project of Marine Public Welfare Industry of China (Grant No. 201405031-04).</t>
  </si>
  <si>
    <t>16 DONGHUANGCHENGGEN NORTH ST, BEIJING 100717, PEOPLES R CHINA</t>
  </si>
  <si>
    <t>1674-7313</t>
  </si>
  <si>
    <t>1869-1897</t>
  </si>
  <si>
    <t>SCI CHINA EARTH SCI</t>
  </si>
  <si>
    <t>Sci. China-Earth Sci.</t>
  </si>
  <si>
    <t>10.1007/s11430-018-9285-6</t>
  </si>
  <si>
    <t>HQ2KD</t>
  </si>
  <si>
    <t>WOS:000462228900005</t>
  </si>
  <si>
    <t>Mao, L; Wang, F; Li, YY; Dai, YF; Liu, YJ; Wang, JF; Xue, CH</t>
  </si>
  <si>
    <t>Mao, Lei; Wang, Fei; Li, Yuanyuan; Dai, Yufeng; Liu, Yanjun; Wang, Jingfeng; Xue, Changhu</t>
  </si>
  <si>
    <t>Oil from Antarctic krill (Euphausia superba) facilitates bone formation in dexamethasone-treated mice</t>
  </si>
  <si>
    <t>FOOD SCIENCE AND BIOTECHNOLOGY</t>
  </si>
  <si>
    <t>Antarctic krill oil; Dexamethasone; Bone formation; Runt-related transcription factor 2; Peroxisome proliferator-activated receptor</t>
  </si>
  <si>
    <t>GLUCOCORTICOID-INDUCED OSTEOPOROSIS; POLYUNSATURATED FATTY-ACIDS; MESENCHYMAL STEM-CELLS; OSTEOBLAST DIFFERENTIATION; TRANSCRIPTION; ADIPOGENESIS; OMEGA-3-FATTY-ACIDS; ACTIVATION; TISSUE; GAMMA</t>
  </si>
  <si>
    <t>Glucocorticoids are the leading cause of secondary osteoporosis. In the current study, the in vivo effects of Antarctic krill (Euphausia superba) oil (AKO) on dexamethasone-treated mice were investigated. Results showed that AKO significantly prevents bone loss, as evidenced by improved bone mineral density, biomechanical strength, and cancellous bone microstructure. Fluorescence double-labeling of femur showed that AKO induces new bone formation. Toluidine blue staining of marrow cavity indicated that AKO increases the number of trabecula, and decreases the generation of adipose cells. Runt-related transcription factor 2 (Runx2) and Peroxisome proliferator-activated receptor (PPAR) are the switches for osteogenic and adipogenic differentiation of bone marrow mesenchymal stem cells, respectively. AKO significantly promoted the expression of Runx2 protein, and reduced PPAR expression in bone tissue. Furthermore, AKO increased the mRNA expression of osteogenesis-related genes and decreased the expression of adipogenesis-related genes. In conclusion, AKO improved glucocorticoid-induced osteoporosis via promoting bone formation.</t>
  </si>
  <si>
    <t>[Mao, Lei; Wang, Fei; Li, Yuanyuan; Dai, Yufeng; Liu, Yanjun; Wang, Jingfeng; Xue, Changhu] Ocean Univ China, Coll Food Sci &amp; Engn, Qingdao 266003, Shandong, Peoples R China</t>
  </si>
  <si>
    <t>Ocean University of China</t>
  </si>
  <si>
    <t>Wang, JF (corresponding author), Ocean Univ China, Coll Food Sci &amp; Engn, Qingdao 266003, Shandong, Peoples R China.</t>
  </si>
  <si>
    <t>jfwang@ouc.edu.cn</t>
  </si>
  <si>
    <t>wang, jing/GRS-7509-2022; wang, jie/HTQ-4920-2023; wang, jing/HJA-5384-2022; Liu, Yanjun/JZC-8366-2024; Dai, Yufeng/KBX-4156-2024; wang, dan/JEF-0836-2023; wang, jing/GVT-8700-2022; wang, jiahui/IXD-1197-2023</t>
  </si>
  <si>
    <t>Liu, Yanjun/0000-0002-0627-928X</t>
  </si>
  <si>
    <t>Primary Research &amp; Development Plan of Shandong Province [2016YYSP017]; Key S&amp;T Special Projects of Shandong Province [2015ZDZX05003]; National Key Research and Development Program [2017YFF0207800]</t>
  </si>
  <si>
    <t>Primary Research &amp; Development Plan of Shandong Province; Key S&amp;T Special Projects of Shandong Province; National Key Research and Development Program</t>
  </si>
  <si>
    <t>This study is financially supported by Primary Research &amp; Development Plan of Shandong Province (2016YYSP017), Key S&amp;T Special Projects of Shandong Province (2015ZDZX05003) and National Key Research and Development Program (2017YFF0207800).</t>
  </si>
  <si>
    <t>KOREAN SOCIETY FOOD SCIENCE &amp; TECHNOLOGY-KOSFOST</t>
  </si>
  <si>
    <t>SEOUL</t>
  </si>
  <si>
    <t>#605, KOREA SCI TECHNOL CENT, 635-4 YEOKSAM-DONG, KANGNAM-GU, SEOUL, 135-703, SOUTH KOREA</t>
  </si>
  <si>
    <t>1226-7708</t>
  </si>
  <si>
    <t>2092-6456</t>
  </si>
  <si>
    <t>FOOD SCI BIOTECHNOL</t>
  </si>
  <si>
    <t>Food Sci. Biotechnol.</t>
  </si>
  <si>
    <t>10.1007/s10068-018-0463-5</t>
  </si>
  <si>
    <t>Food Science &amp; Technology</t>
  </si>
  <si>
    <t>HQ1MZ</t>
  </si>
  <si>
    <t>WOS:000462163300026</t>
  </si>
  <si>
    <t>Derville, S; Torres, LG; Albertson, R; Andrews, O; Baker, CS; Carzon, P; Constantine, R; Donoghue, M; Dutheil, C; Gannier, A; Oremus, M; Poole, MM; Robbins, J; Garrigue, C</t>
  </si>
  <si>
    <t>Derville, Solene; Torres, Leigh G.; Albertson, Renee; Andrews, Olive; Baker, C. Scott; Carzon, Pamela; Constantine, Rochelle; Donoghue, Michael; Dutheil, Cyril; Gannier, Alexandre; Oremus, Marc; Poole, Michael M.; Robbins, Jooke; Garrigue, Claire</t>
  </si>
  <si>
    <t>Whales in warming water: Assessing breeding habitat diversity and adaptability in Oceania's changing climate</t>
  </si>
  <si>
    <t>GLOBAL CHANGE BIOLOGY</t>
  </si>
  <si>
    <t>climate change; habitat modeling; humpback whales; Oceania; prediction; sea surface temperature; seamounts; species distribution</t>
  </si>
  <si>
    <t>HUMPBACK WHALES; DISTRIBUTION MODELS; MEGAPTERA-NOVAEANGLIAE; POPULATION-STRUCTURE; SOUTH-PACIFIC; GROUNDS; PHOTOIDENTIFICATION; CONSERVATION; CETACEANS; ABUNDANCE</t>
  </si>
  <si>
    <t>In the context of a changing climate, understanding the environmental drivers of marine megafauna distribution is important for conservation success. The extent of humpback whale breeding habitats and the impact of temperature variation on their availability are both unknown. We used 19 years of dedicated survey data from seven countries and territories of Oceania (1,376 survey days), to investigate humpback whale breeding habitat diversity and adaptability to climate change. At a fine scale (1 km resolution), seabed topography was identified as an important influence on humpback whale distribution. The shallowest waters close to shore or in lagoons were favored, although humpback whales also showed flexible habitat use patterns with respect to shallow offshore features such as seamounts. At a coarse scale (1 degrees resolution), humpback whale breeding habitats in Oceania spanned a thermal range of 22.3-27.8 degrees C in August, with interannual variation up to 2.0 degrees C. Within this range, both fine and coarse scale analyses of humpback whale distribution suggested local responses to temperature. Notably, the most detailed dataset was available from New Caledonia (774 survey days, 1996-2017), where encounter rates showed a negative relationship to sea surface temperature, but were not related to the El Nino Southern Oscillation or the Antarctic Oscillation from previous summer, a proxy for feeding conditions that may impact breeding patterns. Many breeding sites that are currently occupied are predicted to become unsuitably warm for this species (&gt;28 degrees C) by the end of the 21st century. Based on modeled ecological relationships, there are suitable habitats for relocation in archipelagos and seamounts of southern Oceania. Although distribution shifts might be restrained by philopatry, the apparent plasticity of humpback whale habitat use patterns and the extent of suitable habitats support an adaptive capacity to ocean warming in Oceania breeding grounds.</t>
  </si>
  <si>
    <t>[Derville, Solene] Univ La Reunion, CNRS, IRD, UMR,ENTROPIE, BPA5, F-98848 Noumea, New Caledonia, France; [Derville, Solene; Dutheil, Cyril] Sorbonne Univ, Coll Doctoral, Paris, France; [Derville, Solene; Torres, Leigh G.; Albertson, Renee; Baker, C. Scott] Oregon State Univ, HMSC, Marine Mammal Inst, Dept Fisheries &amp; Wildlife, Newport, OR USA; [Derville, Solene] Operat Cetaces, Noumea, New Caledonia, France; [Albertson, Renee; Andrews, Olive; Baker, C. Scott; Constantine, Rochelle; Donoghue, Michael; Oremus, Marc; Poole, Michael M.; Robbins, Jooke; Garrigue, Claire] South Pacific Whale Res Consortium, Avarua, Cook Islands; [Andrews, Olive] Univ Auckland, Conservat Int New Zealand &amp; Pacific Isl, Auckland, New Zealand; [Carzon, Pamela] Grp Etud Mammiferes Marins, Rangiroa, French Polynesi, France; [Constantine, Rochelle] Univ Auckland, Sch Biol Sci, Auckland, New Zealand; [Donoghue, Michael] Waiwhenua Consultants, Coromandel, New Zealand; [Donoghue, Michael] SPREP, Apia, Samoa; [Dutheil, Cyril] Inst Rech Dev, LOCEAN Lab, Noumea, New Caledonia, France; [Gannier, Alexandre] Grp Rech Cetaces, Antibes, France; [Oremus, Marc] WWF France, Noumea, New Caledonia, France; [Poole, Michael M.] Marine Mammal Res Program, Moorea, French Polynesi, France; [Robbins, Jooke] Ctr Coastal Studies, Provincetown, MA USA</t>
  </si>
  <si>
    <t>Centre National de la Recherche Scientifique (CNRS); University of La Reunion; Institut de Recherche pour le Developpement (IRD); Sorbonne Universite; Oregon State University; University of the South Pacific; University of Auckland; University of Auckland; Sorbonne Universite; Institut de Recherche pour le Developpement (IRD); World Wildlife Fund</t>
  </si>
  <si>
    <t>Derville, S (corresponding author), Univ La Reunion, CNRS, IRD, UMR,ENTROPIE, BPA5, F-98848 Noumea, New Caledonia, France.</t>
  </si>
  <si>
    <t>s.derville@live.fr</t>
  </si>
  <si>
    <t>Dutheil, Cyril/AAG-1761-2021; Derville, Solène/L-5758-2019; garrigue, claire/I-4704-2016</t>
  </si>
  <si>
    <t>Dutheil, Cyril/0000-0001-6891-2389; Derville, Solène/0000-0002-0380-7921; garrigue, claire/0000-0002-8117-3370; Robbins, Jooke/0000-0002-6382-722X</t>
  </si>
  <si>
    <t>French Ministry for Europe and Foreign Affairs (Fonds Pacifique grant); Secretariat of the Pacific Regional Environment Programme</t>
  </si>
  <si>
    <t>French Ministry for Europe and Foreign Affairs (Fonds Pacifique grant) under collaboration with the Secretariat of the Pacific Regional Environment Programme</t>
  </si>
  <si>
    <t>1354-1013</t>
  </si>
  <si>
    <t>1365-2486</t>
  </si>
  <si>
    <t>GLOBAL CHANGE BIOL</t>
  </si>
  <si>
    <t>Glob. Change Biol.</t>
  </si>
  <si>
    <t>10.1111/gcb.14563</t>
  </si>
  <si>
    <t>Biodiversity Conservation; Ecology; Environmental Sciences</t>
  </si>
  <si>
    <t>Biodiversity &amp; Conservation; Environmental Sciences &amp; Ecology</t>
  </si>
  <si>
    <t>HP6SY</t>
  </si>
  <si>
    <t>WOS:000461817500020</t>
  </si>
  <si>
    <t>Li, M; Xu, TH; Lu, B; He, KF</t>
  </si>
  <si>
    <t>Li, Min; Xu, Tianhe; Lu, Biao; He, Kaifei</t>
  </si>
  <si>
    <t>Multi-GNSS precise orbit positioning for airborne gravimetry over Antarctica</t>
  </si>
  <si>
    <t>GPS SOLUTIONS</t>
  </si>
  <si>
    <t>PPP; Double-difference; Position; Velocity; Clock offsets and drifts; Airborne gravimetry; Antarctica</t>
  </si>
  <si>
    <t>GPS; RESOLUTION</t>
  </si>
  <si>
    <t>Accurate position, velocity, and acceleration information are critical for airborne gravimetry. In Antarctica, there is a sparse distribution of IGS stations, and the rough terrain makes it impractical to set up nearby reference stations. Therefore, traditional differential GPS techniques may be difficult to implement. Precise point positioning (PPP) is independent of reference stations and provides an unlimited operating distance. However, it is highly dependent on precise satellite orbit and clock information, and may be vulnerable to discontinuities of orbit or clock offsets. An extended PPP method, called precise orbit positioning (POP), is implemented towards multi-GNSS. This approach introduces a widely spaced network of stations and is independent of precise clock information, as it estimates satellite clock offsets and drifts on-the-fly and only relies on precise orbit information. The advantage of being independent of clock information is that the IGS ultra-rapid (predicted) products can be applied to real-time POP since the orbits can achieve an accuracy of about 5cm. This becomes significant when applied to airborne gravimetry, as gravity results calculated from gravity measurements and GNSS solutions can be investigated in real time. By means of processing of 5 IGS stations over Antarctica, it turns out that the PPP solution is greatly affected by discontinuities of the IGS orbit and clock offsets at the day boundaries, accompanied with some biases as large as several decimeters in the vertical component. However, the POP solution remains robust and almost no large positioning errors appear, and the accuracy improves by about 50% in the north, east, and up coordinate components. The aircraft positions derived from relative positioning, PPP, and POP during the kinematic flight period generally agree at the decimeter level because of the lack of observed satellites with elevation angles higher than 60 degrees. Nevertheless, the potential for POP to generate centimeter-level kinematic vertical positions over long baselines is illustrated. Moreover, the POP and double-difference derived velocities and accelerations agree with each other well in both static and kinematic flight periods. After a low-pass filter, the GNSS-based accelerations are of the order of 1 mgal and are considered useful for separating the disturbing kinematic accelerations from the gravity measurements.</t>
  </si>
  <si>
    <t>[Li, Min; Lu, Biao] German Res Ctr Geosci GFZ, D-14473 Potsdam, Germany; [Li, Min; Lu, Biao] Tech Univ Berlin, TU Berlin, D-10623 Berlin, Germany; [Xu, Tianhe] Shandong Univ, Inst Space Sci, Weihai 264209, Peoples R China; [He, Kaifei] China Univ Petr East China, Sch Geosci, Qingdao 266580, Peoples R China; [Xu, Tianhe; He, Kaifei] State Key Lab Geoinformat Engn, Xian 710054, Shaanxi, Peoples R China</t>
  </si>
  <si>
    <t>Helmholtz Association; Helmholtz-Center Potsdam GFZ German Research Center for Geosciences; Technical University of Berlin; Shandong University; China University of Petroleum</t>
  </si>
  <si>
    <t>Xu, TH (corresponding author), Shandong Univ, Inst Space Sci, Weihai 264209, Peoples R China.;Xu, TH (corresponding author), State Key Lab Geoinformat Engn, Xian 710054, Shaanxi, Peoples R China.</t>
  </si>
  <si>
    <t>thxugie@163.com</t>
  </si>
  <si>
    <t>Lu, Biao/AAG-2569-2020; He, Kaifei/L-2699-2016</t>
  </si>
  <si>
    <t>Lu, Biao/0000-0003-0859-650X; He, Kaifei/0000-0001-6763-9149</t>
  </si>
  <si>
    <t>Chinese Scholarship Council [201506560002]; National Natural Science Foundation of China [41574013, 41731069, 41874032, 41604027]; Qingdao National Laboratory for Marine Science and Technology [QNLM2016ORP0401]; Shandong Provincial Natural Science Foundation [ZR2016DQ01]</t>
  </si>
  <si>
    <t>Chinese Scholarship Council(China Scholarship Council); National Natural Science Foundation of China(National Natural Science Foundation of China (NSFC)); Qingdao National Laboratory for Marine Science and Technology; Shandong Provincial Natural Science Foundation(Natural Science Foundation of Shandong Province)</t>
  </si>
  <si>
    <t>This study is supported by the Chinese Scholarship Council (no. 201506560002), the National Natural Science Foundation of China (Grant nos. 41574013, 41731069, 41874032, and 41604027), Qingdao National Laboratory for Marine Science and Technology (QNLM2016ORP0401), and the Shandong Provincial Natural Science Foundation (ZR2016DQ01). We are grateful to Dr. Maorong Ge and our colleagues in GFZ for their kind help, cooperation, and discussion. We are also very thankful to Fausto Ferraccilio from the British Antarctic Survey and Rene Forsberg from the Danish Technical University/National Space Institute for providing GNSS data from ESA's PolarGAP campaign.</t>
  </si>
  <si>
    <t>1080-5370</t>
  </si>
  <si>
    <t>1521-1886</t>
  </si>
  <si>
    <t>GPS SOLUT</t>
  </si>
  <si>
    <t>GPS Solut.</t>
  </si>
  <si>
    <t>10.1007/s10291-019-0848-9</t>
  </si>
  <si>
    <t>Remote Sensing</t>
  </si>
  <si>
    <t>HP9HY</t>
  </si>
  <si>
    <t>WOS:000462005000002</t>
  </si>
  <si>
    <t>Lazeroms, WMJ; Jenkins, A; Rienstra, SW; van de Wal, RSW</t>
  </si>
  <si>
    <t>Lazeroms, Werner M. J.; Jenkins, Adrian; Rienstra, Sjoerd W.; van de Wal, Roderik S. W.</t>
  </si>
  <si>
    <t>An Analytical Derivation of Ice-Shelf Basal Melt Based on the Dynamics of Meltwater Plumes</t>
  </si>
  <si>
    <t>Antarctica; Ice shelves; Buoyancy; Density currents; Snowmelt; icemelt; Parameterization</t>
  </si>
  <si>
    <t>GROUNDING LINE RETREAT; WEST ANTARCTICA; SHEET MODEL; HEAT-FLUX; OCEAN; SEA; GLACIER; THWAITES; BALANCE; BENEATH</t>
  </si>
  <si>
    <t>The interaction between ice shelves and the ocean is an important process for the development of marine ice sheets. However, it is difficult to model in full detail due to the high computational cost of coupled ice-ocean simulations, so that simplified basal-melt parameterizations are required. In this work, a new analytical expression for basal melt is derived from the theory of buoyant meltwater plumes moving upward under the ice shelf and driving the overturning circulation within the ice-shelf cavity. The governing equations are nondimensionalized in the case of an ice shelf with constant basal slope and uniform ambient ocean conditions. An asymptotic analysis of these equations in terms of small slopes and small thermal driving, assumed typical for Antarctic ice shelves, leads to an equation that can be solved analytically for the dimensionless melt rate. This analytical expression describes a universal melt-rate curve onto which the scaled results of the original plume model collapse. Its key features are a positive melt peak close to the grounding line and a transition to refreezing further away. Comparing the analytical expression with numerical solutions of the plume model generally shows a close agreement between the two, even for more general cases than the idealized geometry considered in the derivation. The results show how the melt rates adapt naturally to changes in the geometry and ambient ocean temperature. The new expression can readily be used for improving ice-sheet models that currently still lack a sufficiently realistic description of basal melt.</t>
  </si>
  <si>
    <t>[Lazeroms, Werner M. J.; van de Wal, Roderik S. W.] Univ Utrecht, Inst Marine &amp; Atmospher Res Utrecht, Utrecht, Netherlands; [Jenkins, Adrian] British Antarctic Survey, Nat Environm Res Council, Cambridge, England; [Rienstra, Sjoerd W.] Eindhoven Univ Technol, Dept Math &amp; Comp Sci, Eindhoven, Netherlands; [van de Wal, Roderik S. W.] Univ Utrecht, Dept Phys Geog, Fac Geosci, Utrecht, Netherlands</t>
  </si>
  <si>
    <t>Utrecht University; UK Research &amp; Innovation (UKRI); Natural Environment Research Council (NERC); NERC British Antarctic Survey; Eindhoven University of Technology; Utrecht University</t>
  </si>
  <si>
    <t>van de Wal, RSW (corresponding author), Univ Utrecht, Inst Marine &amp; Atmospher Res Utrecht, Utrecht, Netherlands.;van de Wal, RSW (corresponding author), Univ Utrecht, Dept Phys Geog, Fac Geosci, Utrecht, Netherlands.</t>
  </si>
  <si>
    <t>r.s.w.vandewal@uu.nl</t>
  </si>
  <si>
    <t>Jenkins, Adrian/IUN-2406-2023; van de wal, roderik/D-1705-2011</t>
  </si>
  <si>
    <t>van de wal, roderik/0000-0003-2543-3892; Jenkins, Adrian/0000-0002-9117-0616</t>
  </si>
  <si>
    <t>Natural Environment Research Council [NE/N01801X/1]; NERC [NE/N01801X/1, bas0100033] Funding Source: UKRI</t>
  </si>
  <si>
    <t>Financial support for W.M.J. Lazeroms was provided by theNetherlands Organisation for Scientific Research (NWO-ALW-Open 824.14.003). Financial support for A. Jenkins was provided by the Natural Environment Research Council, Grant NE/N01801X/1. The first author wishes to acknowledge the hospitality of the WDY Group at the Department of Applied Physics, Eindhoven University of Technology, where part of the work was done. We gratefully acknowledge the constructive comments of three anonymous reviewers.</t>
  </si>
  <si>
    <t>10.1175/JPO-D-18-0131.1</t>
  </si>
  <si>
    <t>HP9RU</t>
  </si>
  <si>
    <t>Green Accepted, Green Submitted, Bronze</t>
  </si>
  <si>
    <t>WOS:000462031500001</t>
  </si>
  <si>
    <t>Marecková, M; Barták, M; Hájek, J</t>
  </si>
  <si>
    <t>Mareckova, Michaela; Bartak, Milos; Hajek, Josef</t>
  </si>
  <si>
    <t>Temperature effects on photosynthetic performance of Antarctic lichen Dermatocarpon polyphyllizum: a chlorophyll fluorescence study</t>
  </si>
  <si>
    <t>POLAR BIOLOGY</t>
  </si>
  <si>
    <t>Diplosphaera sp; OJIP; K-step; Kautsky kinetic; Linear cooling; Photosystem II</t>
  </si>
  <si>
    <t>J-I-P; A FLUORESCENCE; PHOTOSYSTEM-II; ELECTRON-TRANSPORT; ALHAGI-SPARSIFOLIA; UMBILICARIA-APRINA; ICE NUCLEATION; CO2 EXCHANGE; STRESS; PLANTS</t>
  </si>
  <si>
    <t>Chlorophyll fluorescence is an important indicator of a photosynthetic energy conversion in chloroplast photosystem II and responds sensitively to stress factors affecting photosynthesizing organisms. Three different methods were employed to identify the most sensitive fluorescence parameters responding to thallus temperature decrease within Antarctic lichen Dermatocarpon polyphyllizum: (1) Fast chlorophyll fluorescence transient (OJIP with parameters characterizing photosystem II functioning) (2) Slow Kautsky kinetics supplemented by saturation pulses (to evaluate quantum yield of photosynthetic processes in photosystem II, as well as maximum quantum PSII efficiency and non-photochemical and photochemical quenching), and (3) Linear cooling from +22 to-40 degrees C (to determine change in phi(PSII) and the critical temperature for PSII). A K-step (usually documented at highly stressed organisms) was found in OJIPs measured at+22 degrees C at 0.22-0.40ms and attributed to the negative effect of high temperature on PSII functioning, PSII donor side limitation in particular. At subzero temperature (-0.5, -5 degrees C), an L-step was detected at 0.05ms and related to a low temperature-induced decrease in connectivity between light-harvesting complexes and PSII. An increase of DI0/RC (the flux of dissipated excitation energy) was reported for the first time in lichens. The OJIP-derived parameters, DI0/RC and Phi_D-0 (quantum yield of energy dissipation) in particular, indicated that they might be used for the detection of early events in low temperature-affected lichens. Linear cooling data determined the critical temperature (-12 degrees C) for primary photosynthetic processes (phi(PSII)) in Dermatocarpon.</t>
  </si>
  <si>
    <t>[Mareckova, Michaela; Bartak, Milos; Hajek, Josef] Masaryk Univ, Inst Expt Biol, Dept Plant Physiol &amp; Anat, Kotlarska 2, Brno 61137, Czech Republic</t>
  </si>
  <si>
    <t>Masaryk University Brno</t>
  </si>
  <si>
    <t>Hájek, J (corresponding author), Masaryk Univ, Inst Expt Biol, Dept Plant Physiol &amp; Anat, Kotlarska 2, Brno 61137, Czech Republic.</t>
  </si>
  <si>
    <t>jhajek@sci.muni.cz</t>
  </si>
  <si>
    <t>Barták, Miloš/F-4714-2019; Hájek, Josef/F-4694-2019</t>
  </si>
  <si>
    <t>Hájek, Josef/0000-0002-2679-1707</t>
  </si>
  <si>
    <t>CzechPolar-2 infrastructure [LM2015078]; ECOPOLARIS Project [CZ0.02.1.01/0.0/0.0/16_013/0001708]</t>
  </si>
  <si>
    <t>CzechPolar-2 infrastructure; ECOPOLARIS Project</t>
  </si>
  <si>
    <t>The authors are grateful to the CzechPolar-2 infrastructure (LM2015078) that enabled sample collection and handling. The experimental part of our work was undertaken in the EEL laboratory (CzechPolar infrastructure) and supported by the ECOPOLARIS Project (CZ0.02.1.01/0.0/0.0/16_013/0001708). The authors are also very grateful to Peter Vaczi (Masaryk University, Brno), who greatly assisted us with the statistical testing of our results and to Richard Alan Zimmerman(Masaryk University, Brno), who provided the language correction.</t>
  </si>
  <si>
    <t>0722-4060</t>
  </si>
  <si>
    <t>1432-2056</t>
  </si>
  <si>
    <t>POLAR BIOL</t>
  </si>
  <si>
    <t>Polar Biol.</t>
  </si>
  <si>
    <t>10.1007/s00300-019-02464-w</t>
  </si>
  <si>
    <t>Biodiversity Conservation; Ecology</t>
  </si>
  <si>
    <t>HP6TA</t>
  </si>
  <si>
    <t>WOS:000461817700004</t>
  </si>
  <si>
    <t>Warwick-Evans, V; Downie, R; Santos, M; Trathan, PN</t>
  </si>
  <si>
    <t>Warwick-Evans, Victoria; Downie, Rod; Santos, Mercedes; Trathan, Philip N.</t>
  </si>
  <si>
    <t>Habitat preferences of Adelie Pygoscelis adeliae and Chinstrap Penguins Pygoscelis antarctica during pre-moult in the Weddell Sea (Southern Ocean)</t>
  </si>
  <si>
    <t>Habitat preference models; predator distribution; Pygoscelis adeliae; Pygoscelis Antarctica; sea-ice; South Orkney Islands</t>
  </si>
  <si>
    <t>AREA-RESTRICTED SEARCH; CLIMATE-CHANGE; ICE EXTENT; KRILL; POPULATIONS; COMPETITION; DYNAMICS; SEABIRD; VARIABILITY; MOVEMENTS</t>
  </si>
  <si>
    <t>In order to understand and mitigate for the potential impacts of anthropogenic disturbance on marine predators, it is fundamental to gain insight into the drivers behind the temporal variation in their current distribution. With this in mind, we used platform terminal transmitter devices to track Adelie Pygoscelis adeliae and Chinstrap Penguins Pygoscelis antarctica breeding on the South Orkney Islands during the pre-moult phase of their annual cycles. We show that Adelie Penguins have an affinity to foragenear and moult on sea-ice, and that Chinstraps remain over the shallower shelf waters during pre-moult, and return to the colony to moult. However, habitat models developed to predict the preferred foraging habitats of penguins during pre-moult had low predictive power. This indicates that predictive models may be insufficient to understand the distribution and foraging behaviour of penguins during certain stages of the life-cycle, and that collecting empirical data from individual colonies or archipelagos is vital if we are to understand the potential implications of future climate warming, or indeed the overlap with potentially competing fisheries.</t>
  </si>
  <si>
    <t>[Warwick-Evans, Victoria; Trathan, Philip N.] British Antarctic Survey, Madingley Rd, Cambridge CB3 0ET, England; [Downie, Rod] Living Planet Ctr, WWF, Rufford House, Woking GU21 4LL, Surrey, England; [Santos, Mercedes] Inst Antartico Argentino, Dept Biol Predadores Tope, Buenos Aires, DF, Argentina</t>
  </si>
  <si>
    <t>UK Research &amp; Innovation (UKRI); Natural Environment Research Council (NERC); NERC British Antarctic Survey; World Wildlife Fund; Instituto Antartico Argentino</t>
  </si>
  <si>
    <t>Warwick-Evans, V (corresponding author), British Antarctic Survey, Madingley Rd, Cambridge CB3 0ET, England.</t>
  </si>
  <si>
    <t>vicrwi@bas.ac.uk</t>
  </si>
  <si>
    <t>Warwick-Evans, Victoria/0000-0002-0583-5504</t>
  </si>
  <si>
    <t>CCAMLR CEMP Fund; WWF Grant [GB095701]; Darwin Plus [DPLUS054]; NERC [bas0100035] Funding Source: UKRI</t>
  </si>
  <si>
    <t>CCAMLR CEMP Fund; WWF Grant; Darwin Plus; NERC(UK Research &amp; Innovation (UKRI)Natural Environment Research Council (NERC))</t>
  </si>
  <si>
    <t>We thank the CCAMLR CEMP Fund, WWF Grant (GB095701) and Darwin Plus (DPLUS054) for funding this project. This paper is a contribution to the Ecosystems programme of the British Antarctic Survey, Natural Environment Research Council.</t>
  </si>
  <si>
    <t>10.1007/s00300-019-02465-9</t>
  </si>
  <si>
    <t>WOS:000461817700005</t>
  </si>
  <si>
    <t>Carapelli, A; Fanciulli, PP; Frati, F; Leo, C</t>
  </si>
  <si>
    <t>Carapelli, Antonio; Fanciulli, Pietro Paolo; Frati, Francesco; Leo, Chiara</t>
  </si>
  <si>
    <t>Mitogenomic data to study the taxonomy of Antarctic springtail species (Hexapoda: Collembola) and their adaptation to extreme environments</t>
  </si>
  <si>
    <t>Positive selection; Antarctica; Springtails; Adaptive evolution; Mitochondrial DNA</t>
  </si>
  <si>
    <t>MITOCHONDRIAL-DNA MUTATIONS; VICTORIA LAND; PHYLOGENETIC ANALYSIS; RNA GENES; EVOLUTION; SELECTION; GENOME; COMPILATION; MORPHOLOGY; ISOTOMIDAE</t>
  </si>
  <si>
    <t>Mitochondrial DNA (mtDNA) encodes for proteins mainly involved in the oxidative phosphorylation process, and due to its molecular features, it is one of the most used molecular markers for phylogenetic and taxonomic purposes. Since mitochondria are the primary source of energy for aerobic organisms, it has been suggested that modifications of the mitochondrial genome's features could be linked with major adaptive processes to particular environmental conditions. In this respect, Antarctic Collembola (springtails) may be considered an interesting model to study whether positive selective pressure has occurred, inducing significant changes in the mtDNA characteristics that have eventually led to cold adaptation. In this study, we describe the molecular features of the mitochondrial genome of Cryptopygus terranovus, a springtail species endemic to Victoria Land. Molecular data are also employed to support the new taxonomic placement of C. terranovus, and to establish if the conspecific lineages of Friesea antarctica, that lives in separated biogeographical regions of the Antarctic Continent, are indeed distinct species. Finally, all the mitochondrial genomes of springtails, so far sequenced, were applied for calculating the ratio () of nonsynonymous versus synonymous nucleotide substitutions. This approach allowed us to investigate if Antarctic collembolans could have experienced Darwinian selective pressures compared to the non-Antarctic springtail species. Indeed, our data does indicate positive selection (&gt;1), suggesting that survival at extreme environmental conditions could be also related to mtDNA modifications.</t>
  </si>
  <si>
    <t>[Carapelli, Antonio; Fanciulli, Pietro Paolo; Frati, Francesco; Leo, Chiara] Univ Siena, Dept Life Sci, Via Aldo Moro 2, I-53100 Siena, Italy</t>
  </si>
  <si>
    <t>University of Siena</t>
  </si>
  <si>
    <t>Carapelli, A (corresponding author), Univ Siena, Dept Life Sci, Via Aldo Moro 2, I-53100 Siena, Italy.</t>
  </si>
  <si>
    <t>antonio.carapelli@unisi.it</t>
  </si>
  <si>
    <t>Leo, Chiara/AAG-7672-2021; Carapelli, Antonio/H-9216-2019</t>
  </si>
  <si>
    <t>Leo, Chiara/0000-0003-0510-2535; Carapelli, Antonio/0000-0002-3165-9620</t>
  </si>
  <si>
    <t>Italian Program of Research in Antarctica [PNRA16_00234]; Italian MIUR (PRIN); University of Siena</t>
  </si>
  <si>
    <t>Italian Program of Research in Antarctica; Italian MIUR (PRIN)(Ministry of Education, Universities and Research (MIUR)Research Projects of National Relevance (PRIN)); University of Siena</t>
  </si>
  <si>
    <t>This work was funded by: the Italian Program of Research in Antarctica (PNRA16_00234), and the Italian MIUR (PRIN). Partial support was also provided by the University of Siena. All Authors declare no conflict of interest and approved the performed research and the draught of the manuscript. We would like to kindly thank the anonymous Referee, Professor Mark Stevens and Professor Bettine van Vuuren for their important help in improving the present manuscript.</t>
  </si>
  <si>
    <t>10.1007/s00300-019-02466-8</t>
  </si>
  <si>
    <t>WOS:000461817700006</t>
  </si>
  <si>
    <t>Salton, M; Kliska, K; Carmichael, N; Alderman, R</t>
  </si>
  <si>
    <t>Salton, Marcus; Kliska, Kimberley; Carmichael, Noel; Alderman, Rachael</t>
  </si>
  <si>
    <t>Population status of the endemic royal penguin (Eudyptes schlegeli) at Macquarie Island</t>
  </si>
  <si>
    <t>Seabird conservation; Sub-Antarctic; Breeding pairs; Colony mapping; Nest density; Census</t>
  </si>
  <si>
    <t>ROCKHOPPER PENGUINS; CAMPBELL-ISLAND; SOUTHERN-OCEAN; CHRYSOCOME; PREDATION; POLLUTION; DECLINE; DISEASE</t>
  </si>
  <si>
    <t>Penguins globally are of conservation concern due to rapid decreases in many populations. Royal penguins (Eudyptes schlegeli) are endemic to Macquarie Island and its offshore islands and the current population status of this species is unknown. Here, we present a contemporary population estimate, undertaken in 2016 using precise global position system technology. Between August and December 2016, all royal penguin colonies were visited and the number of breeding pairs estimated by mapping the perimeters of colonies and applying a nest density estimate. The royal penguin population was estimated at 750,037 breeding pairs (range 669,538-830,154 pairs). The estimate is slightly lower than a previous estimate in 1984, but given the refined methods it was not possible to establish a significant difference or that a decrease in the population has not occurred. Future censuses utilising a consistent methodology are required to more accurately determine the current population trend. Establishing the current status of the royal penguin population will help assess the species vulnerability to several threats that are impacting similar species in the sub-Antarctic region, and inform conservation planning and management.</t>
  </si>
  <si>
    <t>[Salton, Marcus; Kliska, Kimberley; Carmichael, Noel; Alderman, Rachael] Dept Primary Ind Pk Water &amp; Environm, GPO Box 44, Hobart, Tas 7001, Australia</t>
  </si>
  <si>
    <t>Salton, M (corresponding author), Dept Primary Ind Pk Water &amp; Environm, GPO Box 44, Hobart, Tas 7001, Australia.;Salton, M (corresponding author), Australian Antarctic Div, Dept Environm &amp; Energy, 203 Channel Hwy, Kingston, Tas 7050, Australia.</t>
  </si>
  <si>
    <t>marcussalton@gmail.com</t>
  </si>
  <si>
    <t>Salton, Marcus/AAC-1616-2022</t>
  </si>
  <si>
    <t>Salton, Marcus/0000-0001-5647-406X; Kliska, Kimberley/0000-0001-8950-8393</t>
  </si>
  <si>
    <t>10.1007/s00300-019-02470-y</t>
  </si>
  <si>
    <t>WOS:000461817700010</t>
  </si>
  <si>
    <t>de Menezes, GCA; Alves, RP; Victoria, FD; Putzke, J; Pereira, AB; de Albuquerque, MP</t>
  </si>
  <si>
    <t>Alves de Menezes, Graciele Cunha; Alves, Rodrigo Paidano; Victoria, Filipe de Carvalho; Putzke, Jair; Pereira, Antonio Batista; de Albuquerque, Margeli Pereira</t>
  </si>
  <si>
    <t>Study of physiological and enzymatic properties and characterization of pathogenic activity of a fungus isolated from moss Sanionia uncinata (Hedw.) Loeske in Antarctica</t>
  </si>
  <si>
    <t>Pathogenicity; Sordariomycetes Link; Fungi; Ring-forming; Antarctica</t>
  </si>
  <si>
    <t>FILAMENTOUS FUNGI; PENICILLIUM SPP.; WINDMILL ISLANDS; GROWTH; TEMPERATURE; STRAINS; IDENTIFICATION; MICROFUNGI; DIVERSITY; SVALBARD</t>
  </si>
  <si>
    <t>In Antarctica, fungi occupy different niches and interact with different living things; but its importance in these niches and interactions is still poorly understood. An example of an interaction reported from Antarctica involves fungi and the Antarctic mosses, in which the fungi formed rings on the carpets of mosses. However, due to the complexity of these fungi, information about these is limited, and they have not been completely characterized yet. The Antarctic region is vulnerable to climatic change, and abiotic factors can influence the growth of fungi. This may impact the pathogenic interactions between the mosses and the fungi. The aim of this study was to identify, characterize, and evaluate the pathogenic potential of a fungus isolated from moss samples Sanionia uncinata (Hedw.) Loeske. The material for this study was collected from King George Island during the Brazilian Antarctic Expedition XXXI. Through taxonomic, molecular, and phylogenetic methods, the isolate was identified as belonging to the genus Trichoderma. The isolate inhibited the growth of the moss Physcomitrium acutifolium Broth. in vitro and caused complete discolouration of its gametophytes. The physiological characterization of the isolate revealed that it was psychrotolerant with optimal growth at 20 degrees C, producing amylase and protease at temperatures of both 10 and 30 degrees C and cellulase at 10 degrees C only. These results suggest that an increase in temperature may enhance the occurrence of ring-forming fungi in mosses in Antarctica.</t>
  </si>
  <si>
    <t>[Alves de Menezes, Graciele Cunha] Univ Fed Minas Gerais, Inst Ciencias Biol, Dept Microbiol, Lab Sistemat &amp; Biomol Fungos, Av Antonio Carlos 6627, BR-31270901 Belo Horizonte, MG, Brazil; [Alves, Rodrigo Paidano; Victoria, Filipe de Carvalho; Putzke, Jair; Pereira, Antonio Batista; de Albuquerque, Margeli Pereira] Fed Univ Pampa UNIPAMPA, NEVA, Lab Interdisciplinary Ctr Res Biotechnol, St Aluizio Barros Macedo,Br 290,Km 423, BR-97300000 Sao Gabriel, RS, Brazil</t>
  </si>
  <si>
    <t>Universidade Federal de Minas Gerais; Universidade Federal do Pampa</t>
  </si>
  <si>
    <t>Victoria, FD (corresponding author), Fed Univ Pampa UNIPAMPA, NEVA, Lab Interdisciplinary Ctr Res Biotechnol, St Aluizio Barros Macedo,Br 290,Km 423, BR-97300000 Sao Gabriel, RS, Brazil.</t>
  </si>
  <si>
    <t>graciele.cunhaalves@gmail.com; alvez_rdg@hotmail.com; filipevictoria@unipampa.edu.br; jairputzke@unipampa.edu.br; antoniopereira@unipampa.edu.br; margeli_albuquerque@hotmail.com</t>
  </si>
  <si>
    <t>Putzke, Jair/P-9380-2019; Paidano Alves, Rodrigo/L-6987-2017; Victoria, Filipe C/E-1890-2012; Pereira, Antonio B/I-8201-2014; Pereira, Antonio/AAD-5703-2019; Victoria, Filipe/F-6066-2013</t>
  </si>
  <si>
    <t>Paidano Alves, Rodrigo/0000-0003-1009-5923; Pereira, Antonio B/0000-0003-0368-4594; Victoria, Filipe/0000-0002-8580-1813; Cunha Alves de Menezes, Graciele/0000-0002-9427-1893</t>
  </si>
  <si>
    <t>National Council for Research and Development (CNPq) [574018/2008-5]; Carlos Chagas Research Support Foundation of the State of Rio de Janeiro (FAPERJ) [E-16/170.023/2008]; Foundation for Research Support of the State of Rio Grande do Sul (FAPERGS); Brazilian Ministry of Science, Technology and Innovation (MCTI); Inter-Ministry Commission for Sea Resources (CIRM); Brazilian Ministry of Environment (MMA)</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</si>
  <si>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Foundation for Research Support of the State of Rio Grande do Sul (FAPERGS)(Fundacao de Amparo a Ciencia e Tecnologia do Estado do Rio Grande do Sul (FAPERGS)); Brazilian Ministry of Science, Technology and Innovation (MCTI); Inter-Ministry Commission for Sea Resources (CIRM); Brazilian Ministry of Environment (MMA)</t>
  </si>
  <si>
    <t>This work integrates the National Institute of Science and Technology Antarctic Environmental Research (INCT-APA) that receives scientific and financial support from the National Council for Research and Development (CNPq process: no 574018/2008-5), Carlos Chagas Research Support Foundation of the State of Rio de Janeiro (FAPERJ no E-16/170.023/2008) and Foundation for Research Support of the State of Rio Grande do Sul (FAPERGS) for providing scholarship. The authors also acknowledge the support of the Brazilian Ministries of Science, Technology and Innovation (MCTI), of Environment (MMA) and Inter-Ministry Commission for Sea Resources (CIRM).</t>
  </si>
  <si>
    <t>10.1007/s00300-019-02473-9</t>
  </si>
  <si>
    <t>WOS:000461817700011</t>
  </si>
  <si>
    <t>[Anonymous]</t>
  </si>
  <si>
    <t>Introduction</t>
  </si>
  <si>
    <t>10.1017/S0954102019000117</t>
  </si>
  <si>
    <t>WOS:000463086400001</t>
  </si>
  <si>
    <t>Evans, KJ; Bricher, PK; Foster, SD</t>
  </si>
  <si>
    <t>Evans, K. J.; Bricher, P. K.; Foster, S. D.</t>
  </si>
  <si>
    <t>Impact of frost injury incidence at nodes of Pinot Noir on fruitfulness and growth-stage lag</t>
  </si>
  <si>
    <t>AUSTRALIAN JOURNAL OF GRAPE AND WINE RESEARCH</t>
  </si>
  <si>
    <t>damage; grape; mitigation; spatial variation; Vitis vinifera L</t>
  </si>
  <si>
    <t>TEMPERATURES; BUDS</t>
  </si>
  <si>
    <t>Background and Aims Spring frosts can injure primary buds and young shoots and stimulate secondary shoot production in Vitis spp. The aim of this study was to develop methods to quantify yield and phenology effects of frost injury during budburst. Methods and Results Eight hundred and sixty-nine nodes from 92 half-vines of Pinot Noir in eight blocks from four Tasmanian vineyards were sampled; 15-92% of shoots per half-vine were injured after a sub-zero air temperature &gt;= -4.5 degrees C. Severity of frost injury was spatially variable among vines both with and without frost protection. Generalised linear mixed models revealed that node injury was associated with a mean 27-fold increase in the odds of &gt;1 shoot per node. Mean December scores for modified Eichorn-Lorenz growth stage were 18.9 and 17.2 for nodes with one shoot and &gt;1 shoot, respectively. The probability of healthy and injured nodes producing fruit was 0.81 and 0.69, respectively. In a season with poor fruitset, the estimated difference in yield per linear m of row between 0 and 100% incidence of injured nodes was 0.2 kg. Conclusion Assessment of the incidence of frost injury and fruit mass per node was sufficient to estimate the impact of injury on yield at the vine and block level. Significance of the Study Future studies are expected to benefit from application of these efficient sampling, assessment and statistical methods to determine the site-specific impact of early spring frost injury on fruitfulness and growth-stage lag.</t>
  </si>
  <si>
    <t>[Evans, K. J.; Bricher, P. K.] Univ Tasmania, Tasmanian Inst Agr, Hobart, Tas 7001, Australia; [Foster, S. D.] CSIRO, Hobart, Tas 7001, Australia; [Bricher, P. K.] Univ Tasmania, Inst Marine &amp; Antarctic Sci, Hobart, Tas 7001, Australia</t>
  </si>
  <si>
    <t>University of Tasmania; Commonwealth Scientific &amp; Industrial Research Organisation (CSIRO); University of Tasmania</t>
  </si>
  <si>
    <t>Evans, KJ (corresponding author), Univ Tasmania, Tasmanian Inst Agr, Hobart, Tas 7001, Australia.</t>
  </si>
  <si>
    <t>katherine.evans@utas.edu.au</t>
  </si>
  <si>
    <t>Evans, Katherine/C-3157-2008; Foster, Scott/E-9311-2010</t>
  </si>
  <si>
    <t>Evans, Katherine/0000-0003-2189-5870; Foster, Scott/0000-0002-6719-8002</t>
  </si>
  <si>
    <t>Sense-T; Australian Government</t>
  </si>
  <si>
    <t>Sense-T; Australian Government(Australian Government)</t>
  </si>
  <si>
    <t>This study was supported by Sense-T, a partnership between the University of Tasmania, CSIRO and the Tasmanian Government. Sense-T is also funded by the Australian Government. We thank Mr Andrew Terhorst, Mr David Biggins and Mr Chris Sharman from the CSIRO for the sensor data and our vineyard co-operators Mr Matthew Pooley from Pooley Wines, Mr Danny Belbin from Frogmore Creek Wines, Mr Tim Lyne from Spring Vale Wines, and Mr Terry Bennett from Home Hill Wines. We gratefully acknowledge Dr Stephen Wilson and Dr Joanna Jones for reviewing the manuscript.</t>
  </si>
  <si>
    <t>1322-7130</t>
  </si>
  <si>
    <t>1755-0238</t>
  </si>
  <si>
    <t>AUST J GRAPE WINE R</t>
  </si>
  <si>
    <t>Aust. J. Grape Wine Res.</t>
  </si>
  <si>
    <t>10.1111/ajgw.12381</t>
  </si>
  <si>
    <t>Food Science &amp; Technology; Horticulture</t>
  </si>
  <si>
    <t>Food Science &amp; Technology; Agriculture</t>
  </si>
  <si>
    <t>HQ7OP</t>
  </si>
  <si>
    <t>WOS:000462610700007</t>
  </si>
  <si>
    <t>Melles, M; Svendsen, JI; Fedorov, G; Wagner, B</t>
  </si>
  <si>
    <t>Melles, Martin; Svendsen, John Inge; Fedorov, Grigory; Wagner, Bernd</t>
  </si>
  <si>
    <t>Northern Eurasian lakes - late Quaternary glaciation and climate history - introduction</t>
  </si>
  <si>
    <t>[Melles, Martin; Wagner, Bernd] Univ Cologne, Inst Geol &amp; Mineral, Zulpicher Str 49a, D-50674 Cologne, Germany; [Svendsen, John Inge] Univ Bergen, Dept Earth Sci, Allegaten 41, N-5007 Bergen, Norway; [Fedorov, Grigory] Arctic &amp; Antarctic Res Inst, Dept Geog Polar Reg, 38 Beringa St, St Petersburg 199397, Russia; [Fedorov, Grigory] St Petersburg State Univ, Inst Earth Sci, Geomorphol Dept, 10 Line VO 33, St Petersburg 199178, Russia</t>
  </si>
  <si>
    <t>University of Cologne; University of Bergen; Arctic &amp; Antarctic Research Institute; Saint Petersburg State University</t>
  </si>
  <si>
    <t>Wagner, B (corresponding author), Univ Cologne, Inst Geol &amp; Mineral, Zulpicher Str 49a, D-50674 Cologne, Germany.</t>
  </si>
  <si>
    <t>wagnerb@uni-koeln.de</t>
  </si>
  <si>
    <t>Wagner, Bernd/J-4682-2012; Fedorov, Grigory/N-5788-2019; Melles, Martin/J-4070-2012</t>
  </si>
  <si>
    <t>Wagner, Bernd/0000-0002-1369-7893; Fedorov, Grigory/0000-0003-2269-4501; Melles, Martin/0000-0003-0977-9463</t>
  </si>
  <si>
    <t>German Federal Ministry for Education and Research (BMBF); Ministry of Science and Higher Education of the Russian Federation (MinObrNauki); Research Council of Norway (NRC)</t>
  </si>
  <si>
    <t>German Federal Ministry for Education and Research (BMBF)(Federal Ministry of Education &amp; Research (BMBF)); Ministry of Science and Higher Education of the Russian Federation (MinObrNauki); Research Council of Norway (NRC)(Research Council of Norway)</t>
  </si>
  <si>
    <t>Publication of this special issue would not have been possible without support of a large number of reviewers, who evaluated the manuscripts and made helpful suggestions for improvements. A very important role was also played by the Editor-in-Chief of Boreas, Jan A. Piotrowski, who accompanied and strongly supported the review process at all stages. The guest editors would also like to thank the funding agencies that supported the research presented in this special issue, in particular the German Federal Ministry for Education and Research (BMBF), the Ministry of Science and Higher Education of the Russian Federation (MinObrNauki) and the Research Council of Norway (NRC), which enabled the PLOT and CHASE projects in Russia.</t>
  </si>
  <si>
    <t>10.1111/bor.12395</t>
  </si>
  <si>
    <t>WOS:000463748900001</t>
  </si>
  <si>
    <t>Joyce, W; Egginton, S; Farrell, AP; Axelsson, M</t>
  </si>
  <si>
    <t>Joyce, William; Egginton, Stuart; Farrell, Anthony P.; Axelsson, Michael</t>
  </si>
  <si>
    <t>Adrenergic and adenosinergic regulation of the cardiovascular system in an Antarctic icefish: Insight into central and peripheral determinants of cardiac output</t>
  </si>
  <si>
    <t>Channichthyidae; Adrenaline; Adenosine; Heart rate; Conductance</t>
  </si>
  <si>
    <t>HEART-RATE; RAINBOW-TROUT; BLOOD-PRESSURE; VASCULAR-RESISTANCE; STRESS-RESPONSE; ATLANTIC COD; FISH; PERFORMANCE; ADRENALINE; RECEPTORS</t>
  </si>
  <si>
    <t>Icefishes characteristically lack the oxygen-binding protein haemoglobin and therefore are especially reliant on cardiovascular regulation to augment oxygen transport when oxygen demand increases, such as during activity and warming. Using both in vivo and in vitro experiments, we evaluated the roles for adrenaline and adenosine, two well-established cardio- and vasoactive molecules, in regulating the cardiovascular system of the blackfin icefish, Chaenocephalus aceratus. Despite increasing cardiac contractility (increasing twitch force and contraction kinetics in isometric myocardial strip preparations) and accelerating heart rate (f(H)), adrenaline (5 nmol kg(-1) bolus infra-arterial injection) did not significantly increase cardiac output ((Q) over dot) in vivo because it elicited a large decrease in vascular conductance (G(sys)). In contrast, and despite preliminary data suggesting a direct negative inotropic effect of adenosine on isolated atria and little effect on isolated ventricle strips, adenosine (500 nmol kg-1) generated a large increase in (Q) over dot by increasing G(sys), a change reminiscent of that previously reported during both acute warming and invoked activity. Our data thus illustrate how (Q) over dot in C. aceratus may be much more dependent on peripheral control of vasomotor tone than direct regulation of the heart.</t>
  </si>
  <si>
    <t>[Joyce, William] Aarhus Univ, Dept Zoophysiol, DK-8000 Aarhus C, Denmark; [Egginton, Stuart] Univ Leeds, Sch Biomed Sci, Leeds, W Yorkshire, England; [Farrell, Anthony P.] Univ British Columbia, Fac Land &amp; Food Syst, Dept Zool, Vancouver, BC 45, Canada; [Axelsson, Michael] Univ Gothenburg, Dept Biol &amp; Environm Sci, Gothenburg, Sweden</t>
  </si>
  <si>
    <t>Aarhus University; University of Leeds; University of British Columbia; University of Gothenburg</t>
  </si>
  <si>
    <t>Joyce, W (corresponding author), Aarhus Univ, Dept Zoophysiol, DK-8000 Aarhus C, Denmark.</t>
  </si>
  <si>
    <t>william.joyce@bios.au.dk</t>
  </si>
  <si>
    <t>Joyce, William/U-7093-2019; Axelsson, Michael/D-1412-2009</t>
  </si>
  <si>
    <t>Joyce, William/0000-0002-3782-1641; Axelsson, Michael/0000-0002-7839-3233; Egginton, Stuart/0000-0002-3084-9692</t>
  </si>
  <si>
    <t>National Science Foundation [ANT 1341602, ANT 1341663]; Swedish Research council (Vetenskapsradet) [2015-05286]; Canadian NSERC; Canada Research Chair; Swedish Research Council [2015-05286] Funding Source: Swedish Research Council</t>
  </si>
  <si>
    <t>National Science Foundation(National Science Foundation (NSF)); Swedish Research council (Vetenskapsradet)(Swedish Research Council); Canadian NSERC(Natural Sciences and Engineering Research Council of Canada (NSERC)); Canada Research Chair(Natural Resources CanadaCanadian Forest ServiceCanada Research Chairs); Swedish Research Council(Swedish Research Council)</t>
  </si>
  <si>
    <t>This study would not have been possible without the contributions of Drs. Kristin M. O'Brien (University of Alaska Anchorage) and Elizabeth L. Crockett (Ohio University), who led our project on the effects of temperature on Antarctic fish physiology. We are furthermore indebted to Amanda Biederman, Anna Rix and Elizabeth Evans for assistance with fishing and animal care. We thank Dr. Jordi Altimiras (Linkoping University) and another anonymous reviewer for helpful and insightful comments on the manuscript. We are also grateful to the Masters and crew of the ARSV Laurence M. Gould, and the winter support staff at Palmer Station. Funding was provided by grants from the National Science Foundation (ANT 1341602 to E.L.C. and ANT 1341663 to K.M.O.) and the Swedish Research council (Vetenskapsradet; grant 2015-05286). APF is supported by the Canadian NSERC and a Canada Research Chair.</t>
  </si>
  <si>
    <t>10.1016/j.cbpa.2018.12.012</t>
  </si>
  <si>
    <t>HM9XN</t>
  </si>
  <si>
    <t>WOS:000459838400004</t>
  </si>
  <si>
    <t>Song, GS; Zhang, MN; Zhang, YP; Wang, HH; Chen, K; Dai, ZY; Shen, Q</t>
  </si>
  <si>
    <t>Song, Gongshuai; Zhang, Mengna; Zhang, Yanping; Wang, Honghai; Chen, Kang; Dai, Zhiyuan; Shen, Qing</t>
  </si>
  <si>
    <t>Development of a 450 nm Laser Irradiation Desorption Method for Fast Headspace Solid-Phase Microextraction of Volatiles from Krill Oil (Euphausia superba)</t>
  </si>
  <si>
    <t>EUROPEAN JOURNAL OF LIPID SCIENCE AND TECHNOLOGY</t>
  </si>
  <si>
    <t>Antarctic krill oil; fatty acid; gas chromatography mass spectrometry; headspace solid-phase microextraction; laser irradiation desorption; volatile compound</t>
  </si>
  <si>
    <t>MASS-SPECTROMETRY; AROMA COMPOUNDS; TRIGLYCERIDE; IDENTIFICATION; TEMPERATURE; EXTRACTION; ACCRETION; OXIDATION; EFFICACY</t>
  </si>
  <si>
    <t>A laser irradiation desorption (LID) method is developed using a 450 nm blue semiconductor laser and gas chromatography mass spectrometry (GC/MS) for analyzing the flavor of Antarctic krill oil (Euphausia superba). The experimental parameters of LID are optimized by response surface methodology (RSM), and the optima are obtained as follows; laser power (10 W), irradiation time (5 min), and sample volume (3 g). The results show that a total of 41 volatile molecular species are detected, including six alcohols, 10 aldehydes, five ketones, 14 hydrocarbons, and six other compounds. Compared with the conventional heating assisted desorption technique, the LID can release volatile molecular species with higher abundance in a considerably reduced extraction time from 30 to 5 min. Finally, the proposed method is validated in terms of sensitivity, precision, linearity, and recovery, which demonstrate its advantages of high efficiency and simplified procedure. Practical Applications: An LID method is developed using a 450 nm blue semiconductor laser for analyzing the flavor of Antarctic krill oil (E. superba). Compared with the conventional heating assisted desorption technique, the LID can release more volatile molecular species with higher abundance in a considerably shorter extraction time, and the intensive laser power does not induce the autoxidation of polyunsaturated fatty acids. It shows the advantages of a highly efficient, and simplified procedure.</t>
  </si>
  <si>
    <t>[Song, Gongshuai; Zhang, Mengna; Zhang, Yanping; Wang, Honghai; Chen, Kang; Dai, Zhiyuan; Shen, Qing] Zhejiang Gongshang Univ, Inst Seafood, Joint Key Lab Aquat Prod Proc Zhejiang Prov, RM 203,2nd Lab Bldg,149 Jiaogong Rd, Hangzhou, Zhejiang, Peoples R China</t>
  </si>
  <si>
    <t>Zhejiang Gongshang University</t>
  </si>
  <si>
    <t>Shen, Q (corresponding author), Zhejiang Gongshang Univ, Inst Seafood, Joint Key Lab Aquat Prod Proc Zhejiang Prov, RM 203,2nd Lab Bldg,149 Jiaogong Rd, Hangzhou, Zhejiang, Peoples R China.</t>
  </si>
  <si>
    <t>leonqshen@163.com</t>
  </si>
  <si>
    <t>Zhang, Yanchao/JMB-7717-2023; wu, yi/JEP-1581-2023; zhang, meng/JMB-0951-2023; Liu, Yiqi/KFR-3869-2024; ZHANG, MENGQI/KBB-9340-2024</t>
  </si>
  <si>
    <t>Public Welfare Research Program of Zhejiang Province [LGN18C200001]; Zhejiang Provincial RD Program [2017C03041]; Natural Science Fund for Young Scholars of China [31601542]</t>
  </si>
  <si>
    <t>Public Welfare Research Program of Zhejiang Province; Zhejiang Provincial RD Program; Natural Science Fund for Young Scholars of China</t>
  </si>
  <si>
    <t>The authors thank the Public Welfare Research Program of Zhejiang Province (LGN18C200001), the Zhejiang Provincial R&amp;D Program (2017C03041), and the Natural Science Fund for Young Scholars of China (No. 31601542). This work used only commercially available chemicals and did not involve samples or procedures requiring approval by an institutional review board or informed consent.</t>
  </si>
  <si>
    <t>1438-7697</t>
  </si>
  <si>
    <t>1438-9312</t>
  </si>
  <si>
    <t>EUR J LIPID SCI TECH</t>
  </si>
  <si>
    <t>Eur. J. Lipid Sci. Technol.</t>
  </si>
  <si>
    <t>10.1002/ejlt.201800446</t>
  </si>
  <si>
    <t>Food Science &amp; Technology; Nutrition &amp; Dietetics</t>
  </si>
  <si>
    <t>HR1UH</t>
  </si>
  <si>
    <t>WOS:000462920600019</t>
  </si>
  <si>
    <t>Goehring, BM; Balco, G; Todd, C; Moening-Swanson, I; Nichols, K</t>
  </si>
  <si>
    <t>Goehring, Brent M.; Balco, Greg; Todd, Claire; Moening-Swanson, Isaac; Nichols, Keir</t>
  </si>
  <si>
    <t>Late-glacial grounding line retreat in the northern Ross Sea, Antarctica</t>
  </si>
  <si>
    <t>GEOLOGY</t>
  </si>
  <si>
    <t>VICTORIA-LAND; ICE-SHEET; LEVEL; HISTORY; MOUNTAINS; BE-10; SHELF; AL-26</t>
  </si>
  <si>
    <t>We present geochronologic constraints on the timing of grounding line retreat in the western Ross Sea, Antarctica, based on changes in ice-surface elevation of glaciers in northern Victoria Land. We constructed ice-surface lowering histories using C-14 surface exposure dating at Tucker and Aviator Glaciers, and the timing of retreat at Terra Nova Bay. Our record demonstrates that thinning of 290-380 m occurred since the Last Glacial Maximum at Tucker Glacier, and at least 250 m of thinning occurred at Aviator Glacier. We observed no significant thinning prior to or during meltwater pulse la. Maximum rates of thinning occurred between 13.6 and 12.4 ka at Tucker Glacier, and after 11.4 ka at Aviator Glacier. At both locations, ice surfaces were near their present elevations by ca. 7.5 ka. Ice-surface lowering in northern Victoria Land was a linear response to sea-level rise during deglaciation and provides a contrast to the nonlinear response of glaciers to the south in the presence of relatively stable sea level.</t>
  </si>
  <si>
    <t>[Goehring, Brent M.; Nichols, Keir] Tulane Univ, Dept Earth &amp; Environm Sci, New Orleans, LA 70118 USA; [Balco, Greg] Berkeley Geochronol Ctr, Berkeley, CA 94709 USA; [Todd, Claire; Moening-Swanson, Isaac] Pacific Lutheran Univ, Dept Geosci, Tacoma, WA 98447 USA</t>
  </si>
  <si>
    <t>Tulane University; Berkeley Geochronolgy Center; Pacific Lutheran University</t>
  </si>
  <si>
    <t>Goehring, BM (corresponding author), Tulane Univ, Dept Earth &amp; Environm Sci, New Orleans, LA 70118 USA.</t>
  </si>
  <si>
    <t>bgoehrin@tulane.edu</t>
  </si>
  <si>
    <t>U.S. National Science Foundation (NSF) Office of Polar Programs (OPP) [1460449, 1341420, 1341364]; Polar Geospatial Center (University of Minnesota) under NSF OPP awards [1543501, 1810976, 1542736, 1559691, 1043681, 1541332, 0753663, 1548562, 1238993]; NASA [NNX10AN61G]; NASA [127993, NNX10AN61G] Funding Source: Federal RePORTER; Direct For Computer &amp; Info Scie &amp; Enginr; Office of Advanced Cyberinfrastructure (OAC) [1810976] Funding Source: National Science Foundation; Directorate For Geosciences; Office of Polar Programs (OPP) [1341364, 1341420] Funding Source: National Science Foundation; Office of Advanced Cyberinfrastructure (OAC); Direct For Computer &amp; Info Scie &amp; Enginr [1541332] Funding Source: National Science Foundation; Office of Polar Programs (OPP); Directorate For Geosciences [1460449] Funding Source: National Science Foundation</t>
  </si>
  <si>
    <t>U.S. National Science Foundation (NSF) Office of Polar Programs (OPP)(National Science Foundation (NSF)); Polar Geospatial Center (University of Minnesota) under NSF OPP awards; NASA(National Aeronautics &amp; Space Administration (NASA)); NASA(National Aeronautics &amp; Space Administration (NASA)); Direct For Computer &amp; Info Scie &amp; Enginr; Office of Advanced Cyberinfrastructure (OAC)(National Science Foundation (NSF)NSF - Directorate for Computer &amp; Information Science &amp; Engineering (CISE)); Directorate For Geosciences; Office of Polar Programs (OPP)(National Science Foundation (NSF)NSF - Directorate for Geosciences (GEO)); Office of Advanced Cyberinfrastructure (OAC); Direct For Computer &amp; Info Scie &amp; Enginr(National Science Foundation (NSF)NSF - Directorate for Computer &amp; Information Science &amp; Engineering (CISE)); Office of Polar Programs (OPP); Directorate For Geosciences(National Science Foundation (NSF)NSF - Directorate for Geosciences (GEO))</t>
  </si>
  <si>
    <t>We acknowledge support from U.S. National Science Foundation (NSF) Office of Polar Programs (OPP) grants 1460449, 1341420, and 1341364 to Goehring, Balco, and Todd, respectively. Logistics were provided by the U.S. Antarctica Program (USAP) and its Antarctic contractor. We thank Chris Simmons of Simmons Mountain Works, LLC (http://simmonsmountain.works), the staff of Italian research station Mario Zucchelli for their hospitality, the crews of Kenn Borek Air for their safe transport, Aeon Laboratories (Arizona, USA), and the staffs of the Lawrence Livermore National Laboratory Center for Accelerator Mass Spectrometry (LLNL-CAMS, California, USA) and the Purdue Rare Isotope Measurement Laboratory (PRIME Lab, Indiana, USA) for their excellent measurements. Three reviewers are thanked for comments that improved the manuscript. Digital elevation models were provided by the Byrd Polar and Climate Research Center (The Ohio State University) and the Polar Geospatial Center (University of Minnesota) under NSF OPP awards 1543501, 1810976, 1542736, 1559691, 1043681, 1541332, 0753663, 1548562, and 1238993, and NASA award NNX10AN61G. Computer time was provided through a Blue Waters Innovation Initiative. Digital elevation models were produced using data from DigitalGlobe, Inc.</t>
  </si>
  <si>
    <t>0091-7613</t>
  </si>
  <si>
    <t>1943-2682</t>
  </si>
  <si>
    <t>10.1130/G45413.1</t>
  </si>
  <si>
    <t>HP3WT</t>
  </si>
  <si>
    <t>WOS:000461609100003</t>
  </si>
  <si>
    <t>Eaves, SR; Mackintosh, AN; Anderson, BM</t>
  </si>
  <si>
    <t>Eaves, Shaun R.; Mackintosh, Andrew N.; Anderson, Brian M.</t>
  </si>
  <si>
    <t>Climate amelioration during the Last Glacial Maximum recorded by a sensitive mountain glacier in New Zealand</t>
  </si>
  <si>
    <t>SOUTHERN-HEMISPHERE CLIMATE; ALPS; VALLEY; TRANSITION; CHRONOLOGY; EXTENT; ISLAND; OHAU</t>
  </si>
  <si>
    <t>Well-dated moraine chronologies indicate that New Zealand glaciers retreated between the onset and the peak of the global Last Glacial Maximum (30-18 ka). The cause of New Zealand net glacier decline during what is thought to have been a ubiquitously cold climate is not known. Here we use a glacier modeling approach to explain the remarkable demise of a former glacier in the Cobb River valley (South Island), which retreated by &gt;50% prior to 20 ka, and may have melted completely by 18 ka-prior to the onset of rapid deglaciation evident across the southern mid-latitudes during Heinrich Stadial 1. Modeling experiments show that this glacier had an amplified response to modest climate forcing, requiring only a minor atmospheric warming (+0.5 degrees C) or precipitation reduction (&gt;15%) to force retreat. Our results, when considered alongside pollen and speleothem evidence from the region, indicate that minor interstadial warming and/or drying of the atmosphere in New Zealand drove regional glacier retreat prior to 20 ka. Our results reinforce that mountain glaciers are sensitive indicators of climate change-but highlight that some are more sensitive than others. This high-sensitivity glacier record provides quantitative constraint of low-magnitude climate forcing that immediately preceded the abrupt Southern Hemisphere transition out of the Last Glacial Maximum.</t>
  </si>
  <si>
    <t>[Eaves, Shaun R.; Mackintosh, Andrew N.; Anderson, Brian M.] Victoria Univ Wellington, Antarctic Res Ctr, POB 600, Wellington 6140, New Zealand</t>
  </si>
  <si>
    <t>Victoria University Wellington</t>
  </si>
  <si>
    <t>Eaves, SR (corresponding author), Victoria Univ Wellington, Antarctic Res Ctr, POB 600, Wellington 6140, New Zealand.</t>
  </si>
  <si>
    <t>shaun.eaves@vuw.ac.nz</t>
  </si>
  <si>
    <t>Mackintosh, Andrew/0000-0002-6430-4711; Eaves, Shaun/0000-0003-0444-631X</t>
  </si>
  <si>
    <t>Leverhulme Trust; Royal Society Te Aparangi Marsden Fund [VUW-1701]</t>
  </si>
  <si>
    <t>Leverhulme Trust(Leverhulme Trust); Royal Society Te Aparangi Marsden Fund(Royal Society of New Zealand)</t>
  </si>
  <si>
    <t>This research was supported by Leverhulme Trust and the Royal Society Te Aparangi Marsden Fund (contract VUW-1701). We appreciate the constructive comments made by three anonymous reviewers, which improved the clarity and quality of this manuscript.</t>
  </si>
  <si>
    <t>10.1130/G45543.1</t>
  </si>
  <si>
    <t>WOS:000461609100005</t>
  </si>
  <si>
    <t>Chen, LB; Lu, Y; Li, WH; Ren, YD; Yu, MC; Jiang, SW; Fu, YX; Wang, J; Peng, SH; Bilyk, KT; Murphy, KR; Zhuang, X; Hune, M; Zhai, WY; Wang, W; Xu, QH; Cheng, CH</t>
  </si>
  <si>
    <t>Chen, Liangbiao; Lu, Ying; Li, Wenhao; Ren, Yandong; Yu, Mengchao; Jiang, Shouwen; Fu, Yanxia; Wang, Jian; Peng, Sihua; Bilyk, Kevin T.; Murphy, Katherine R.; Zhuang, Xuan; Hune, Mathias; Zhai, Wanying; Wang, Wen; Xu, Qianghua; Christina Cheng, Chi-Hing</t>
  </si>
  <si>
    <t>The genomic basis for colonizing the freezing Southern Ocean revealed by Antarctic toothfish and Patagonian robalo genomes</t>
  </si>
  <si>
    <t>GIGASCIENCE</t>
  </si>
  <si>
    <t>adaptive radiation; climate change; genome; oxidative stress; Antarctic notothenioids</t>
  </si>
  <si>
    <t>DE-NOVO IDENTIFICATION; DISSOSTICHUS-MAWSONI; OSTEOBLAST DIFFERENTIATION; NOTOTHENIOID FISHES; BONE-FORMATION; R PACKAGE; GENE; EVOLUTION; FAMILIES; ANTIFREEZE</t>
  </si>
  <si>
    <t>Background: The Southern Ocean is the coldest ocean on Earth but a hot spot of evolution. The bottom-dwelling Eocene ancestor of Antarctic notothenioid fishes survived polar marine glaciation and underwent adaptive radiation, forming &gt;120 species that fill all water column niches today. Genome-wide changes enabling physiological adaptations and the rapid expansion of the Antarctic notothenioids remain poorly understood. Results: We sequenced and compared 2 notothenioid genomes-the cold-adapted and neutrally buoyant Antarctic toothfish Dissostichus mawsoni and the basal Patagonian robalo Eleginops maclovinus, representing the temperate ancestor. We detected &gt;200 protein gene families that had expanded and thousands of genes that had evolved faster in the toothfish, with diverse cold-relevant functions including stress response, lipid metabolism, protein homeostasis, and freeze resistance. Besides antifreeze glycoprotein, an eggshell protein had functionally diversified to aid in cellular freezing resistance. Genomic and transcriptomic comparisons revealed proliferation of selcys-transfer RNA genes and broad transcriptional upregulation across anti-oxidative selenoproteins, signifying their prominent role in mitigating oxidative stress in the oxygen-rich Southern Ocean. We found expansion of transposable elements, temporally correlated to Antarctic notothenioid diversification. Additionally, the toothfish exhibited remarkable shifts in genetic programs towards enhanced fat cell differentiation and lipid storage, and promotion of chondrogenesis while inhibiting osteogenesis in bone development, collectively contributing to the achievement of neutral buoyancy and pelagicism. Conclusions: Our study revealed a comprehensive landscape of evolutionary changes essential for Antarctic notothenioid cold adaptation and ecological expansion. The 2 genomes are valuable resources for further exploration of mechanisms underlying the spectacular notothenioid radiation in the coldest marine environment.</t>
  </si>
  <si>
    <t>[Chen, Liangbiao; Lu, Ying; Li, Wenhao; Yu, Mengchao; Jiang, Shouwen; Fu, Yanxia; Wang, Jian; Peng, Sihua; Zhai, Wanying; Xu, Qianghua] Shanghai Ocean Univ, Minist Sci &amp; Technol, Internal Res Ctr Marine Biosci, Shanghai, Peoples R China; [Chen, Liangbiao; Lu, Ying; Li, Wenhao; Yu, Mengchao; Jiang, Shouwen; Fu, Yanxia; Wang, Jian; Peng, Sihua; Zhai, Wanying; Xu, Qianghua] Shanghai Ocean Univ, Minist Educ, Key Lab Explorat &amp; Utilizat Aquat Genet Resources, Shanghai, Peoples R China; [Chen, Liangbiao; Lu, Ying; Li, Wenhao; Yu, Mengchao; Jiang, Shouwen; Fu, Yanxia; Wang, Jian; Peng, Sihua; Zhai, Wanying; Xu, Qianghua] Shanghai Ocean Univ, Minist Sci &amp; Technol, Int Res Ctr Marine Biosci, Shanghai, Peoples R China; [Chen, Liangbiao] Qingdao Natl Lab Marine Sci &amp; Technol, Lab Marine Biol &amp; Biotechnol, Qingdao, Shandong, Peoples R China; [Ren, Yandong; Wang, Wen] Chinese Acad Sci, Kunming Inst Zool, Kuming, Peoples R China; [Bilyk, Kevin T.; Murphy, Katherine R.; Zhuang, Xuan; Christina Cheng, Chi-Hing] Univ Illinois, Dept Anim Biol, Champaign, IL USA; [Hune, Mathias; Christina Cheng, Chi-Hing] Fdn Ictiol, Santiago, Chile</t>
  </si>
  <si>
    <t>Shanghai Ocean University; Shanghai Ocean University; Shanghai Ocean University; Laoshan Laboratory; Chinese Academy of Sciences; Kunming Institute of Zoology, CAS; University of Illinois System; University of Illinois Urbana-Champaign</t>
  </si>
  <si>
    <t>Xu, QH (corresponding author), Shanghai Ocean Univ, Coll Fisheries &amp; Life Sci, Shanghai 201306, Peoples R China.;Cheng, CH (corresponding author), 515 Morrill Hall,505 S Goodwin Ave, Urbana, IL 61801 USA.</t>
  </si>
  <si>
    <t>qhxu@shou.edu.cn; c-cheng@illinois.edu</t>
  </si>
  <si>
    <t>Liu, Xiangyan/JTV-4868-2023; peng, sihua/C-2730-2009; Wang, Wen/AAP-9873-2020; Hüne, Mathias/ABE-6000-2020; li, yao/IYJ-1364-2023; Wang, Wenxi/L-8805-2019</t>
  </si>
  <si>
    <t>, liangbiao/0000-0002-0717-8536; Zhuang, Xuan/0000-0002-1919-9764; li, wenhao/0000-0001-5209-8933; Bilyk, Kevin/0000-0002-2262-2703; Murphy, Katherine/0000-0001-8898-8719; Lu, Ying/0000-0002-2509-9209</t>
  </si>
  <si>
    <t>Natural Science Foundation of China [41761134050, 31572611, 31572598]; Shanghai Education Committee [2017-01-07-00-10-E00060]; Laboratory for Marine Biology and Biotechnology; Qingdao National Laboratory for Marine Science and Technology; USA National Science Foundation Polar Programs [ANT1142158]</t>
  </si>
  <si>
    <t>Natural Science Foundation of China(National Natural Science Foundation of China (NSFC)); Shanghai Education Committee; Laboratory for Marine Biology and Biotechnology; Qingdao National Laboratory for Marine Science and Technology; USA National Science Foundation Polar Programs</t>
  </si>
  <si>
    <t>The work was supported by grants from the Natural Science Foundation of China (No. 41761134050, 31572611, 31572598) and the Major Science Innovation Grant (2017-01-07-00-10-E00060) from the Shanghai Education Committee, the Key Achievement Supporting Grant from Laboratory for Marine Biology and Biotechnology, Qingdao National Laboratory for Marine Science and Technology to L. C., and the USA National Science Foundation Polar Programs grant ANT1142158 to C.H.C.C.</t>
  </si>
  <si>
    <t>2047-217X</t>
  </si>
  <si>
    <t>GigaScience</t>
  </si>
  <si>
    <t>giz016</t>
  </si>
  <si>
    <t>10.1093/gigascience/giz016</t>
  </si>
  <si>
    <t>Biology; Multidisciplinary Sciences</t>
  </si>
  <si>
    <t>Life Sciences &amp; Biomedicine - Other Topics; Science &amp; Technology - Other Topics</t>
  </si>
  <si>
    <t>IH9VT</t>
  </si>
  <si>
    <t>WOS:000474855400015</t>
  </si>
  <si>
    <t>Tulloch, VJD; Plagányi, ÉE; Brown, C; Richardson, AJ; Matear, R</t>
  </si>
  <si>
    <t>Tulloch, Vivitskaia J. D.; Plaganyi, Eva E.; Brown, Christopher; Richardson, Anthony J.; Matear, Richard</t>
  </si>
  <si>
    <t>Future recovery of baleen whales is imperiled by climate change</t>
  </si>
  <si>
    <t>Antarctic; ecosystem model; fisheries; global warming; migration; Multispecies model; predator-prey interactions; whaling</t>
  </si>
  <si>
    <t>KRILL EUPHAUSIA-SUPERBA; AUSTRALIAN COMMUNITY CLIMATE; SYSTEM SIMULATOR ACCESS-ESM1; SOUTHERN-OCEAN ECOSYSTEMS; ARCTIC MARINE MAMMALS; SAFE OPERATING SPACE; ANTARCTIC KRILL; PREDATOR DYNAMICS; CARBON-CYCLE; SCOTIA SEA</t>
  </si>
  <si>
    <t>Historical harvesting pushed many whale species to the brink of extinction. Although most Southern Hemisphere populations are slowly recovering, the influence of future climate change on their recovery remains unknown. We investigate the impacts of two anthropogenic pressures-historical commercial whaling and future climate change-on populations of baleen whales (blue, fin, humpback, Antarctic minke, southern right) and their prey (krill and copepods) in the Southern Ocean. We use a climate-biological coupled Model of Intermediate Complexity for Ecosystem Assessments (MICE) that links krill and whale population dynamics with climate change drivers, including changes in ocean temperature, primary productivity and sea ice. Models predict negative future impacts of climate change on krill and all whale species, although the magnitude of impacts on whales differs among populations. Despite initial recovery from historical whaling, models predict concerning declines under climate change, even local extinctions by 2100, for Pacific populations of blue, fin and southern right whales, and Atlantic/Indian fin and humpback whales. Predicted declines were a consequence of reduced prey (copepods/krill) from warming and increasing interspecific competition between whale species. We model whale population recovery under an alternative scenario whereby whales adapt their migratory patterns to accommodate changing sea ice in the Antarctic and a shifting prey base. Plasticity in range size and migration was predicted to improve recovery for ice-associated blue and minke whales. Our study highlights the need for ongoing protection to help depleted whale populations recover, as well as local management to ensure the krill prey base remains viable, but this may have limited success without immediate action to reduce emissions.</t>
  </si>
  <si>
    <t>[Tulloch, Vivitskaia J. D.] Univ Queensland, ARC Ctr Excellence Environm Decis, Brisbane, Qld, Australia; [Tulloch, Vivitskaia J. D.; Plaganyi, Eva E.; Richardson, Anthony J.] CSIRO Oceans &amp; Atmosphere, QBP, Brisbane, Qld, Australia; [Brown, Christopher] Griffith Univ, Australian Rivers Inst, Nathan, Qld, Australia; [Richardson, Anthony J.] Univ Queensland, Ctr Applicat Nat Resource Math, Sch Math &amp; Phys, St Lucia, Qld, Australia; [Matear, Richard] CSIRO Oceans &amp; Atmosphere, Hobart, Tas, Australia</t>
  </si>
  <si>
    <t>ARC Centre of Excellence for Environmental Decisions; University of Queensland; Commonwealth Scientific &amp; Industrial Research Organisation (CSIRO); Griffith University; University of Queensland; Commonwealth Scientific &amp; Industrial Research Organisation (CSIRO)</t>
  </si>
  <si>
    <t>Tulloch, VJD (corresponding author), Griffith Univ, Australian Rivers Inst, Sch Environm &amp; Sci, Nathan, Qld, Australia.</t>
  </si>
  <si>
    <t>v.tulloch-mcshane@griffith.edu.au</t>
  </si>
  <si>
    <t>Tulloch, Vivitskaia/GNH-4554-2022; Brown, Christopher J/G-4287-2011; Richardson, Anthony J/B-3649-2010; Plaganyi, Eva E/C-5130-2011; matear, richard/C-5133-2011; Tulloch, Vivitskaia/G-1336-2013</t>
  </si>
  <si>
    <t>Brown, Christopher J/0000-0002-7271-4091; Richardson, Anthony J/0000-0002-9289-7366; Plaganyi, Eva E/0000-0002-4740-4200; matear, richard/0000-0002-3225-0800; Tulloch, Vivitskaia/0000-0002-7673-3716</t>
  </si>
  <si>
    <t>Commonwealth Scientific and Industrial Research Organisation; Australian Research Council [DE160101207]; Centre of Excellence for Environmental Decisions, Australian Research Council; Australian Research Council [DE160101207] Funding Source: Australian Research Council</t>
  </si>
  <si>
    <t>Commonwealth Scientific and Industrial Research Organisation(Commonwealth Scientific &amp; Industrial Research Organisation (CSIRO)); Australian Research Council(Australian Research Council); Centre of Excellence for Environmental Decisions, Australian Research Council(Australian Research Council); Australian Research Council(Australian Research Council)</t>
  </si>
  <si>
    <t>Commonwealth Scientific and Industrial Research Organisation; Australian Research Council, Grant/Award Number: DE160101207; Centre of Excellence for Environmental Decisions, Australian Research Council</t>
  </si>
  <si>
    <t>10.1111/gcb.14573</t>
  </si>
  <si>
    <t>WOS:000461817500008</t>
  </si>
  <si>
    <t>Leles, SG; Mitra, A; Flynn, KJ; Tillmann, U; Stoecker, D; Jeong, HJ; Burkholder, J; Hansen, PJ; Caron, DA; Glibert, PM; Hallegraeff, G; Raven, JA; Sanders, RW; Zubkov, M</t>
  </si>
  <si>
    <t>Leles, Suzana Goncalves; Mitra, Aditee; Flynn, Kevin John; Tillmann, Urban; Stoecker, Diane; Jeong, Hae Jin; Burkholder, JoAnn; Hansen, Per Juel; Caron, David A.; Glibert, Patricia M.; Hallegraeff, Gustaaf; Raven, John A.; Sanders, Robert W.; Zubkov, Mikhail</t>
  </si>
  <si>
    <t>Sampling bias misrepresents the biogeographical significance of constitutive mixotrophs across global oceans</t>
  </si>
  <si>
    <t>GLOBAL ECOLOGY AND BIOGEOGRAPHY</t>
  </si>
  <si>
    <t>allometry; biogeography; global; Longhurst; mixotrophy; oceans; phytoplankton; taxonomy</t>
  </si>
  <si>
    <t>DINOFLAGELLATE; BACTERIVORY; PICOPLANKTON; ORGANISMS; DIVERSITY; PROTISTS</t>
  </si>
  <si>
    <t>Aim Most protist plankton are mixotrophic, with potential to engage in photoautotrophy and phagotrophy; however, the ecology of these organisms has been misdiagnosed for over a century. A large proportion of these organisms are constitutive mixotrophs (CMs), with an innate ability to photosynthesize. Here, for the first time, an analysis is presented of the biogeography of CMs across the oceans. Location Global marine ecosystems. Time period 1970-2018. Major taxa studied Marine planktonic protists. Methods Records for CM species, primarily from the Ocean Biogeographic Information System (OBIS), were grouped by taxonomy and size to evaluate sampling efforts across Longhurst's oceanic provinces. Biases were evaluated through nonparametric tests and multivariate analysis. Biogeographies of CMs from OBIS data were compared with data from studies that specifically targeted these organisms. Results Constitutive mixotrophs of different taxonomic groups, across all size ranges, are ubiquitous. However, strong database biases were detected with respect to organism size, taxonomic groups and region. A strong bias was seen towards dinophytes. Species &lt; 20 mu m, especially non-dinophytes, were least represented, with their recorded distribution limited to coastal regions and to temperate and polar seas. Studies specifically targeting these organisms revealed their distribution to be much wider. Such biases are likely to have occurred owing to a failure to capture and correctly identify these organisms in routine sampling protocols. Main conclusions Constitutive mixotrophs are dominant members of organisms traditionally termed phytoplankton. However, lack of routine protocols for measuring phagotrophy in phytoplankton protists has led to widespread misrepresentation of the fundamental nature of marine planktonic primary producers; most express both animal-like and plant-like nutrition. Our results have implications for studies of the global biogeography of plankton, of food web dynamics (including models) and of biogeochemical cycling in the oceans.</t>
  </si>
  <si>
    <t>[Leles, Suzana Goncalves; Mitra, Aditee; Flynn, Kevin John] Swansea Univ, Singleton Pk, Swansea SA2 8PP, W Glam, Wales; [Tillmann, Urban] Alfred Wegener Inst, Hemholtz Ctr Polar &amp; Marine Res, Bremerhaven, Germany; [Stoecker, Diane; Glibert, Patricia M.] Univ Maryland, Ctr Environm Sci, Horn Point Lab, Cambridge, MD USA; [Jeong, Hae Jin] Seoul Natl Univ, Coll Nat Sci, Sch Earth &amp; Environm Sci, Seoul, South Korea; [Burkholder, JoAnn] North Carolina State Univ, Dept Appl Ecol, Ctr Appl Aquat Ecol, Raleigh, NC USA; [Hansen, Per Juel] Univ Copenhagen, Marine Biol Sect, Dept Biol, Helsingor, Denmark; [Caron, David A.] Univ Southern Calif, Dept Biol Sci, Los Angeles, CA USA; [Hallegraeff, Gustaaf] Univ Tasmania, Inst Marine &amp; Antarctic Studies, Hobart, Tas, Australia; [Raven, John A.] Univ Dundee, James Hutton Inst, Div Plant Sci, Dundee, Scotland; [Raven, John A.] Univ Technol Sydney, Climate Change Cluster, Ultimo, NSW, Australia; [Sanders, Robert W.] Temple Univ, Dept Biol, Philadelphia, PA 19122 USA; [Zubkov, Mikhail] Scottish Marine Inst, SAMS, Oban, Argyll, Scotland</t>
  </si>
  <si>
    <t>Swansea University; Helmholtz Association; Alfred Wegener Institute, Helmholtz Centre for Polar &amp; Marine Research; University System of Maryland; University of Maryland Center for Environmental Science; Seoul National University (SNU); North Carolina State University; University of Copenhagen; University of Southern California; University of Tasmania; James Hutton Institute; University of Dundee; University of Technology Sydney; Pennsylvania Commonwealth System of Higher Education (PCSHE); Temple University</t>
  </si>
  <si>
    <t>Mitra, A (corresponding author), Swansea Univ, Singleton Pk, Swansea SA2 8PP, W Glam, Wales.</t>
  </si>
  <si>
    <t>a.mitra@swansea.ac.uk</t>
  </si>
  <si>
    <t>Sanders, Robert W./C-1116-2011; Hansen, Per Juel/AAX-6193-2020; Flynn, KJ/AAA-3232-2021; Leles, Suzana Gonçalves/M-1236-2019; Flynn, Kevin/AAA-3253-2021; Zubkov, Mikhail/AAW-9674-2020; Jeong, hae jin/B-8908-2009; Glibert, Patricia/AAG-4016-2022; Glibert, Patricia/AFK-5528-2022; Raven, John/JFS-3447-2023; Hallegraeff, Gustaaf/C-8351-2013; Hansen, Per Juel/E-9969-2011</t>
  </si>
  <si>
    <t>Sanders, Robert W./0000-0001-7264-1059; Leles, Suzana Gonçalves/0000-0002-7819-5851; Flynn, Kevin/0000-0001-6913-5884; Zubkov, Mikhail/0000-0001-7723-6810; Glibert, Patricia/0000-0001-5690-1674; Glibert, Patricia/0000-0001-5690-1674; Mitra, Aditee/0000-0001-5572-9331; Jeong, Hae Jin/0000-0003-3310-4335; Hallegraeff, Gustaaf/0000-0001-8464-7343; Hansen, Per Juel/0000-0003-0228-9621</t>
  </si>
  <si>
    <t>Conselho Nacional de Desenvolvimento Cientifico e Tecnologico [CNPq 232845/2014-0]; Leverhulme Trust [F00391V]</t>
  </si>
  <si>
    <t>Conselho Nacional de Desenvolvimento Cientifico e Tecnologico(Conselho Nacional de Desenvolvimento Cientifico e Tecnologico (CNPQ)); Leverhulme Trust(Leverhulme Trust)</t>
  </si>
  <si>
    <t>Conselho Nacional de Desenvolvimento Cientifico e Tecnologico, Grant/Award Number: CNPq 232845/2014-0; Leverhulme Trust, Grant/Award Number: Leverhulme International Networking Grant F00391V</t>
  </si>
  <si>
    <t>1466-822X</t>
  </si>
  <si>
    <t>1466-8238</t>
  </si>
  <si>
    <t>GLOBAL ECOL BIOGEOGR</t>
  </si>
  <si>
    <t>Glob. Ecol. Biogeogr.</t>
  </si>
  <si>
    <t>10.1111/geb.12853</t>
  </si>
  <si>
    <t>HN8BV</t>
  </si>
  <si>
    <t>Green Accepted, Green Published</t>
  </si>
  <si>
    <t>WOS:000460419900001</t>
  </si>
  <si>
    <t>Cantero, ALP</t>
  </si>
  <si>
    <t>Pena Cantero, Alvaro L.</t>
  </si>
  <si>
    <t>Benthic hydroids off Scott Island and the shelf and slope of the Ross Sea (Antarctica) collected during the IPY-CAML TAN0802 voyage by R/V Tangaroa</t>
  </si>
  <si>
    <t>MARINE BIODIVERSITY</t>
  </si>
  <si>
    <t>Hydrozoa; Biodiversity; New species; Deep-sea; Bathymetry; Biogeography</t>
  </si>
  <si>
    <t>ANTARCTOSCYPHUS PENA CANTERO; OSWALDELLA STECHOW; 1919 CNIDARIA; STAUROTHECA ALLMAN; GARCIA CARRASCOSA; R.V. POLARSTERN; SOUTHERN-OCEAN; RV POLARSTERN; HYDROZOA; EXPEDITIONS</t>
  </si>
  <si>
    <t>During the IPY-CAML TAN0802 survey with RV Tangaroa, marine communities on the shelf and slope of the Ross Sea, as well as around the remote Scott Island and seamounts east of the Balleny Islands, were sampled using various sampling gears (epibenthic sled, rough-bottom fish trawl, beam trawl and multicorer). Amongst the numerous benthic samples obtained, an important collection of hydroids was present. Thirty-five species, including Sertularella pseudovervoorti sp. nov., have been recorded. Anthoathecata are represented only by Bouillonia denhartogi. The collection is essentially dominated by Leptothecata, with 34 species, belonging to the families Lafoeidae, Haleciidae, Kirchenpaueriidae, Schizotrichidae, Sertularellidae, Staurothecidae, Symplectoscyphidae, Tiarannidae and Zygophylacidae. Symplectoscyphidae is by far the most diversified family with 12 species (34%), followed by Kirchenpaueriidae and Staurothecidae with 5 each (14%) and Haleciidae with 4 species (11%). At the generic level, Symplectoscyphus with seven species, Antarctoscyphus, Oswaldella and Staurotheca with five species and Halecium with four are the most speciose genera. Symplectoscyphus frondosus is clearly the species with the highest occurrence. The depth range of 15 species is increased, considerably in most cases. Several species so far considered to be inhabitants of the Antarctic shelf clearly extend their distribution to the slope. Twenty species were found on the shelf and slope of the Ross Sea, with Stegopoma plicatile representing the new single record for the area, raising the number of known species to 78. Ten species (including the new species) come from the virtually unknown area of Scott Island, 8 constituting new records, raising the number of species known in this isolated area to 11. Sixty-eight percent of the species are Antarctic endemic and 94% are restricted to Antarctic or Antarctic/sub-Antarctic waters.</t>
  </si>
  <si>
    <t>[Pena Cantero, Alvaro L.] Univ Valencia, Dept Zool, Inst Cavanilles Biodiversidad &amp; Biol Evolut, Apdo Correos 22085, Valencia 46071, Spain</t>
  </si>
  <si>
    <t>University of Valencia</t>
  </si>
  <si>
    <t>Cantero, ALP (corresponding author), Univ Valencia, Dept Zool, Inst Cavanilles Biodiversidad &amp; Biol Evolut, Apdo Correos 22085, Valencia 46071, Spain.</t>
  </si>
  <si>
    <t>alvaro.l.pena@uv.es</t>
  </si>
  <si>
    <t>Cantero, Álvaro Luis Peña/F-7888-2016</t>
  </si>
  <si>
    <t>Pena Cantero, Alvaro/0000-0003-3056-6673</t>
  </si>
  <si>
    <t>New Zealand Government under the New Zealand International Polar Year Census of Antarctic Marine Life Project [IPY2007-01, So001IPY]</t>
  </si>
  <si>
    <t>New Zealand Government under the New Zealand International Polar Year Census of Antarctic Marine Life Project</t>
  </si>
  <si>
    <t>I thank Dr. Ashley Rowden, National Institute of Water &amp; Atmospheric Research (NIWA), for giving me the opportunity to study the material. I also thank Sadie Mills and Dr. Kareen Schnabel, from the same institution, for their help with different aspects related to the collection. This research was funded by the New Zealand Government under the New Zealand International Polar Year Census of Antarctic Marine Life Project (Phase 1: So001IPY; Phase 2; IPY2007-01). I gratefully acknowledge project governance provided by the Ministry of Fisheries Science Team and the Ocean Survey 20/20 CAML Advisory Group (Land Information New Zealand, Ministry of Fisheries, Antarctica New Zealand, Ministry of Foreign Affairs and Trade, and National Institute of Water and Atmospheric Research).</t>
  </si>
  <si>
    <t>1867-1616</t>
  </si>
  <si>
    <t>1867-1624</t>
  </si>
  <si>
    <t>MAR BIODIVERS</t>
  </si>
  <si>
    <t>Mar. Biodivers.</t>
  </si>
  <si>
    <t>10.1007/s12526-018-0865-x</t>
  </si>
  <si>
    <t>Biodiversity Conservation; Marine &amp; Freshwater Biology</t>
  </si>
  <si>
    <t>Biodiversity &amp; Conservation; Marine &amp; Freshwater Biology</t>
  </si>
  <si>
    <t>HS2IP</t>
  </si>
  <si>
    <t>WOS:000463684600024</t>
  </si>
  <si>
    <t>Cubaynes, HC; Fretwell, PT; Bamford, C; Gerrish, L; Jackson, JA</t>
  </si>
  <si>
    <t>Cubaynes, Hannah C.; Fretwell, Peter T.; Bamford, Connor; Gerrish, Laura; Jackson, Jennifer A.</t>
  </si>
  <si>
    <t>Whales from space: Four mysticete species described using new VHR satellite imagery</t>
  </si>
  <si>
    <t>remote sensing; VHR satellite imagery; mysticete; baleen whale; Balaenoptera physalus; Megaptera novaeangliae; Eubalaena australis; Eschrichtius robustus</t>
  </si>
  <si>
    <t>WESTERN MEDITERRANEAN SEA; HUMPBACK WHALES; MEGAPTERA-NOVAEANGLIAE; STRIPED DOLPHINS; AERIAL SURVEYS; FIN WHALES; ABUNDANCE; BLUE; CALIFORNIA; RATES</t>
  </si>
  <si>
    <t>Large-bodied animals such as baleen whales can now be detected with very high resolution (VHR) satellite imagery, allowing for scientific studies of whales in remote and inaccessible areas where traditional survey methods are limited or impractical. Here we present the first study of baleen whales using the WorldView-3 satellite, which has a maximum spatial resolution of 31cm in the panchromatic band, the highest currently available to nonmilitary professionals. We manually detected, described, and counted four different mysticete species: fin whales (Balaenoptera physalus) in the Ligurian Sea, humpback whales (Megaptera novaeangliae) off Hawaii, southern right whales (Eubalaena australis) off Peninsula Valdes, and gray whales (Eschrichtius robustus) in Laguna San Ignacio. Visual and spectral analyses were conducted for each species, their surrounding waters, and nonwhale objects (e.g., boats). We found that behavioral and morphological differences made some species more distinguishable than others. Fin and gray whales were the easiest to discern due to their contrasting body coloration with surrounding water, and their prone body position, which is proximal to the sea surface (i.e., body parallel to the sea surface). These results demonstrate the feasibility of using VHR satellite technology for monitoring the great whales.</t>
  </si>
  <si>
    <t>[Cubaynes, Hannah C.; Fretwell, Peter T.; Bamford, Connor; Gerrish, Laura; Jackson, Jennifer A.] British Antarctic Survey, Madingley Rd, Cambridge CB3 0ET, England; [Cubaynes, Hannah C.] Univ Cambridge, Scott Polar Res Inst, Dept Geog, Lensfield Rd, Cambridge CB2 1ER, England; [Bamford, Connor] Univ Southampton, Univ Rd, Southampton SO17 1BJ, Hants, England</t>
  </si>
  <si>
    <t>UK Research &amp; Innovation (UKRI); Natural Environment Research Council (NERC); NERC British Antarctic Survey; University of Cambridge; University of Southampton</t>
  </si>
  <si>
    <t>Cubaynes, HC (corresponding author), British Antarctic Survey, Madingley Rd, Cambridge CB3 0ET, England.</t>
  </si>
  <si>
    <t>hcc57@cam.ac.uk</t>
  </si>
  <si>
    <t>Jackson, Jennifer A/E-7997-2013</t>
  </si>
  <si>
    <t>Jackson, Jennifer/0000-0003-4158-1924; Cubaynes, Hannah/0000-0002-9497-154X; Bamford, Connor/0000-0002-5732-7237</t>
  </si>
  <si>
    <t>MAVA Foundation [16035]; Natural Environment Research Council (NERC); Natural Environment Research Council [1940555] Funding Source: researchfish; NERC [bas0100035, bas010011] Funding Source: UKRI</t>
  </si>
  <si>
    <t>MAVA Foundation;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</si>
  <si>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was possible thanks to the MAVA Foundation for their financial support of the project Studying Whales from Space (16035). We are also thankful to DigitalGlobe for providing us with satellite imagery. This study represents a contribution to the Ecosystems Component of the British Antarctic Survey Polar Science for Planet Earth Programme, funded by the Natural Environment Research Council (NERC). We are grateful for the thoughtful comments and reviews of the three anonymous referees, which greatly improved the manuscript.</t>
  </si>
  <si>
    <t>10.1111/mms.12544</t>
  </si>
  <si>
    <t>hybrid, Green Accepted, Green Published</t>
  </si>
  <si>
    <t>WOS:000468040700005</t>
  </si>
  <si>
    <t>Zinger, L; Bonin, A; Alsos, IG; Balint, M; Bik, H; Boyer, F; Chariton, AA; Creer, S; Coissac, E; Deagle, BE; Barba, M; Dickie, IA; Dumbrell, AJ; Ficetola, GF; Fierer, N; Fumagalli, L; Gilbert, MTP; Jarman, S; Jumpponen, A; Kauserud, H; Orlando, L; Pansu, J; Pawlowski, J; Tedersoo, L; Thomsen, PF; Willerslev, E; Taberlet, P</t>
  </si>
  <si>
    <t>Zinger, Lucie; Bonin, Aurelie; Alsos, Inger G.; Balint, Miklos; Bik, Holly; Boyer, Frederic; Chariton, Anthony A.; Creer, Simon; Coissac, Eric; Deagle, Bruce E.; De Barba, Marta; Dickie, Ian A.; Dumbrell, Alex J.; Ficetola, Gentile Francesco; Fierer, Noah; Fumagalli, Luca; Gilbert, M. Thomas P.; Jarman, Simon; Jumpponen, Ari; Kauserud, Havard; Orlando, Ludovic; Pansu, Johan; Pawlowski, Jan; Tedersoo, Leho; Thomsen, Philip Francis; Willerslev, Eske; Taberlet, Pierre</t>
  </si>
  <si>
    <t>DNA metabarcoding-Need for robust experimental designs to draw sound ecological conclusions</t>
  </si>
  <si>
    <t>MOLECULAR ECOLOGY</t>
  </si>
  <si>
    <t>data quality; environmental DNA; experimental controls; replication</t>
  </si>
  <si>
    <t>MILLIONS</t>
  </si>
  <si>
    <t>[Zinger, Lucie] Univ PSL, CNRS, Ecole Normale Super, Inst Biol ENS IBENS,Dept Biol,INSERM, Paris, France; [Bonin, Aurelie; Boyer, Frederic; Coissac, Eric; De Barba, Marta; Ficetola, Gentile Francesco; Taberlet, Pierre] Univ Grenoble Alpes, CNRS, Lab Ecol Alpine LECA, Grenoble, France; [Alsos, Inger G.; Taberlet, Pierre] UiT Arctic Univ Norway, Tromso Museum, Tromso, Norway; [Balint, Miklos] Senckenberg Biodivers &amp; Climate Res Ctr, Frankfurt, Germany; [Balint, Miklos] LOEWE Ctr Translat Biodivers Genom LOEWE TBG, Frankfurt, Germany; [Bik, Holly] Univ Calif Riverside, Dept Nematol, Riverside, CA 92521 USA; [Chariton, Anthony A.; Pansu, Johan] Macquarie Univ, Dept Biol Sci, Sydney, NSW, Australia; [Creer, Simon] Bangor Univ, Sch Nat Sci, Bangor, Gwynedd, Wales; [Deagle, Bruce E.] Australian Antarctic Div, Kingston, Tas, Australia; [Dickie, Ian A.] Univ Canterbury, BioProtect Res Ctr, Sch Biol Sci, Christchurch, New Zealand; [Dumbrell, Alex J.] Univ Essex, Sch Biol Sci, Colchester, Essex, England; [Ficetola, Gentile Francesco] Univ Milan, Dept Environm Sci &amp; Policy, Milan, Italy; [Fierer, Noah] Univ Colorado, Dept Ecol &amp; Evolutionary Biol, Boulder, CO 80309 USA; [Fierer, Noah] Univ Colorado, Cooperat Inst Res Environm Sci, Boulder, CO 80309 USA; [Fumagalli, Luca] Univ Lausanne, Dept Ecol &amp; Evolut, Lab Conservat Biol, Lausanne, Switzerland; [Gilbert, M. Thomas P.] Univ Copenhagen, Biol Inst, Sect Evolutionary Genom, Copenhagen, Denmark; [Gilbert, M. Thomas P.] Norwegian Univ Sci &amp; Technol, Univ Museum, Trondheim, Norway; [Jarman, Simon] Curtin Univ, Dept Environm &amp; Agr, Trace &amp; Environm DNA Lab, Perth, WA, Australia; [Jarman, Simon] CSIRO Natl Collect &amp; Marine Infrastruct, Environ Future Sci Platform, Crawley, WA, Australia; [Jumpponen, Ari] Kansas State Univ, Div Biol, Ackert Hall, Manhattan, KS 66506 USA; [Kauserud, Havard] Univ Oslo, Sect Genet &amp; Evolutionary Biol EVOGENE, Oslo, Norway; [Orlando, Ludovic] Univ Paul Sabatier, Univ Toulouse, CNRS, UMR 5288,Lab Anthropobiol Mol &amp; Imagerie Synthese, Toulouse, France; [Orlando, Ludovic; Willerslev, Eske] Univ Copenhagen, Lundbeck Fdn, GeoGenet Ctr, Copenhagen, Denmark; [Pansu, Johan] Sorbonne Univ, CNRS, UMR 7144, Stn Biol Roscoff, Roscoff, France; [Pansu, Johan] CSIRO Ocean &amp; Atmosphere, Lucas Heights, NSW, Australia; [Pawlowski, Jan] ID Gene Ecodiagnost, Geneva, Switzerland; [Pawlowski, Jan] Univ Geneva, Dept Genet &amp; Evolut, Geneva, Switzerland; [Tedersoo, Leho] Univ Tartu, Inst Ecol &amp; Earth Sci, Tartu, Estonia; [Thomsen, Philip Francis] Univ Aarhus, Dept Biosci, Aarhus C, Denmark; [Willerslev, Eske] Univ Cambridge, Dept Zool, Cambridge, England; [Willerslev, Eske] Wellcome Trust Sanger Inst, Cambridge, England</t>
  </si>
  <si>
    <t>Institut National de la Sante et de la Recherche Medicale (Inserm); Centre National de la Recherche Scientifique (CNRS); Universite PSL; Ecole Normale Superieure (ENS); Communaute Universite Grenoble Alpes; Universite Grenoble Alpes (UGA); Centre National de la Recherche Scientifique (CNRS); Universite Savoie Mont Blanc; UiT The Arctic University of Tromso; Senckenberg Biodiversitat &amp; Klima- Forschungszentrum (BiK-F); Senckenberg Gesellschaft fur Naturforschung (SGN); University of California System; University of California Riverside; Macquarie University; Bangor University; Australian Antarctic Division; University of Canterbury; University of Essex; University of Milan; University of Colorado System; University of Colorado Boulder; University of Colorado System; University of Colorado Boulder; University of Lausanne; University of Copenhagen; Norwegian University of Science &amp; Technology (NTNU); Curtin University; Commonwealth Scientific &amp; Industrial Research Organisation (CSIRO); Kansas State University; University of Oslo; Universite de Toulouse; Universite Toulouse III - Paul Sabatier; Universites de Strasbourg Etablissements Associes; Universite de Strasbourg; Centre National de la Recherche Scientifique (CNRS); CNRS - Institute of Ecology &amp; Environment (INEE); Lundbeckfonden; University of Copenhagen; Centre National de la Recherche Scientifique (CNRS); CNRS - Institute of Ecology &amp; Environment (INEE); Sorbonne Universite; Commonwealth Scientific &amp; Industrial Research Organisation (CSIRO); University of Geneva; University of Tartu; Tartu University Institute of Ecology &amp; Earth Sciences; Aarhus University; University of Cambridge; Wellcome Trust Sanger Institute</t>
  </si>
  <si>
    <t>Zinger, L (corresponding author), PSL Res Univ, IBENS, Ecole Normale Super, Paris, France.</t>
  </si>
  <si>
    <t>lucie@zinger.fr</t>
  </si>
  <si>
    <t>ORLANDO, Ludovic/A-8932-2013; Tedersoo, Leho/ABE-7452-2020; Gilbert, Thomas/JSK-2650-2023; Deagle, Bruce E/R-2999-2019; Boyer, Frédéric/AAR-8176-2020; Coissac, Éric/AAE-8735-2019; Ficetola, Gentile Francesco/A-2813-2008; Thomsen, Philip Francis/AAE-9354-2019; Tedersoo, Leho/H-3541-2012; Dumbrell, Alex/JOZ-4243-2023; Zinger, Lucie/D-2527-2010; Taberlet, Pierre/D-1178-2010; Willerslev, Eske/A-9619-2011; Willerslev, Eske/AAA-5686-2019; Bonin, Aurélie/D-9492-2011; Chariton, Anthony/F-2373-2011; Alsos, Inger Greve/A-9507-2016; Pawlowski, Jan/JNS-6857-2023; ORLANDO, Ludovic/JEP-5411-2023; Gilbert, Marcus/A-8936-2013; Dickie, Ian/C-5419-2013</t>
  </si>
  <si>
    <t>ORLANDO, Ludovic/0000-0003-3936-1850; Deagle, Bruce E/0000-0001-7651-3687; Boyer, Frédéric/0000-0003-0021-9590; Coissac, Éric/0000-0001-7507-6729; Ficetola, Gentile Francesco/0000-0003-3414-5155; Thomsen, Philip Francis/0000-0002-9867-4366; Dumbrell, Alex/0000-0001-6282-3043; Zinger, Lucie/0000-0002-3400-5825; Willerslev, Eske/0000-0002-7081-6748; Chariton, Anthony/0000-0002-5809-3372; Bonin, Aurelie/0000-0001-7800-8609; Bik, Holly/0000-0002-4356-3837; Fumagalli, Luca/0000-0002-6648-2570; Pawlowski, Jan/0000-0003-2421-388X; Balint, Miklos/0000-0003-0499-8536; Gilbert, Marcus/0000-0002-5805-7195; Dickie, Ian/0000-0002-2740-2128; De Barba, Marta/0000-0002-2979-3716; Creer, Simon/0000-0003-3124-3550</t>
  </si>
  <si>
    <t>NERC [NE/N002431/1, NE/N006216/1, NE/N001710/1, NE/N005678/1, NE/N002105/1, NE/N003756/1] Funding Source: UKRI</t>
  </si>
  <si>
    <t>0962-1083</t>
  </si>
  <si>
    <t>1365-294X</t>
  </si>
  <si>
    <t>MOL ECOL</t>
  </si>
  <si>
    <t>Mol. Ecol.</t>
  </si>
  <si>
    <t>10.1111/mec.15060</t>
  </si>
  <si>
    <t>Biochemistry &amp; Molecular Biology; Ecology; Evolutionary Biology</t>
  </si>
  <si>
    <t>Biochemistry &amp; Molecular Biology; Environmental Sciences &amp; Ecology; Evolutionary Biology</t>
  </si>
  <si>
    <t>HY5WZ</t>
  </si>
  <si>
    <t>WOS:000468200800001</t>
  </si>
  <si>
    <t>Smale, DA; Wernberg, T; Oliver, ECJ; Thomsen, M; Harvey, BP; Straub, SC; Burrows, MT; Alexander, LV; Benthuysen, JA; Donat, MG; Feng, M; Hobday, AJ; Holbrook, NJ; Perkins-Kirkpatrick, SE; Scannell, HA; Sen Gupta, A; Payne, BL; Moore, PJ</t>
  </si>
  <si>
    <t>Smale, Dan A.; Wernberg, Thomas; Oliver, Eric C. J.; Thomsen, Mads; Harvey, Ben P.; Straub, Sandra C.; Burrows, Michael T.; Alexander, Lisa, V; Benthuysen, Jessica A.; Donat, Markus G.; Feng, Ming; Hobday, Alistair J.; Holbrook, Neil J.; Perkins-Kirkpatrick, Sarah E.; Scannell, Hillary A.; Sen Gupta, Alex; Payne, Ben L.; Moore, Pippa J.</t>
  </si>
  <si>
    <t>Marine heatwaves threaten global biodiversity and the provision of ecosystem services</t>
  </si>
  <si>
    <t>EL-NINO; MASS-MORTALITY; CLIMATE-CHANGE; RANGE SHIFTS; HEAT-WAVE; METAANALYSIS; IMPACTS; SUMMER; COMPETITION; ORGANISMS</t>
  </si>
  <si>
    <t>The global ocean has warmed substantially over the past century, with far-reaching implications for marine ecosystems(1). Concurrent with long-term persistent warming, discrete periods of extreme regional ocean warming (marine heatwaves, MHWs) have increased in frequency(2). Here we quantify trends and attributes of MHWs across all ocean basins and examine their biological impacts from species to ecosystems. Multiple regions in the Pacific, Atlantic and Indian Oceans are particularly vulnerable to MHW intensification, due to the co-existence of high levels of biodiversity, a prevalence of species found at their warm range edges or concurrent non-climatic human impacts. The physical attributes of prominent MHWs varied considerably, but all had deleterious impacts across a range of biological processes and taxa, including critical foundation species (corals, seagrasses and kelps). MHWs, which will probably intensify with anthropogenic climate change(3), are rapidly emerging as forceful agents of disturbance with the capacity to restructure entire ecosystems and disrupt the provision of ecological goods and services in coming decades.</t>
  </si>
  <si>
    <t>[Smale, Dan A.] Marine Biol Assoc UK, The Lab, Citadel Hill, Plymouth, Devon, England; [Smale, Dan A.; Wernberg, Thomas; Straub, Sandra C.] Univ Western Australia, UWA Oceans Inst, Crawley, WA, Australia; [Smale, Dan A.; Wernberg, Thomas; Straub, Sandra C.] Univ Western Australia, Sch Biol Sci, Crawley, WA, Australia; [Oliver, Eric C. J.] Dalhousie Univ, Dept Oceanog, Halifax, NS, Canada; [Oliver, Eric C. J.; Holbrook, Neil J.; Payne, Ben L.] Univ Tasmania, Inst Marine &amp; Antarctic Studies, Hobart, Tas, Australia; [Oliver, Eric C. J.] Univ Tasmania, Australian Res Council Ctr Excellence Climate Sys, Hobart, Tas, Australia; [Thomsen, Mads] Univ Canterbury, Sch Biol Sci, Ctr Integrat Ecol, Christchurch, New Zealand; [Thomsen, Mads] Univ Canterbury, Sch Biol Sci, Marine Ecol Res Grp, Christchurch, New Zealand; [Harvey, Ben P.; Moore, Pippa J.] Aberystwyth Univ, Inst Biol Environm &amp; Rural Sci, Aberystwyth, Dyfed, Wales; [Harvey, Ben P.] Univ Tsukuba, Shimoda Marine Res Ctr, Shizuoka, Japan; [Burrows, Michael T.] Scottish Assoc Marine Sci, Scottish Marine Inst, Dept Ecol, Oban, Argyll, Scotland; [Alexander, Lisa, V; Donat, Markus G.; Perkins-Kirkpatrick, Sarah E.; Sen Gupta, Alex] Univ New South Wales, Climate Change Res Ctr, Sydney, NSW, Australia; [Alexander, Lisa, V; Donat, Markus G.; Perkins-Kirkpatrick, Sarah E.; Sen Gupta, Alex] Univ New South Wales, Australian Res Council Ctr Excellence Climate Ext, Sydney, NSW, Australia; [Alexander, Lisa, V] Univ New South Wales, Australian Res Council Ctr Excellence Climate Sys, Sydney, NSW, Australia; [Benthuysen, Jessica A.] Australian Inst Marine Sci, Crawley, WA, Australia; [Donat, Markus G.] Barcelona Supercomp Ctr, Barcelona, Spain; [Feng, Ming] CSIRO Oceans &amp; Atmosphere, Crawley, WA, Australia; [Hobday, Alistair J.] CSIRO Oceans &amp; Atmosphere, Hobart, Tas, Australia; [Holbrook, Neil J.; Payne, Ben L.] Univ Tasmania, Australian Res Council Ctr Excellence Climate Ext, Hobart, Tas, Australia; [Scannell, Hillary A.] Univ Washington, Sch Oceanog, Seattle, WA 98195 USA; [Moore, Pippa J.] Edith Cowan Univ, Sch Nat Sci, Ctr Marine Ecosyst Res, Joondalup, WA, Australia</t>
  </si>
  <si>
    <t>Marine Biological Association United Kingdom; University of Western Australia; University of Western Australia; Dalhousie University; University of Tasmania; University of Tasmania; University of Canterbury; University of Canterbury; UK Research &amp; Innovation (UKRI); Biotechnology and Biological Sciences Research Council (BBSRC); Institute of Biological, Environmental, Rural &amp; Sciences (IBERS); Aberystwyth University; University of Tsukuba; UHI Millennium Institute; University of New South Wales Sydney; University of New South Wales Sydney; University of New South Wales Sydney; Australian Institute of Marine Science; Universitat Politecnica de Catalunya; Barcelona Supercomputer Center (BSC-CNS); Commonwealth Scientific &amp; Industrial Research Organisation (CSIRO); Commonwealth Scientific &amp; Industrial Research Organisation (CSIRO); University of Tasmania; University of Washington; University of Washington Seattle; Edith Cowan University</t>
  </si>
  <si>
    <t>Smale, DA (corresponding author), Marine Biol Assoc UK, The Lab, Citadel Hill, Plymouth, Devon, England.;Smale, DA (corresponding author), Univ Western Australia, UWA Oceans Inst, Crawley, WA, Australia.</t>
  </si>
  <si>
    <t>dansma@mba.ac.uk</t>
  </si>
  <si>
    <t>Harvey, Ben P/P-1061-2019; Thomsen, Mads/B-1204-2011; Hobday, Alistair/A-1460-2012; Moore, Pippa/H-8079-2013; Wernberg, Thomas/B-4172-2010; Moore, Pippa/HCH-3738-2022; Donat, Markus/J-8331-2012; Perkins-Kirkpatrick, Sarah E/O-5042-2015; Burrows, Michael/ABF-4844-2020; Feng, Ming/F-5411-2010; Harvey, Ben P/HGC-7584-2022; Smale, Daniel/Y-2909-2019; Oliver, Eric/G-5118-2014; Sen Gupta, Alexander/B-7995-2011; Holbrook, Neil/M-7544-2013; Alexander, Lisa/A-8477-2011</t>
  </si>
  <si>
    <t>Harvey, Ben P/0000-0002-4971-1634; Moore, Pippa/0000-0002-9889-2216; Wernberg, Thomas/0000-0003-1185-9745; Donat, Markus/0000-0002-0608-7288; Burrows, Michael/0000-0003-4620-5899; Harvey, Ben P/0000-0002-4971-1634; Smale, Daniel/0000-0003-4157-541X; Perkins-Kirkpatrick, Sarah/0000-0001-9443-4915; Benthuysen, Jessica/0000-0001-7615-6587; Oliver, Eric/0000-0002-4006-2826; Sen Gupta, Alexander/0000-0001-5226-871X; Holbrook, Neil/0000-0002-3523-6254; Alexander, Lisa/0000-0002-5635-2457; Straub, Sandra/0000-0003-2450-4978; Payne, Benjamin/0000-0001-6147-0848; Thomsen, Mads/0000-0003-4597-3343; Scannell, Hillary/0000-0002-6604-1695</t>
  </si>
  <si>
    <t>University of Western Australia Research Collaboration Award; Natural Environment Research Council (UK) International Opportunity Fund [NE/N00678X/1]; Independent Research Fellowship - Natural Environment Research Council (UK) [NE/K008439/1]; Australian Research Council [FT110100174, DP170100023, CE110001028, DE150100456]; ARC Centre of Excellence for Climate Extremes [CE170100023]; Brian Mason Trust; Marie Curie Career Integration Grant [PCIG10-GA-2011-303685]; Natural Environment Research Council (UK) Grant [NE/J024082/1]; Australian Government RTP Scholarship; NERC [NE/K008439/1, NE/N00678X/1, NE/J021938/1, NE/J022446/1, NE/J024082/1, NE/H017151/1] Funding Source: UKRI</t>
  </si>
  <si>
    <t>University of Western Australia Research Collaboration Award; Natural Environment Research Council (UK) International Opportunity Fund; Independent Research Fellowship - Natural Environment Research Council (UK); Australian Research Council(Australian Research Council); ARC Centre of Excellence for Climate Extremes; Brian Mason Trust; Marie Curie Career Integration Grant(Marie Curie Actions); Natural Environment Research Council (UK) Grant; Australian Government RTP Scholarship(Australian Government); NERC(UK Research &amp; Innovation (UKRI)Natural Environment Research Council (NERC))</t>
  </si>
  <si>
    <t>Concepts and analyses were developed during three workshops organized by an international working group on marine heatwaves (www.marineheatwaves.org). Workshops were primarily funded by a University of Western Australia Research Collaboration Award to T.W. and a Natural Environment Research Council (UK) International Opportunity Fund awarded to D.A.S. (NE/N00678X/1). D.A.S. is supported by an Independent Research Fellowship (NE/K008439/1) awarded by the Natural Environment Research Council (UK). The Australian Research Council supported T.W. (FT110100174 and DP170100023), E.C.J.O. (CE110001028) and M.G.D. (DE150100456). N.J.H. and L.V.A. are supported by the ARC Centre of Excellence for Climate Extremes (CE170100023). M.S.T was supported by the Brian Mason Trust. P.J.M. is supported by a Marie Curie Career Integration Grant (PCIG10-GA-2011-303685) and a Natural Environment Research Council (UK) Grant (NE/J024082/1). S.C.S. was supported by an Australian Government RTP Scholarship. This work contributes to the World Climate Research Programme Grand Challenge on Extremes, the NESP Earth Systems and Climate Change Hub Project 2.3 (Component 2) on the predictability of ocean temperature extremes, and the interests and activities of the International Commission on Climate of IAMAS/IUGG.</t>
  </si>
  <si>
    <t>10.1038/s41558-019-0412-1</t>
  </si>
  <si>
    <t>HQ4BG</t>
  </si>
  <si>
    <t>WOS:000462353800016</t>
  </si>
  <si>
    <t>Bergami, E; Emerenciano, AK; González-Aravena, M; Cárdenas, CA; Hernández, P; Silva, JRMC; Corsi, I</t>
  </si>
  <si>
    <t>Bergami, E.; Krupinski Emerenciano, A.; Gonzalez-Aravena, M.; Cardenas, C. A.; Hernandez, P.; Silva, J. R. M. C.; Corsi, I.</t>
  </si>
  <si>
    <t>Polystyrene nanoparticles affect the innate immune system of the Antarctic sea urchin Sterechinus neumayeri</t>
  </si>
  <si>
    <t>Nanoplastics; Antarctic marine organisms; Coelomocytes; Surface charge; Gene expression</t>
  </si>
  <si>
    <t>ENGINEERED NANOPARTICLES; LYTECHINUS-VARIEGATUS; OCEAN ACIDIFICATION; OXIDATIVE STRESS; BINDING PROTEIN; CELL-DEATH; MICROPLASTICS; METALLOTHIONEIN; ECHINODERMATA; ENVIRONMENT</t>
  </si>
  <si>
    <t>Plastic debris has been recognised as a potential stressor for Antarctic marine organisms. In this study, the effects of surface charged polystyrene nanoparticles (PS NPs) on the immune cells (coelomocytes) of the Antarctic sea urchin Sterechinus neumayeri were assessed through in vitro short-term cultures. The behaviour of anionic carboxylated (PS-COOH) and cationic amino-modified (PS-NH2) NPs in filtered natural sea water (NSW) from King George Island (South Shetland Islands) was characterised by dynamic light scattering. Cellular morphology, NP uptake, phagocytic capacity and gene expression were evaluated after 6 and 24h of exposure to 1 and 5 mu gmL(-1) PS NPs. Secondary characterisation showed an initial good dispersion of PS NPs in NSW, followed by nano-scale aggregation after 24h. Both PS NPs affected cellular phagocytosis and generated an inflammatory response against oxidative stress and apoptosis at the molecular level. Fluorescently labelled PS-COOH aggregates were internalised by phagocytes and associated to the modulation of genes related to external challenges, antioxidant responses and cell protection against stress and apoptosis. Exposure to PS-NH2 caused a strong decrease in phagocytic capacity and the formation of cellular debris at 5 mu gmL(-1) after 24h, but low gene modulation, suggesting a threshold in coelomocytes defence ability against PS-NH2. This study represents the first attempt to assess the impact of nanoplastics on Antarctic marine organisms. Our findings demonstrate that PS NPs with different surface charges constitute a challenge for S. neumayeri immune cells.</t>
  </si>
  <si>
    <t>[Bergami, E.; Corsi, I.] Univ Siena, Dept Phys Earth &amp; Environm Sci, Via Mattioli 4, I-53100 Siena, Italy; [Krupinski Emerenciano, A.; Silva, J. R. M. C.] Univ Sao Paulo, Inst Biomed Sci, Dept Cell &amp; Dev Biol, Av Prof Lineu Prestes 1524, BR-05509900 Sao Paulo, SP, Brazil; [Gonzalez-Aravena, M.; Cardenas, C. A.; Hernandez, P.] Chilean Antarctic Inst, Sci Dept, Plaza Munoz Gamero 1055, Punta Arenas 6200965, Chile</t>
  </si>
  <si>
    <t>University of Siena; Universidade de Sao Paulo</t>
  </si>
  <si>
    <t>Bergami, E (corresponding author), Univ Siena, Dept Phys Earth &amp; Environm Sci, Via Mattioli 4, I-53100 Siena, Italy.</t>
  </si>
  <si>
    <t>elisa.bergami@unisi.it</t>
  </si>
  <si>
    <t>Bergami, Elisa/JFJ-1703-2023; González, Marcelo/ABF-1450-2020; Corsi, Ilaria/D-3795-2012; Cardenas, Cesar/ABF-1664-2020; Machado Cunha da Silva, Jose Robhttp://buscatextual.cnpq.br/buscatextual/visualizacv.do?id=K4790649H9erto/H-7496-2016</t>
  </si>
  <si>
    <t>Bergami, Elisa/0000-0001-8149-9584; Corsi, Ilaria/0000-0002-1811-3041; Cardenas, Cesar/0000-0001-6662-6899; Machado Cunha da Silva, Jose Robhttp://buscatextual.cnpq.br/buscatextual/visualizacv.do?id=K4790649H9erto/0000-0002-1687-8526; Gonzalez, Marcelo/0000-0001-9986-9504</t>
  </si>
  <si>
    <t>Italian National Antarctic Program [PNRA 14_00090]; Brazilian Antarctic Program [PROANTAR 407904/2013-1]; Chilean Antarctic Institute (INACH); Centre of Facilities to Support Research, University of SAo Paulo CEFAP-USP [FAPESP 2009/53994-8]</t>
  </si>
  <si>
    <t>Italian National Antarctic Program; Brazilian Antarctic Program; Chilean Antarctic Institute (INACH); Centre of Facilities to Support Research, University of SAo Paulo CEFAP-USP</t>
  </si>
  <si>
    <t>This study was performed in the framework of Plastics in Antarctic EnvironmenT (PLANET) project, funded by the Italian National Antarctic Program (PNRA 14_00090), in collaboration with the Brazilian Antarctic Program (PROANTAR 407904/2013-1) and the Chilean Antarctic Institute (INACH). The authors gratefully acknowledge Javier Cristobo (Spanish Institute of Oceanography IEO) for providing the animals, Mario Costa Cruz and Prof. Chao Yun Irene Yan (Centre of Facilities to Support Research, University of SAo Paulo CEFAP-USP, FAPESP 2009/53994-8) for their valuable support in confocal microscopy. Nanoparticle characterisation by Dynamic Light Scattering analysis was conducted at facilities of the Department of Biotechnologies, Chemistry and Pharmacy of the University of Siena (Italy).</t>
  </si>
  <si>
    <t>10.1007/s00300-019-02468-6</t>
  </si>
  <si>
    <t>WOS:000461817700008</t>
  </si>
  <si>
    <t>Henley, SF; Schofield, OM; Hendry, KR; Schloss, IR; Steinberg, DK; Moffat, C; Peck, LS; Costa, DP; Bakker, DCE; Hughes, C; Rozema, PD; Ducklow, HW; Abele, D; Stefels, J; Van Leeuwe, MA; Brussaard, CPD; Buma, AGJ; Kohut, J; Sahade, R; Friedlaender, AS; Stammerjohn, SE; Venables, HJ; Meredith, MP</t>
  </si>
  <si>
    <t>Henley, Sian F.; Schofield, Oscar M.; Hendry, Katharine R.; Schloss, Irene R.; Steinberg, Deborah K.; Moffat, Carlos; Peck, Lloyd S.; Costa, Daniel P.; Bakker, Dorothee C. E.; Hughes, Claire; Rozema, Patrick D.; Ducklow, Hugh W.; Abele, Doris; Stefels, Jacqueline; Van Leeuwe, Maria A.; Brussaard, Corina P. D.; Buma, Anita G. J.; Kohut, Josh; Sahade, Ricardo; Friedlaender, Ari S.; Stammerjohn, Sharon E.; Venables, Hugh J.; Meredith, Michael P.</t>
  </si>
  <si>
    <t>Variability and change in the west Antarctic Peninsula marine system: Research priorities and opportunities</t>
  </si>
  <si>
    <t>Physical oceanography; Nutrient and carbon cycling; Ecosystems; Primary production; Sea ice; Climate change</t>
  </si>
  <si>
    <t>KING GEORGE ISLAND; NORTHERN MARGUERITE BAY; KRILL EUPHAUSIA-SUPERBA; SOUTH SHETLAND ISLANDS; CIRCUMPOLAR DEEP-WATER; MICROBIAL COMMUNITY COMPOSITION; PENGUIN POPULATION-CHANGES; DISSOLVED ORGANIC-CARBON; SEA-ICE LOSSES; CLIMATE-CHANGE</t>
  </si>
  <si>
    <t>The west Antarctic Peninsula (WAP) region has undergone significant changes in temperature and seasonal ice dynamics since the mid-twentieth century, with strong impacts on the regional ecosystem, ocean chemistry and hydrographic properties. Changes to these long-term trends of warming and sea ice decline have been observed in the 21st century, but their consequences for ocean physics, chemistry and the ecology of the high-productivity shelf ecosystem are yet to be fully established. The WAP shelf is important for regional krill stocks and higher trophic levels, whilst the degree of variability and change in the physical environment and documented biological and biogeochemical responses make this a model system for how climate and sea ice changes might restructure highlatitude ecosystems. Although this region is arguably the best-measured and best-understood shelf region around Antarctica, significant gaps remain in spatial and temporal data capable of resolving the atmosphere-ice-ocean-ecosystem feedbacks that control the dynamics and evolution of this complex polar system. Here we summarise the current state of knowledge regarding the key mechanisms and interactions regulating the physical, biogeochemical and biological processes at work, the ways in which the shelf environment is changing, and the ecosystem response to the changes underway. We outline the overarching cross-disciplinary priorities for future research, as well as the most important discipline-specific objectives. Underpinning these priorities and objectives is the need to better define the causes, magnitude and timescales of variability and change at all levels of the system. A combination of traditional and innovative approaches will be critical to addressing these priorities and developing a co-ordinated observing system for the WAP shelf, which is required to detect and elucidate change into the future.</t>
  </si>
  <si>
    <t>[Henley, Sian F.] Univ Edinburgh, Sch GeoSci, James Hutton Rd, Edinburgh EH9 3FE, Midlothian, Scotland; [Schofield, Oscar M.; Kohut, Josh] Rutgers State Univ, Dept Marine &amp; Coastal Sci, 71 Dudley Rd, New Brunswick, NJ 08901 USA; [Hendry, Katharine R.] Univ Bristol, Sch Earth Sci, Queens Rd, Bristol BS8 1RJ, Avon, England; [Schloss, Irene R.] Inst Antartico Argentina, Buenos Aires, DF, Argentina; [Schloss, Irene R.] Ctr Austral Invest Cient, Bernardo Houssay 200,V9410CAB, Ushuaia, Argentina; [Schloss, Irene R.] Univ Nacl Tierra Fuego, Ushuaia, Argentina; [Steinberg, Deborah K.] Coll William &amp; Mary, Virginia Inst Marine Sci, Gloucester Point, VA 23062 USA; [Moffat, Carlos] Univ Delaware, Sch Marine Sci &amp; Policy, Newark, DE 19716 USA; [Peck, Lloyd S.; Venables, Hugh J.; Meredith, Michael P.] British Antarctic Survey, Madingley Rd, Cambridge CB3 0ET, England; [Costa, Daniel P.] Univ Calif Santa Cruz, Ecol &amp; Evolutionary Biol Dept, 100 Shaffer Rd, Santa Cruz, CA 95060 USA; [Bakker, Dorothee C. E.] Univ East Anglia, Ctr Ocean &amp; Atmospher Sci, Norwich Res Pk, Norwich NR4 7TJ, Norfolk, England; [Hughes, Claire] Univ York, Environm Dept, York YO10 5NG, N Yorkshire, England; [Rozema, Patrick D.; Stefels, Jacqueline; Van Leeuwe, Maria A.; Buma, Anita G. J.] Univ Groningen, GELIFES, Nijenborgh 7, NL-9747 AG Groningen, Netherlands; [Ducklow, Hugh W.] Columbia Univ, Lamont Doherty Earth Observ, 61 Route 9W, Palisades, NY 10964 USA; [Abele, Doris] Helmholtz Ctr Polar &amp; Marine Res, Alfred Wegener Inst, Handelshafen 12, D-27570 Bremerhaven, Germany; [Brussaard, Corina P. D.] Royal Netherlands Inst Sea Res, NL-1790 AB Den Burg, Texel, Netherlands; [Sahade, Ricardo] Univ Nacl Cordoba, Inst Diversidad &amp; Ecol Anim, Ave Velez Sarsfield 299, RA-5000 Cordoba, Argentina; [Friedlaender, Ari S.] Oregon State Univ, Marine Mammal Inst, Newport, OR 97365 USA; [Friedlaender, Ari S.] Oregon State Univ, Dept Fisheries &amp; Wildlife, Newport, OR 97365 USA; [Stammerjohn, Sharon E.] Univ Colorado, Inst Arctic &amp; Alpine Res, Campus Box 450, Boulder, CO 80309 USA</t>
  </si>
  <si>
    <t>University of Edinburgh; Rutgers University System; Rutgers University New Brunswick; University of Bristol; Instituto Antartico Argentino; William &amp; Mary; Virginia Institute of Marine Science; University of Delaware; UK Research &amp; Innovation (UKRI); Natural Environment Research Council (NERC); NERC British Antarctic Survey; University of California System; University of California Santa Cruz; University of East Anglia; University of York - UK; University of Groningen; Columbia University; Helmholtz Association; Alfred Wegener Institute, Helmholtz Centre for Polar &amp; Marine Research; Utrecht University; Royal Netherlands Institute for Sea Research (NIOZ); National University of Cordoba; Oregon State University; Oregon State University; University of Colorado System; University of Colorado Boulder</t>
  </si>
  <si>
    <t>Henley, SF (corresponding author), Univ Edinburgh, Sch GeoSci, James Hutton Rd, Edinburgh EH9 3FE, Midlothian, Scotland.</t>
  </si>
  <si>
    <t>s.f.henley@ed.ac.uk</t>
  </si>
  <si>
    <t>Buma, Anita GJ/E-8372-2015; Carlos, Universidade Federal de São/W-8832-2019; Moffat, Carlos F/B-3565-2015; Rozema, Patrick D/J-9546-2016; Costa, Daniel Paul/E-2616-2013; Schofield, Oscar/H-4169-2018; Hendry, Katharine/E-4793-2011; Bakker, Dorothee/E-4951-2015</t>
  </si>
  <si>
    <t>Carlos, Universidade Federal de São/0000-0002-0334-3899; Moffat, Carlos F/0000-0002-7768-8275; Henley, Sian Frances/0000-0003-1221-1983; Meredith, Michael/0000-0002-7342-7756; Abele, Doris/0000-0002-5766-5017; Costa, Daniel Paul/0000-0002-0233-5782; Steinberg, Deborah K./0000-0001-9884-4655; Schofield, Oscar/0000-0003-2359-4131; Hendry, Katharine/0000-0002-0790-5895; Bakker, Dorothee/0000-0001-9234-5337</t>
  </si>
  <si>
    <t>Southern Ocean Observing System (SOOS); Scientific Committees for Antarctic and Oceanic Research (SCAR); (SCOR); British Antarctic Survey; Royal Society [IS160003]; UK Natural Environment Research Council (NERC) through an Independent Research Fellowship [NE/K010034/1]; British Antarctic Survey's Polar Oceans and Biodiversity, Evolution and Adaptation programs; U.S. National Science Foundation [PLR-1440435]; NSF-OPP Grant [1644256]; EU [318718]; Dutch Science Foundation; Palmer LTER project [3812]; Virginia Institute of Marine Science; NERC [NE/K010034/1, NE/J007501/1, bas0100036, bas0100033] Funding Source: UKRI</t>
  </si>
  <si>
    <t>Southern Ocean Observing System (SOOS); Scientific Committees for Antarctic and Oceanic Research (SCAR); (SCOR); British Antarctic Survey; Royal Society(Royal Society); UK Natural Environment Research Council (NERC) through an Independent Research Fellowship(UK Research &amp; Innovation (UKRI)Natural Environment Research Council (NERC)); British Antarctic Survey's Polar Oceans and Biodiversity, Evolution and Adaptation programs; U.S. National Science Foundation(National Science Foundation (NSF)); NSF-OPP Grant; EU(European Union (EU)); Dutch Science Foundation(Netherlands Organization for Scientific Research (NWO)); Palmer LTER project; Virginia Institute of Marine Science; NERC(UK Research &amp; Innovation (UKRI)Natural Environment Research Council (NERC))</t>
  </si>
  <si>
    <t>This manuscript has emerged from a sequence of international meetings supported by the Southern Ocean Observing System (SOOS), the Scientific Committees for Antarctic and Oceanic Research (SCAR and SCOR), the British Antarctic Survey and the Royal Society (International Scientific Seminar grant IS160003). This work was supported by the UK Natural Environment Research Council (NERC) through an Independent Research Fellowship to SFH (NE/K010034/1), the British Antarctic Survey's Polar Oceans and Biodiversity, Evolution and Adaptation programs, and diverse other awards. This work was also supported by U.S. National Science Foundation grant PLR-1440435 to HWD, OMS, DKS and ASF. CM was funded by NSF-OPP Grant #1703310. DPC was supported by NSF-OPP Grant #1644256. We gratefully acknowledge AWI's persistent support of Dallmann research work at Carlini station and funding of the EU research network IMCONet (FP7 IRSES, Action No. 318718) with Argentina. We thank the Dutch Science Foundation for supporting polar sciences. This is contribution #619 from the Palmer LTER project and 3812 from the Virginia Institute of Marine Science.</t>
  </si>
  <si>
    <t>10.1016/j.pocean.2019.03.003</t>
  </si>
  <si>
    <t>Green Published, Green Submitted, Green Accepted, hybrid</t>
  </si>
  <si>
    <t>WOS:000471739000015</t>
  </si>
  <si>
    <t>Dang, M; Basson, L; Bach, L; Sonne, C; Norregaard, R; Nowak, B</t>
  </si>
  <si>
    <t>Dang, Mai; Basson, Linda; Bach, Lis; Sonne, Christian; Norregaard, Rasmus; Nowak, Barbara</t>
  </si>
  <si>
    <t>Trichodinid infections in internal organs of shorthorn sculpin (Myoxocephalus scorpius) collected around an industrial harbour in Nuuk, Greenland</t>
  </si>
  <si>
    <t>PARASITOLOGY</t>
  </si>
  <si>
    <t>Endozoic trichodinid; Nuuk; parasite; shorthorn sculpin</t>
  </si>
  <si>
    <t>FRESH-WATER FISHES; PAPER-MILL EFFLUENT; ECTOPARASITES CILIOPHORA; URINARY-BLADDER; PERITRICHIA; PULP; PARASITE; SEDIMENTS; EXPOSURE; VALUES</t>
  </si>
  <si>
    <t>Trichodinids are parasites generally found on gills and skin of a broad number of aquatic animals. Only a small number of endozoic species has been reported from the urinary tract, intestine and urogenital system in some fish, amphibians and molluscs. This is the first report on the presence of endozoic trichodinids in the spleen, kidney and liver of shorthorn sculpin (Myoxocephalus scorpius). In the present study, trichodinids displayed some of the typical morphological characteristics of endozoic trichodinids with narrow blades and straight rays of adhesive disc denticles. The parasites were observed at a relatively high prevalence (23.9%). There was a positive correlation between intensity of endozoic trichodinids in the internal organs and ectozoic trichodinids on the gills (R = 0.5, n = 46, P &lt; 0.001) whereas there was no correlation between intensity of endozoic trichodinids and the host's body length, body weight or liver weight. Infection levels of endozoic trichodinids were not dependent upon sculpin sex and there was no effect of sampling locations on prevalence and intensity of endozoic trichodinids.</t>
  </si>
  <si>
    <t>[Dang, Mai; Nowak, Barbara] Univ Tasmania, Inst Marine &amp; Antarctic Studies, Launceston, Tas 7250, Australia; [Dang, Mai] Inst Vet Res &amp; Dev Cent Vietnam, Dept Bacteriol, Km 4,2-4 St, Nha Trang, Khanh Hoa, Vietnam; [Basson, Linda] Univ Free State, Dept Zool &amp; Entomol, POB 339, ZA-9300 Bloemfontein, South Africa; [Bach, Lis; Sonne, Christian; Norregaard, Rasmus; Nowak, Barbara] Aarhus Univ, Fac Sci &amp; Technol, Arctic Res Ctr, Dept Biosci, Frederiksborgvej 399,POB 358, DK-4000 Roskilde, Denmark</t>
  </si>
  <si>
    <t>University of Tasmania; University of the Free State; Aarhus University</t>
  </si>
  <si>
    <t>Nowak, B (corresponding author), Univ Tasmania, Inst Marine &amp; Antarctic Studies, Launceston, Tas 7250, Australia.;Nowak, B (corresponding author), Aarhus Univ, Fac Sci &amp; Technol, Arctic Res Ctr, Dept Biosci, Frederiksborgvej 399,POB 358, DK-4000 Roskilde, Denmark.</t>
  </si>
  <si>
    <t>b.nowak@utas.edu.au</t>
  </si>
  <si>
    <t>Sonne, Christian/0000-0001-5723-5263; Dang, Mai T. S./0000-0003-2542-120X; Nowak, Barbara/0000-0002-0347-643X; Bach, Lis/0000-0003-2891-4202</t>
  </si>
  <si>
    <t>0031-1820</t>
  </si>
  <si>
    <t>1469-8161</t>
  </si>
  <si>
    <t>10.1017/S0031182018001774</t>
  </si>
  <si>
    <t>HP4HZ</t>
  </si>
  <si>
    <t>WOS:000461638300010</t>
  </si>
  <si>
    <t>Duffy, GA; Lee, JR</t>
  </si>
  <si>
    <t>Duffy, Grant A.; Lee, Jasmine R.</t>
  </si>
  <si>
    <t>Ice-free area expansion compounds the non-native species threat to Antarctic terrestrial biodiversity</t>
  </si>
  <si>
    <t>BIOLOGICAL CONSERVATION</t>
  </si>
  <si>
    <t>BIOLOGICAL INVASIONS; POA-ANNUA; DISPERSAL; INCURSION; RISK</t>
  </si>
  <si>
    <t>Warming across ice-covered regions will result in changes to both the physical and climatic environment, revealing new ice-free habitat and new climatically suitable habitats for non-native species establishment. Recent studies have independently quantified each of these aspects in Antarctica, where ice-free areas form crucial habitat for the majority of terrestrial biodiversity. Here we synthesise projections of Antarctic ice-free area expansion, recent spatial predictions of non-native species risk, and the frequency of human activities to quantify how these facets of anthropogenic change may interact now and in the future. Under a high-emissions future climate scenario, over a quarter of ice-free area and over 80% of the similar to 14 thousand km(2) of newly uncovered ice-free area could be vulnerable to invasion by one or more of the modelled non-native species by the end of the century. Ice-free areas identified as vulnerable to non-native species establishment were significantly closer to human activity than unsuitable areas were. Furthermore, almost half of the new vulnerable ice-free area is within 20 km of a site of current human activity. The Antarctic Peninsula, where human activity is heavily concentrated, will be at particular risk. The implications of this for conservation values of Antarctica and the management efforts required to mitigate against it are in need of urgent consideration.</t>
  </si>
  <si>
    <t>[Duffy, Grant A.; Lee, Jasmine R.] Monash Univ, Sch Biol Sci, Clayton, Vic 3800, Australia; [Lee, Jasmine R.] Univ Queensland, Ctr Biodivers &amp; Conservat Sci, Sch Biol Sci, Brisbane, Qld 4072, Australia</t>
  </si>
  <si>
    <t>Monash University; University of Queensland</t>
  </si>
  <si>
    <t>Duffy, GA (corresponding author), Monash Univ, Sch Biol Sci, Clayton, Vic 3800, Australia.</t>
  </si>
  <si>
    <t>grant.duffy@monash.edu; jasmine.lee1@uqconnect.edu.au</t>
  </si>
  <si>
    <t>Lee, Jasmine/0000-0003-3847-1679</t>
  </si>
  <si>
    <t>Government of the Principality of Monaco; Theo Murphy (Australia) Fund; Australian Research Council Discovery Early Career Researcher Award - Australian Government [DE190100003]; Australian Antarctic Science Project [4297, 4307]; Australian Government Research Training Program Scholarship; Australian Research Council [DE190100003] Funding Source: Australian Research Council</t>
  </si>
  <si>
    <t>Government of the Principality of Monaco; Theo Murphy (Australia) Fund; Australian Research Council Discovery Early Career Researcher Award - Australian Government(Australian Research Council); Australian Antarctic Science Project; Australian Government Research Training Program Scholarship(Australian GovernmentDepartment of Industry, Innovation and Science); Australian Research Council(Australian Research Council)</t>
  </si>
  <si>
    <t>This collaboration was facilitated by the Royal Society Commonwealth Science Conference 2017, and meetings supported by the Government of the Principality of Monaco (Gouvernement Princier, Principaute de Monaco), and Theo Murphy (Australia) Fund. GAD is the recipient of an Australian Research Council Discovery Early Career Researcher Award (DE190100003) funded by the Australian Government and was also supported by Australian Antarctic Science Project 4307. JRL was supported by Australian Antarctic Science Project 4297 and an Australian Government Research Training Program Scholarship. The views expressed herein are those of the authors and are not necessarily those of the Government of the Principality of Monaco, the Australian Government, or Australian Research Council. We thank Helena Baird, Steven Chown, Rachel Leihy, Justine Shaw, and Aleks Terauds for their comments on previous versions of this manuscript.</t>
  </si>
  <si>
    <t>0006-3207</t>
  </si>
  <si>
    <t>1873-2917</t>
  </si>
  <si>
    <t>BIOL CONSERV</t>
  </si>
  <si>
    <t>Biol. Conserv.</t>
  </si>
  <si>
    <t>10.1016/j.biocon.2019.02.014</t>
  </si>
  <si>
    <t>HO5UG</t>
  </si>
  <si>
    <t>WOS:000460992700026</t>
  </si>
  <si>
    <t>Petenko, I; Argentini, S; Casasanta, G; Genthon, C; Kallistratova, M</t>
  </si>
  <si>
    <t>Petenko, Igor; Argentini, Stefania; Casasanta, Giampietro; Genthon, Christophe; Kallistratova, Margarita</t>
  </si>
  <si>
    <t>Stable Surface-Based Turbulent Layer During the Polar Winter at Dome C, Antarctica: Sodar and In Situ Observations</t>
  </si>
  <si>
    <t>Dome C Antarctica; Internal gravity-shear waves; High-resolution sodar; Stable boundary layer; Surface-based turbulent layer</t>
  </si>
  <si>
    <t>ATMOSPHERIC BOUNDARY-LAYER; CRITICAL RICHARDSON-NUMBER; INTERMITTENT TURBULENCE; SELF-CORRELATION; PART I; WAVES; REGIMES; HEIGHT; LAND; OSCILLATIONS</t>
  </si>
  <si>
    <t>An experiment to investigate atmospheric turbulence was performed at Concordia station (Dome C, Antarctica) during winter 2012, finding significant turbulence in a near-surface layer extending to heights of a few tens of metres, despite the strong stable stratification. The spatial and temporal behaviour of thermal turbulence is examined using a high-resolution sodar, starting from the lowest few metres with a vertical resolution better than 2m. Sodar observations are complemented by in situ measurements using a weather station and radiometers near the surface, temperature and wind-speed sensors at six levels on a 45-m tower, and radiosondes. The depth of the surface-based turbulent layer (SBTL) at Dome C during the whole winter is directly measured experimentally for the first time, and has an average depth of approximate to 23m, varying from a few to several tens of metres, while the inversion-layer depth approximate to 380m. Relationships between the depth of the SBTL and atmospheric parameters such as the temperature, wind speed, longwave radiation, Brunt-Vaisala frequency and Richardson number are shown. The SBTL under steady weather conditions is analyzed and classified into three prevailing types: (i) a very shallow layer with a depth&lt;15m, (ii) a shallow layer of depth 15-70m with uniform internal structure, (iii) a shallow layer of depth 20-70m with waves. Wave activity in the SBTL is observed during a significant portion of the time, with sometimes regular (with periodicity of 8-15min) trains of Kelvin-Helmholtz billow-like waves occurring at periods of 20-60s, and lasting several hours.</t>
  </si>
  <si>
    <t>[Petenko, Igor; Argentini, Stefania; Casasanta, Giampietro] CNR, Inst Atmospher Sci &amp; Climate, Rome, Italy; [Petenko, Igor; Kallistratova, Margarita] RAS, AM Obukhov Inst Atmospher Phys, Moscow, Russia; [Genthon, Christophe] CNRS, Lab Meteolor Dynam, Paris, France</t>
  </si>
  <si>
    <t>Consiglio Nazionale delle Ricerche (CNR); Istituto di Scienze dell'Atmosfera e del Clima (ISAC-CNR); Russian Academy of Sciences; Obukhov Institute of Atmospheric Physics of Russian Academy of Sciences; Centre National de la Recherche Scientifique (CNRS)</t>
  </si>
  <si>
    <t>Petenko, I (corresponding author), CNR, Inst Atmospher Sci &amp; Climate, Rome, Italy.;Petenko, I (corresponding author), RAS, AM Obukhov Inst Atmospher Phys, Moscow, Russia.</t>
  </si>
  <si>
    <t>i.petenko@isac.cnr.it</t>
  </si>
  <si>
    <t>Kallistratova, Margarita/AAO-2840-2021</t>
  </si>
  <si>
    <t>PNRA; Russian Foundation for Basic Research [16-05-01072]</t>
  </si>
  <si>
    <t>PNRA; Russian Foundation for Basic Research(Russian Foundation for Basic Research (RFBR)Spanish Government)</t>
  </si>
  <si>
    <t>We thank the Italian National Programme of Researches in Antarctica (PNRA) and the Paul-Emile Victor French Polar Institute (IPEV) running the Concordia station for making possible a study in this special place. This research has been done in the framework of the projects Mass lost in wind flux (MALOX), and Concordia multi-process atmospheric studies (COMPASS) sponsored by the PNRA. A special thanks to P. Grigioni and all the stuff of the Antarctic Meteo-Climatological Observatory at Concordia of the PNRA for providing the data and information from the automatic weather station and radiosoundings obtained from the IPEV/PNRA Project  Routine Meteorological Observations at Station Concordia (http://www.climantartide.it). M. Kallistratova acknowledges the Grant of the Russian Foundation for Basic Research, Project No 16-05-01072. The authors are also thankful to G. Mastrantonio, A. Viola, and A. Conidi for their assistance in preparing the experimental equipment, and to the logistics staff of the Concordia station for their help during the field work. We would like to thank three anonymous reviewers for their careful reading of our manuscript and many insightful comments and constructive suggestions. The authors are thankful to B. van de Wiel, A. Grachev, V. Gryanik, R. Sozzi, E. Vignon, and S. Zilitinkevich for useful discussions and comments.</t>
  </si>
  <si>
    <t>10.1007/s10546-018-0419-6</t>
  </si>
  <si>
    <t>HP0TJ</t>
  </si>
  <si>
    <t>WOS:000461378900005</t>
  </si>
  <si>
    <t>Seco, J; Xavier, JC; Coelho, JP; Pereira, B; Tarling, G; Pardal, MA; Bustamante, P; Stowasser, G; Brierley, AS; Pereira, ME</t>
  </si>
  <si>
    <t>Seco, Jose; Xavier, Jose C.; Coelho, Joao P.; Pereira, Barbara; Tarling, Geraint; Pardal, Miguel A.; Bustamante, Paco; Stowasser, Gabriele; Brierley, Andrew S.; Pereira, Maria E.</t>
  </si>
  <si>
    <t>Spatial variability in total and organic mercury levels in Antarctic krill Euphausia superba across the Scotia Sea</t>
  </si>
  <si>
    <t>ENVIRONMENTAL POLLUTION</t>
  </si>
  <si>
    <t>Food-web; Egg laying; Crustacean; Southern Ocean; Contaminant</t>
  </si>
  <si>
    <t>NATURAL GROWTH-RATES; TRACE-METALS; FOOD-WEB; ELEMENT CONCENTRATIONS; NORTHEAST ATLANTIC; TEMPORAL VARIATION; CLIMATE-CHANGE; SOUTH-GEORGIA; ZOOPLANKTON; PENGUINS</t>
  </si>
  <si>
    <t>Total and organic mercury concentrations were determined for males, females and juveniles of Euphausia superba collected at three discrete locations in the Scotia Sea (South Orkney Islands, South Georgia and Antarctic Polar Front) to assess spatial mercury variability in Antarctic krill. There was clear geographic differentiation in mercury concentrations, with specimens from the South Orkney Islands having total mercury concentrations 5 to 7 times higher than Antarctic krill from South Georgia and the Antarctic Polar Front. Mercury did not appear to accumulate with life-stage since juveniles had higher concentrations of total mercury (0.071 mu g g(-1) from South Orkney Islands; 0.014 mu g g(-1) from South Georgia) than adults (0.054 mu g g(-1) in females and 0.048 mu g g(-1) in males from South Orkney Islands; 0.006 mu g g(-1) in females and 0.007 mu g g(-1) in males from South Georgia). Results suggest that females may use egg laying as a mechanism to excrete mercury, with eggs having higher concentrations than the corresponding somatic tissue. Organic mercury makes up a minor percentage of total mercury (15-37%) with the percentage being greater in adults than in juveniles. When compared to euphausiids from other parts of the world, the concentration of mercury in Antarctic krill is within the same range, or higher, highlighting the global distribution of this contaminant. Given the high potential for biomagnification of mercury through food webs, concentrations in Antarctic krill may have deleterious effects on long-lived Antarctic krill predators. (C) 2019 Published by Elsevier Ltd.</t>
  </si>
  <si>
    <t>[Seco, Jose; Pereira, Barbara; Pereira, Maria E.] Univ Aveiro, Dept Chem, P-3810193 Aveiro, Portugal; [Seco, Jose; Pereira, Barbara; Pereira, Maria E.] Univ Aveiro, CESAM, P-3810193 Aveiro, Portugal; [Seco, Jose; Brierley, Andrew S.] Univ St Andrews, Scottish Oceans Inst, Pelag Ecol Res Grp, St Andrews KY16 8LB, Fife, Scotland; [Xavier, Jose C.; Tarling, Geraint; Stowasser, Gabriele] British Antarctic Survey, NERC, Madingley Rd, Cambridge CB3 0ET, England; [Xavier, Jose C.] Univ Coimbra, Dept Life Sci, MARE Marine &amp; Environm Sci Ctr, P-3000456 Coimbra, Portugal; [Coelho, Joao P.] Univ Aveiro, Dept Biol, P-3810193 Aveiro, Portugal; [Coelho, Joao P.] Univ Aveiro, CESAM, P-3810193 Aveiro, Portugal; [Pardal, Miguel A.] Univ Coimbra, Dept Life Sci, CFE, P-3000456 Coimbra, Portugal; [Bustamante, Paco] Univ La Rochelle, Littoral Environm &amp; Soc LIENSs, UMR 7266, CNRS, 2 Rue Olympe de Gouges, F-17000 La Rochelle, France</t>
  </si>
  <si>
    <t>Universidade de Aveiro; Universidade de Aveiro; University of St Andrews; UK Research &amp; Innovation (UKRI); Natural Environment Research Council (NERC); NERC British Antarctic Survey; Universidade de Coimbra; Universidade de Aveiro; Universidade de Aveiro; Universidade de Coimbra; La Rochelle Universite; Centre National de la Recherche Scientifique (CNRS); CNRS - Institute of Ecology &amp; Environment (INEE)</t>
  </si>
  <si>
    <t>Seco, J (corresponding author), Univ Aveiro, Dept Chem, P-3810193 Aveiro, Portugal.;Seco, J (corresponding author), Univ Aveiro, CESAM, P-3810193 Aveiro, Portugal.</t>
  </si>
  <si>
    <t>jseco@ua.pt</t>
  </si>
  <si>
    <t>Xavier, José/KFB-6739-2024; Pereira, Eduarda C/A-5907-2012; Seco, José/AAS-4612-2020; Coelho, João Pedro/C-1699-2008; Bustamante, Paco/G-5833-2011; Pardal, Miguel Angelo/C-3984-2009; Brierley, Andrew/G-8019-2011</t>
  </si>
  <si>
    <t>Seco, José/0000-0002-7957-6488; Coelho, João Pedro/0000-0003-1975-8308; Bustamante, Paco/0000-0003-3877-9390; Pardal, Miguel Angelo/0000-0001-6048-7007; /0000-0002-9621-6660; Stowasser, Gabriele/0000-0002-0595-0772; Pereira, Eduarda/0000-0002-6046-5243; Pereira, Barbara/0000-0003-2612-3351; Brierley, Andrew/0000-0002-6438-6892</t>
  </si>
  <si>
    <t>Portuguese Foundation for Science and Technology [SRFH/PD/BD/113487]; Centro 2020 program, Portugal 2020, European Union, through the European Regional Development Fund [Centro-01-0145-FEDER-000018]; IUF; Jose Xavier strategic program of MARE [MARE - UID/MAR/04292/2013]; NERC [bas0100035] Funding Source: UKRI</t>
  </si>
  <si>
    <t>Portuguese Foundation for Science and Technology(Fundacao para a Ciencia e a Tecnologia (FCT)); Centro 2020 program, Portugal 2020, European Union, through the European Regional Development Fund; IUF; Jose Xavier strategic program of MARE; NERC(UK Research &amp; Innovation (UKRI)Natural Environment Research Council (NERC))</t>
  </si>
  <si>
    <t>We thank the crew, officers and scientists aboard the RSS James Clark Ross during the cruises JR 177, JR15004 and JR16003 for their assistance in collecting samples. We also thank to Peter Enderlein, Carson McAfee, Daniel Ashurst and Scott Polfrey for assembling and maintaining the net gear. We acknowledge the Portuguese Foundation for Science and Technology through a PhD grant to Jose Seco (SRFH/PD/BD/113487). Acknowledgments are due also to the Integrated Program of SR&amp;TD 'Smart Valorization of Endogenous Marine Biological Resources Under a Changing Climate' (reference Centro-01-0145-FEDER-000018), co-funded by Centro 2020 program, Portugal 2020, European Union, through the European Regional Development Fund, for personal funding to J.P.Coelho. The IUF is acknowledged for its support to P. Bustamante as a Senior Member. This research was also within Jose Xavier strategic program of MARE (MARE - UID/MAR/04292/2013).</t>
  </si>
  <si>
    <t>0269-7491</t>
  </si>
  <si>
    <t>1873-6424</t>
  </si>
  <si>
    <t>ENVIRON POLLUT</t>
  </si>
  <si>
    <t>Environ. Pollut.</t>
  </si>
  <si>
    <t>10.1016/j.envpol.2019.01.031</t>
  </si>
  <si>
    <t>HO3TC</t>
  </si>
  <si>
    <t>Green Accepted, Green Submitted</t>
  </si>
  <si>
    <t>WOS:000460844800036</t>
  </si>
  <si>
    <t>Brouard, E; Lajeunesse, P</t>
  </si>
  <si>
    <t>Brouard, Etienne; Lajeunesse, Patrick</t>
  </si>
  <si>
    <t>Glacial to postglacial submarine landform assemblages in fiords of northeastern Baffin Island</t>
  </si>
  <si>
    <t>GEOMORPHOLOGY</t>
  </si>
  <si>
    <t>Fiords; Arctic Canada; Laurentide Ice Sheet dynamics; Glacial geomorphology</t>
  </si>
  <si>
    <t>GROUNDING-ZONE WEDGES; ANTARCTIC ICE-SHEET; SEA-LEVEL RISE; HOLOCENE GLACIATION; RECONCILED ESTIMATE; LAST DEGLACIATION; CONTINENTAL-SHELF; FLOW DYNAMICS; ARCTIC CANADA; AXIAL CHANNEL</t>
  </si>
  <si>
    <t>Fiord morphology plays a fundamental role in glacier flow dynamics and on ice-margin stability. As most of the present-day margins of the Greenland Ice Sheet lays in fiords, there is a need for understanding short- and long-term glacial dynamics in fiord settings. We investigate ice-sheet retreat patterns in previously glaciated submarine terrain of northeastern Baffin Island fiords to provide analogues for modern and future ice-sheet response to climate change and sea-level rise. Geomorphological maps constructed from the interpretation of swath bathymetry imagery in fiords of northeastern Baffin Island reveal a wide range of glacial to postglacial landforms that allow the reconstruction of past ice-sheet retreat dynamics. Ice-flow landforms such as mega-scale glacial lineations, crag-and-tails, and meltwater channels reveal the direction and behaviour of late-Foxe ice flow through the fiords. The presence of undisturbed elongated landforms within the fiords suggests that ice streams have probably been active until the late stage of deglaciation. Landforms transverse to ice-flow direction include grounding-zone wedges, frontal moraines, grounding-line fans, recessional moraines and De Geer moraines. These landforms are interpreted as the result of former standstills of the ice margin during deglaciation. The occurrence of grounding zones in deep (&gt;800 m) part of the fiords contrasts with studies suggesting instability and rapid retreat of outlet glaciers over deep fiord basins. Sediment-filled basins, often characterised by the presence of turbidity channels, gullies and mass movement scars occur in-between the moraines. Sediment-filled basins with a ponded architecture between sills illustrate that most of the sediment accumulation was ice-proximal during deglaciation and characterised by gravity-driven flows. The proposed landform-assemblage model for northeastern Baffin fiords includes landforms typical of different fiord landsystems. (C) 2019 Elsevier B.V. All rights reserved.</t>
  </si>
  <si>
    <t>[Brouard, Etienne; Lajeunesse, Patrick] Univ Laval, Ctr Etud Nord, Dept Geog, Quebec City, PQ, Canada</t>
  </si>
  <si>
    <t>Laval University</t>
  </si>
  <si>
    <t>Brouard, E (corresponding author), Univ Laval, Ctr Etud Nord, Dept Geog, Quebec City, PQ, Canada.</t>
  </si>
  <si>
    <t>etienne.brouard.1@ulaval.ca</t>
  </si>
  <si>
    <t>Brouard, Etienne/HRD-4851-2023</t>
  </si>
  <si>
    <t>Brouard, Etienne/0000-0002-3643-2900; Lajeunesse, Patrick/0000-0002-2265-4529</t>
  </si>
  <si>
    <t>ArcticNet Network Centres of Excellence; NSERC Discovery grant</t>
  </si>
  <si>
    <t>ArcticNet Network Centres of Excellence; NSERC Discovery grant(Natural Sciences and Engineering Research Council of Canada (NSERC))</t>
  </si>
  <si>
    <t>We sincerely thank the captains, crew and scientific participants (particularly Gabriel Joyal, Annie-Pier Trottier and Pierre-Olivier Couette, Universite Laval) of ArcticNet cruises 2014-2016 on board the CCGS Amundsen. We thank John Hughes Clarke and his team at the Ocean Mapping Group (University of New Brunswick) who collected swath bathymetry data in the region between 2003 and 2013. We also thank the Canadian Hydrographic Survey and Glenn Toldi for providing the bathymetric data for the Milne Inlet and Erik Harbour sectors. We thank Martin Roy (UQAM), D. Calvin Campbell (NRCan) and Jean-Francois Ghienne (CNRS) for providing comments on an earlier version of the paper. This project was funded by ArcticNet Network Centres of Excellence and by an NSERC Discovery grant to P.L.</t>
  </si>
  <si>
    <t>0169-555X</t>
  </si>
  <si>
    <t>1872-695X</t>
  </si>
  <si>
    <t>Geomorphology</t>
  </si>
  <si>
    <t>10.1016/j.geomorph.2019.01.007</t>
  </si>
  <si>
    <t>HP1EF</t>
  </si>
  <si>
    <t>WOS:000461407500004</t>
  </si>
  <si>
    <t>Cerovecki, I; Meijers, AJS; Mazloff, MR; Gille, ST; Tamsitt, VM; Holland, PR</t>
  </si>
  <si>
    <t>Cerovecki, Ivana; Meijers, Andrew J. S.; Mazloff, Matthew R.; Gille, Sarah T.; Tamsitt, Veronica M.; Holland, Paul R.</t>
  </si>
  <si>
    <t>The Effects of Enhanced Sea Ice Export from the Ross Sea on Recent Cooling and Freshening of the Southeast Pacific</t>
  </si>
  <si>
    <t>Sea ice; Atmosphere-ocean interaction; Water masse; storage; Climate variability</t>
  </si>
  <si>
    <t>ANTARCTIC MODE WATER; MASS FORMATION; INTERMEDIATE WATER; BOTTOM WATER; OCEAN; CIRCULATION; DRIVEN; HEAT; TRANSPORT; TRENDS</t>
  </si>
  <si>
    <t>The top 2000 m of the Southern Ocean has freshened and warmed over recent decades. However, the high-latitude (south of 50 degrees S) southeast Pacific was observed to be cooler and fresher in the years 2008-10 compared to 2005-07 over a wide depth range including surface, mode, and intermediate waters. The causes and impacts of this event are analyzed using the ocean-sea ice data-assimilating Southern Ocean State Estimate (SOSE) and observationally based products. In 2008-10, a strong positive southern annular mode coincided with a negative El Nino-Southern Oscillation and a deep Amundsen Sea low. Enhanced meridional winds drove strong sea ice export from the eastern Ross Sea, bringing large amounts of ice to the Amundsen Sea ice edge. In 2008, together with increased precipitation, this introduced a strong freshwater anomaly that was advected eastward by the Antarctic Circumpolar Current (ACC), mixing along the way. This anomaly entered the ocean interior not only as Antarctic Intermediate Water, but also as lighter Southeast Pacific Subantarctic Mode Water (SEPSAMW). A numerical particle release experiment carried out in SOSE showed that the Ross Sea sector was the dominant source of particles reaching the SEPSAMW formation region. This suggests that large-scale climate fluctuations can induce strong interannual variability of volume and properties of SEPSAMW. These fluctuations act at different time scales: instantaneously via direct forcing and also lagged over advective time scales of several years from upstream regions.</t>
  </si>
  <si>
    <t>[Cerovecki, Ivana; Mazloff, Matthew R.; Gille, Sarah T.; Tamsitt, Veronica M.] Scripps Inst Oceanog, La Jolla, CA 92037 USA; [Meijers, Andrew J. S.; Holland, Paul R.] British Antarctic Survey, Cambridge, England; [Tamsitt, Veronica M.] Univ New South Wales, Hobart, Tas, Australia; [Tamsitt, Veronica M.] Australia Univ New South Wales, Hobart, Tas, Australia; [Tamsitt, Veronica M.] CSIRO Oceans &amp; Atmosphere, CSHOR, Hobart, Tas, Australia</t>
  </si>
  <si>
    <t>University of California System; University of California San Diego; Scripps Institution of Oceanography; UK Research &amp; Innovation (UKRI); Natural Environment Research Council (NERC); NERC British Antarctic Survey; University of New South Wales Sydney; University of New South Wales Sydney; Commonwealth Scientific &amp; Industrial Research Organisation (CSIRO)</t>
  </si>
  <si>
    <t>Cerovecki, I (corresponding author), Scripps Inst Oceanog, La Jolla, CA 92037 USA.</t>
  </si>
  <si>
    <t>icerovecki@ucsd.edu</t>
  </si>
  <si>
    <t>Holland, Paul R/G-2796-2012; Mazloff, Matthew/AAG-6463-2019; Tamsitt, Veronica/U-1838-2019</t>
  </si>
  <si>
    <t>Mazloff, Matthew/0000-0002-1650-5850;</t>
  </si>
  <si>
    <t>National Science Foundation (NSF) Ocean Sciences [NSF OCE-1658001]; NSF [MCA06N007, PLR-1425989, OCE-1234473, OCE-1357072]; Natural Environment Research Council (NERC) [NE/N018095/1]; NERC [NE/N018095/1, bas0100033] Funding Source: UKRI</t>
  </si>
  <si>
    <t>National Science Foundation (NSF) Ocean Sciences(National Science Foundation (NSF)NSF - Directorate for Geosciences (GEO)); NSF(National Science Foundation (NSF)); Natural Environment Research Council (NERC)(UK Research &amp; Innovation (UKRI)Natural Environment Research Council (NERC)); NERC(UK Research &amp; Innovation (UKRI)Natural Environment Research Council (NERC))</t>
  </si>
  <si>
    <t>We thank three anonymous reviewers whose insightful, motivating comments greatly improved the paper. IC, MRM, and STG were supported by the National Science Foundation (NSF) Ocean Sciences Grant NSF OCE-1658001 to Scripps Institution of Oceanography. Additional funding came from Grants NSF PLR-1425989, NSF OCE-1234473, and NSF OCE-1357072, which also supported VT. AJSM was supported by Natural Environment Research Council (NERC) Grant NE/N018095/1 (Ocean Regulation of Climate by Heat and Carbon Sequestration and Transports; ORCHESTRA). SOSE was produced using the Extreme Science and Engineering Discovery Environment (XSEDE), which is supported by the NSF Grant MCA06N007. The SOSE output used in this study can be found at sose.ucsd.edu. The objectively mapped Argo data were provided by John Gilson, available from http://www.argo.ucsd.edu/Gridded_fields.html. Argo data were collected and made freely available by the International Argo Program and the national programs that contribute to it (http://www.argo.ucsd.edu; http://argo.jcommops.org; http://doi.org/10.17882/42182). The Argo Program is part of the Global Ocean Observing System. The ERA-Interim dataset, developed by the European Centre for Medium-Range Weather Forecasts, was obtained from the Research Data Archive at the National Center for Atmospheric Research, Computational and Information Systems Laboratory: http://rda.ucar.edu/datasets/ds627.0/. The code used for the Lagrangian experiment is available from https://github.com/jinbow/Octopus. The ASL index was obtained from https://climatedataguide.ucar.edu/climate-data/amundsen-sea-low-indices.</t>
  </si>
  <si>
    <t>10.1175/JCLI-D-18-0205.1</t>
  </si>
  <si>
    <t>HP3XA</t>
  </si>
  <si>
    <t>Green Submitted, Green Accepted, Bronze</t>
  </si>
  <si>
    <t>WOS:000461609800001</t>
  </si>
  <si>
    <t>Borah, P; Hazarika, P; Mazumdar, AC; Rabha, M</t>
  </si>
  <si>
    <t>Borah, Pritom; Hazarika, Pranjit; Mazumdar, Amulya Chandra; Rabha, Mridul</t>
  </si>
  <si>
    <t>Monazite and xenotime U-Th-Pbtotal ages from basement rocks of the (central) Shillong-Meghalaya Gneissic Complex, Northeast India</t>
  </si>
  <si>
    <t>JOURNAL OF EARTH SYSTEM SCIENCE</t>
  </si>
  <si>
    <t>Monazite; xenotime; U-Th-Pbtotaldating; Shillong-Meghalaya</t>
  </si>
  <si>
    <t>UNDERSTANDING GEOLOGIC PROCESSES; EAST ANTARCTIC SHIELD; PRYDZ-BAY; LARSEMANN HILLS; MESOPROTEROZOIC GRANULITES; ZIRCON GEOCHRONOLOGY; CAMBRIAN REWORKING; BOLINGEN ISLANDS; CONSTRAINTS; GONDWANA</t>
  </si>
  <si>
    <t>Monazite and xenotime are the two most useful and commonly used geochronometers for deciphering ages from metamorphic rocks. The low analytical cost involved in electron probe micro-analyser chemical dating, ease of sample preparation and abundance in metamorphic rocks of wide P-T conditions make monazite and xenotime dating most widely used technique for age determination amongst metamorphic petrologists. This contribution presents age comparisons between coexisting monazite and xenotime in the basement metapelitic rocks of the central part of the Shillong-Meghalaya Gneissic Complex (SMGC). Thermobarometric estimates in the studied samples indicate granulite facies conditions of metamorphism with peak P-T conditions of approximate to 6.5 kbar and approximate to 750 degrees C. Results indicate that xenotime in the basement rocks in the central SMGC formed in four discrete geological events while monazite either formed only in the latest Pan-African granulite grade metamorphic event or recrystallised during this event. Monazite in the studied samples yielded a single ubiquitous age of ca. 500 Ma. Xenotime in the study area, although found in only one sample, preserves four distinct ages at 1153 +/- 29,930 +/- 36,823 +/- 41 width=0.277778Ma. Preservation of Grenvillian ages in xenotime from central SMGC marks the eastward extension of Rodinia amalgamation front in the Indian Shield. The Neoproterozoic ages in xenotime from central SMGC suggest that the ca. 820 Ma high-grade metamorphism in the Eastern Indian Tectonic Zone had a wider impact in the SMGC than perceived previously.</t>
  </si>
  <si>
    <t>[Borah, Pritom; Hazarika, Pranjit; Mazumdar, Amulya Chandra] Gauhati Univ, Dept Geol Sci, Gauhati 781014, India; [Rabha, Mridul] Pragjyotish Coll, Dept Geol, Gauhati 781007, India</t>
  </si>
  <si>
    <t>Gauhati University</t>
  </si>
  <si>
    <t>Borah, P (corresponding author), Gauhati Univ, Dept Geol Sci, Gauhati 781014, India.</t>
  </si>
  <si>
    <t>pritomborah90@gmail.com</t>
  </si>
  <si>
    <t>Borah, Pritom/AFK-4082-2022; Hazarika, Pranjit/HNQ-3526-2023</t>
  </si>
  <si>
    <t>Borah, Pritom/0000-0002-2605-0976</t>
  </si>
  <si>
    <t>University Grant Commission through Major Research Project (MRP) [MRP-MAJOR-GEOL-2013-36821]; UGC; DST-FIST [SR/FST/ESI-152/2016]</t>
  </si>
  <si>
    <t>University Grant Commission through Major Research Project (MRP); UGC(University Grants Commission, India); DST-FIST(Department of Science &amp; Technology (India))</t>
  </si>
  <si>
    <t>ACM acknowledges the partial financial support of this work from the University Grant Commission through Major Research Project (MRP) number MRP-MAJOR-GEOL-2013-36821. PB greatly acknowledges the financial support from the UGC in the form of a research fellowship. All the authors thank Prof Biswajit Mishra for facilitating EPMA analyses in the DST-IIT National EPMA facility, IIT Kharagpur. Dr M K Ozha, Ashim Patel and Saptarshi Sinha are acknowledged for their help during EPMA and SEM analyses. The optical photomicrographs were obtained using microscope-imaging facility established through DST-FIST funding (SR/FST/ESI-152/2016) to the Department of Geological Sciences, Gauhati University. We acknowledge the Editor-in-Chief Prof N V Chalapathi Rao and three anonymous reviewers for their constructive comments, which helped to greatly improve the paper.</t>
  </si>
  <si>
    <t>INDIAN ACAD SCIENCES</t>
  </si>
  <si>
    <t>BANGALORE</t>
  </si>
  <si>
    <t>C V RAMAN AVENUE, SADASHIVANAGAR, P B #8005, BANGALORE 560 080, INDIA</t>
  </si>
  <si>
    <t>2347-4327</t>
  </si>
  <si>
    <t>0973-774X</t>
  </si>
  <si>
    <t>J EARTH SYST SCI</t>
  </si>
  <si>
    <t>J. Earth Syst. Sci.</t>
  </si>
  <si>
    <t>10.1007/s12040-019-1085-x</t>
  </si>
  <si>
    <t>Geosciences, Multidisciplinary; Multidisciplinary Sciences</t>
  </si>
  <si>
    <t>Geology; Science &amp; Technology - Other Topics</t>
  </si>
  <si>
    <t>HO5EJ</t>
  </si>
  <si>
    <t>WOS:000460945500002</t>
  </si>
  <si>
    <t>Suryawanshi, MR; Chander, S; Oza, SR; Bahuguna, IM</t>
  </si>
  <si>
    <t>Suryawanshi, Maya Raghunath; Chander, Shard; Oza, Sandip R.; Bahuguna, I. M.</t>
  </si>
  <si>
    <t>Variability in the ice sheet elevations over Antarctica derived from repetitive SARAL/AltiKa radar altimeter data (2013-2016)</t>
  </si>
  <si>
    <t>Antarctica; ice sheet; elevation change; SARAL; AltiKa</t>
  </si>
  <si>
    <t>CONTINENTAL ICE; SATELLITE RADAR; MASS-BALANCE; GREENLAND; TOPOGRAPHY; ENVISAT; SURFACE; VOLUME; ERS-2; BED</t>
  </si>
  <si>
    <t>Changes in surface elevations of polar ice sheets are the result of changes in ice dynamics and surface mass balance. Here, we present intra- and inter-annual elevation changes over the Antarctic ice sheet using the AltiKa radar altimeter's 40 Hz geophysical data record products for the period 2013-2016. Slope corrections were applied on the elevations using a digital elevation model (DEM) available from NASA's ice, cloud and land elevation satellite (ICESat). Comparison of elevations from AltiKa and ICESat's DEM yielded correlation, bias and root-mean-square-deviation values of the order of 0.99, -2.88 and 23.04 m, respectively, indicating the first-level accuracy of a former dataset. Further comparison of Airborne Topographic Mapper dataset with AltiKa derived elevation yielded 0.4 m root-mean-square-deviation over a part of Vostok subglacial lake. The intra-annual change indicates that for GY2 (glaciological year), GY3 and GY4, number of negative elevation change points exceeded the number of positive elevation change points during the Antarctic austral summer period (December-February). Inter-annual elevation changes were negative during 2013-2014 and positive during 2014-2015 over east Antarctica, whereas in west Antarctica negative elevation changes were observed for both periods.</t>
  </si>
  <si>
    <t>[Suryawanshi, Maya Raghunath; Chander, Shard; Oza, Sandip R.; Bahuguna, I. M.] ISRO, Space Applicat Ctr, Ahmadabad 380015, Gujarat, India; [Suryawanshi, Maya Raghunath; Oza, Sandip R.] Gujarat Univ, Dept Phys Elect &amp; Space Sci, Ahmadabad 380009, Gujarat, India</t>
  </si>
  <si>
    <t>Department of Space (DoS), Government of India; Indian Space Research Organisation (ISRO); Space Applications Centre (SAC); Gujarat University</t>
  </si>
  <si>
    <t>Suryawanshi, MR (corresponding author), ISRO, Space Applicat Ctr, Ahmadabad 380015, Gujarat, India.;Suryawanshi, MR (corresponding author), Gujarat Univ, Dept Phys Elect &amp; Space Sci, Ahmadabad 380009, Gujarat, India.</t>
  </si>
  <si>
    <t>maya2509.surya@gmail.com</t>
  </si>
  <si>
    <t>10.1007/s12040-019-1093-x</t>
  </si>
  <si>
    <t>WOS:000460945500004</t>
  </si>
  <si>
    <t>Roberts, RJ; Lehong, KD; Botha, AEJ; Costin, G; De Beer, FC; Hoffman, WJ; Hetherington, CJ</t>
  </si>
  <si>
    <t>Roberts, R. James; Lehong, Keabetswe D.; Botha, Andries E. J.; Costin, Gelu; De Beer, Frikkie C.; Hoffman, Willem J.; Hetherington, Callum J.</t>
  </si>
  <si>
    <t>Clinopyroxene megacrysts from Marion Island, Antarctic Ocean: evidence for a late stage shallow origin</t>
  </si>
  <si>
    <t>MINERALOGY AND PETROLOGY</t>
  </si>
  <si>
    <t>Marion Island; Clinopyroxene megacrysts; Late stage eruption; Ankaramites</t>
  </si>
  <si>
    <t>OLIVINE; MAGMA; MELTS</t>
  </si>
  <si>
    <t>Clinopyroxene megacrysts (up to 5cm) from a scoria cone on Marion Island, Antarctic Ocean are zoned, with compositionally distinct low (Al+Ti) and high (Al+Ti) patches arranged haphazardly throughout crystals. Inclusions of olivine, pyrrhotite, oxides, sulphides, and rounded inclusions with euhedral micro-crystals interpreted as former melt inclusions are observed. Olivine inclusions have variable compositions, ranging from primary Ti-poor crystals to Ti-rich crystals hosting secondary haematite crystals formed by hydrogenation. The crystals contain voids that are concentrated in the middle of each crystal indicating that the initial crystal growth was skeletal. Subsequent crystallisation filled in the skeletal framework creating the patchy zoning in the crystals. The Marion Island megacrysts are not homogenous, but the combination of crustal clinopyroxene compositions, primary and hydrogenated olivine, and the mode of eruption in scoria eruptions indicates that these crystals most likely formed in a shallow magma chamber. Primary olivines crystallised from a mafic magma and secondary altered olivines were incorporated into a rapidly growing megacryst in a super-saturated, fluid-rich environment, prior to being ejected onto surface in a scoria eruption.</t>
  </si>
  <si>
    <t>[Roberts, R. James; Lehong, Keabetswe D.; Botha, Andries E. J.] Univ Pretoria, Dept Geol, Lynnwood Rd, ZA-0002 Pretoria, South Africa; [Costin, Gelu] Rhodes Univ, Dept Geol, Artillery Rd, ZA-6140 Grahamstown, South Africa; [Costin, Gelu] Rice Univ, Dept Earth Environm &amp; Planetary Sci, MS-126,6100 Main St, Houston, TX 77005 USA; [De Beer, Frikkie C.; Hoffman, Willem J.] South African Nucl Energy Corp Necsa, Dept Radiat Sci, Elias Motsoaledi St Extens Church St West,R104, ZA-0240 Pelindaba, South Africa; [Hetherington, Callum J.] Texas Tech Univ, Dept Geosci, Box 41053, Lubbock, TX 79409 USA</t>
  </si>
  <si>
    <t>University of Pretoria; Rhodes University; Rice University; The South African Nuclear Energy Corporation SOC Limited (Necsa); Texas Tech University System; Texas Tech University</t>
  </si>
  <si>
    <t>Roberts, RJ (corresponding author), Univ Pretoria, Dept Geol, Lynnwood Rd, ZA-0002 Pretoria, South Africa.</t>
  </si>
  <si>
    <t>james.roberts@up.ac.za</t>
  </si>
  <si>
    <t>Hetherington, Callum/AAO-3390-2020; Hetherington, Callum/IZQ-0335-2023; Roberts, Richard James/A-6817-2010; De Beer, Frederik/AAA-1724-2020</t>
  </si>
  <si>
    <t>Roberts, Richard James/0000-0002-2950-9949; De Beer, Frederik/0000-0001-9810-6038; Hetherington, Callum/0000-0003-1389-8641</t>
  </si>
  <si>
    <t>SPRINGER WIEN</t>
  </si>
  <si>
    <t>WIEN</t>
  </si>
  <si>
    <t>SACHSENPLATZ 4-6, PO BOX 89, A-1201 WIEN, AUSTRIA</t>
  </si>
  <si>
    <t>0930-0708</t>
  </si>
  <si>
    <t>1438-1168</t>
  </si>
  <si>
    <t>MINER PETROL</t>
  </si>
  <si>
    <t>Mineral. Petrol.</t>
  </si>
  <si>
    <t>10.1007/s00710-018-00651-x</t>
  </si>
  <si>
    <t>Geochemistry &amp; Geophysics; Mineralogy</t>
  </si>
  <si>
    <t>HP0ZA</t>
  </si>
  <si>
    <t>WOS:000461393900001</t>
  </si>
  <si>
    <t>Griffith, GP; Strutton, PG; Semmens, JM; Fulton, EA</t>
  </si>
  <si>
    <t>Griffith, Gary P.; Strutton, Peter G.; Semmens, Jayson M.; Fulton, Elizabeth A.</t>
  </si>
  <si>
    <t>Identifying important species that amplify or mitigate the interactive effects of human impacts on marine food webs</t>
  </si>
  <si>
    <t>CONSERVATION BIOLOGY</t>
  </si>
  <si>
    <t>climate change; interaction effect networks; key species; marine food webs</t>
  </si>
  <si>
    <t>NETWORK STRUCTURE; CLIMATE-CHANGE; CENTRALITY; ACIDIFICATION; ROBUSTNESS; ECOSYSTEMS; FISH</t>
  </si>
  <si>
    <t>Some species may have a larger role than others in the transfer of complex effects of multiple human stressors, such as changes in biomass, through marine food webs. We devised a novel approach to identify such species. We constructed annual interaction-effect networks (IENs) of the simulated changes in biomass between species of the southeastern Australian marine system. Each annual IEN was composed of the species linked by either an additive (sum of the individual stressor response), synergistic (lower biomass compared with additive effects), or antagonistic (greater biomass compared with additive effects) response to the interaction effect of ocean warming, ocean acidification, and fisheries. Structurally, over the simulation period, the number of species and links in the synergistic IENs increased and the network structure became more stable. The stability of the antagonistic IENs decreased and became more vulnerable to the loss of species. In contrast, there was no change in the structural attributes of species linked by an additive response. Using indices common in food-web and network theory, we identified the species in each IEN for which a change in biomass from stressor effects would disproportionately affect the biomass of other species via direct and indirect local, intermediate, and global predator-prey feeding interactions. Knowing the species that transfer the most synergistic or antagonistic responses in a food-web may inform conservation under increasing multiple-stressor impacts.</t>
  </si>
  <si>
    <t>[Griffith, Gary P.] Norwegian Polar Res Inst, Postbox 6606, N-9296 Tromso, Norway; [Griffith, Gary P.; Strutton, Peter G.; Semmens, Jayson M.] Inst Marine &amp; Antarctic Studies, Private Bag 49, Hobart, Tas 7001, Australia; [Strutton, Peter G.] Univ Tasmania, Australian Res Council Ctr Excellence Climate Sys, Hobart, Tas, Australia; [Fulton, Elizabeth A.] CSIRO, GPO Box 1538, Hobart, Tas 7001, Australia</t>
  </si>
  <si>
    <t>Norwegian Polar Institute; University of Tasmania; University of Tasmania; Commonwealth Scientific &amp; Industrial Research Organisation (CSIRO)</t>
  </si>
  <si>
    <t>Griffith, GP (corresponding author), Norwegian Polar Res Inst, Postbox 6606, N-9296 Tromso, Norway.;Griffith, GP (corresponding author), Inst Marine &amp; Antarctic Studies, Private Bag 49, Hobart, Tas 7001, Australia.</t>
  </si>
  <si>
    <t>gary.griffith@npolar.no</t>
  </si>
  <si>
    <t>Fulton, Beth/A-2871-2008; Strutton, Peter/C-4466-2011</t>
  </si>
  <si>
    <t>Strutton, Peter/0000-0002-2395-9471; griffith, gary/0000-0002-7136-4237; Semmens, Jayson/0000-0003-1742-6692</t>
  </si>
  <si>
    <t>Australian National Network in Marine Science Grant; Australian Research Council Discovery Grant; South-east Australia Fisheries and Climate Change Program (SEAP; FRDC Project) [2010/023.0]</t>
  </si>
  <si>
    <t>Australian National Network in Marine Science Grant; Australian Research Council Discovery Grant(Australian Research Council); South-east Australia Fisheries and Climate Change Program (SEAP; FRDC Project)</t>
  </si>
  <si>
    <t>This project was supported by an Australian National Network in Marine Science Grant, an Australian Research Council Discovery Grant (GPG), and through the South-east Australia Fisheries and Climate Change Program (SEAP; FRDC Project number 2010/023.0). We thank L. Wilcox for assisting with data analysis.</t>
  </si>
  <si>
    <t>0888-8892</t>
  </si>
  <si>
    <t>1523-1739</t>
  </si>
  <si>
    <t>CONSERV BIOL</t>
  </si>
  <si>
    <t>Conserv. Biol.</t>
  </si>
  <si>
    <t>10.1111/cobi.13202</t>
  </si>
  <si>
    <t>HO1KN</t>
  </si>
  <si>
    <t>WOS:000460664300017</t>
  </si>
  <si>
    <t>Garnett, ST; Butchart, SHM; Baker, GB; Bayraktarov, E; Buchanan, KL; Burbidge, AA; Chauvenet, ALM; Christidis, L; Ehmke, G; Grace, M; Hoccom, DG; Legge, SM; Leiper, I; Lindenmayer, DB; Loyn, RH; Maron, M; McDonald, P; Menkhorst, P; Possingham, HP; Radford, J; Reside, AE; Watson, DM; Watson, JEM; Wintle, B; Woinarski, JCZ; Geyle, HM</t>
  </si>
  <si>
    <t>Garnett, S. T.; Butchart, S. H. M.; Baker, G. B.; Bayraktarov, E.; Buchanan, K. L.; Burbidge, A. A.; Chauvenet, A. L. M.; Christidis, L.; Ehmke, G.; Grace, M.; Hoccom, D. G.; Legge, S. M.; Leiper, I.; Lindenmayer, D. B.; Loyn, R. H.; Maron, M.; McDonald, P.; Menkhorst, P.; Possingham, H. P.; Radford, J.; Reside, A. E.; Watson, D. M.; Watson, J. E. M.; Wintle, B.; Woinarski, J. C. Z.; Geyle, H. M.</t>
  </si>
  <si>
    <t>Metrics of progress in the understanding and management of threats to Australian birds</t>
  </si>
  <si>
    <t>avian; conservation performance; recovery planning; threat reduction; threatened species</t>
  </si>
  <si>
    <t>CONSERVATION; RECOVERY</t>
  </si>
  <si>
    <t>Although evidence-based approaches have become commonplace for determining the success of conservation measures for the management of threatened taxa, there are no standard metrics for assessing progress in research or management. We developed 5 metrics to meet this need for threatened taxa and to quantify the need for further action and effective alleviation of threats. These metrics (research need, research achievement, management need, management achievement, and percent threat reduction) can be aggregated to examine trends for an individual taxon or for threats across multiple taxa. We tested the utility of these metrics by applying them to Australian threatened birds, which appears to be the first time that progress in research and management of threats has been assessed for all threatened taxa in a faunal group at a continental scale. Some research has been conducted on nearly three-quarters of known threats to taxa, and there is a clear understanding of how to alleviate nearly half of the threats with the highest impact. Some management has been attempted on nearly half the threats. Management outcomes ranged from successful trials to complete mitigation of the threat, including for one-third of high-impact threats. Progress in both research and management tended to be greater for taxa that were monitored or occurred on oceanic islands. Predation by cats had the highest potential threat score. However, there has been some success reducing the impact of cat predation, so climate change (particularly drought), now poses the greatest threat to Australian threatened birds. Our results demonstrate the potential for the proposed metrics to encapsulate the major trends in research and management of both threats and threatened taxa and provide a basis for international comparisons of evidence-based conservation science.</t>
  </si>
  <si>
    <t>[Garnett, S. T.; Leiper, I.; Woinarski, J. C. Z.; Geyle, H. M.] Charles Darwin Univ, Program Res Inst Environm &amp; Livelihoods, Threatened Species Recovery Hub, Natl Environm Sci Program, Darwin, NT 0909, Australia; [Butchart, S. H. M.] BirdLife Int, David Attenborough Bldg,Pembroke St, Cambridge CB2 3QZ, England; [Butchart, S. H. M.] Univ Cambridge, Dept Zool, Downing St, Cambridge CB2 3EJ, England; [Baker, G. B.] Univ Tasmania, Inst Marine &amp; Antarctic Studies, Hobart, Tas 7005, Australia; [Bayraktarov, E.; Ehmke, G.; Legge, S. M.; Maron, M.; Possingham, H. P.; Reside, A. E.; Watson, J. E. M.] Univ Queensland, Natl Environm Sci Program, Ctr Biodivers &amp; Conservat Sci, Threatened Species Recovery Hub, St Lucia, Qld 4072, Australia; [Buchanan, K. L.] Deakin Univ, Sch Life &amp; Environm Sci, 75 Pigdons Rd, Geelong, Vic 3216, Australia; [Burbidge, A. A.] 87 Rosedale St, Floreat, WA 6014, Australia; [Chauvenet, A. L. M.] Griffith Univ, Sch Environm &amp; Sci, Gold Coast, Qld 4222, Australia; [Chauvenet, A. L. M.] Griffith Univ, Environm Futures Res Inst, Gold Coast, Qld 4222, Australia; [Christidis, L.] Southern Cross Univ, Natl Marine Sci Ctr, Lismore, NSW 2480, Australia; [Ehmke, G.] BirdLife Australia, Carlton, Vic 3053, Australia; [Grace, M.] Univ Oxford, Dept Zool, Oxford OX1 3PS, England; [Hoccom, D. G.] Royal Soc Protect Birds, Sandy SG19 2DL, Beds, England; [Legge, S. M.; Lindenmayer, D. B.] Australian Natl Univ, Threatened Species Recovery Hub, Natl Environm Sci Program, Fenner Sch Environm &amp; Soc, Canberra, ACT 2601, Australia; [Loyn, R. H.] La Trobe Univ, Ctr Freshwater Ecosyst, Sch Life Sci, Wodonga, Vic 3690, Australia; [Loyn, R. H.; Watson, D. M.] Charles Sturt Univ, Inst Land Water &amp; Soc, Albury, NSW 2640, Australia; [Loyn, R. H.] Eco Insights, Beechworth, Vic 3747, Australia; [Maron, M.; Watson, J. E. M.] Univ Queensland, Sch Earth &amp; Environm Sci, St Lucia, Qld 4072, Australia; [McDonald, P.] Univ New England, Sch Environm &amp; Rural Sci, Zool, Armidale, NSW 2351, Australia; [Menkhorst, P.] Arthur Rylah Inst Environm Res, Dept Environm Land Water &amp; Planning, Heidelberg, Vic 3084, Australia; [Possingham, H. P.] Nature Conservancy, Arlington, VA 22203 USA; [Radford, J.] La Trobe Univ, Dept Ecol Environm &amp; Evolut, Bundoora, Vic 3086, Australia; [Radford, J.] La Trobe Univ, Res Ctr Future Landscapes, Bundoora, Vic 3086, Australia; [Watson, J. E. M.] Wildlife Conservat Soc, Bronx, NY 10460 USA; [Wintle, B.] Univ Melbourne, Sch Biosci, Parkville, Vic 3010, Australia</t>
  </si>
  <si>
    <t>Charles Darwin University; BirdLife International; University of Cambridge; University of Tasmania; University of Queensland; Deakin University; Griffith University; Griffith University - Gold Coast Campus; Griffith University; Griffith University - Gold Coast Campus; Southern Cross University; University of Oxford; Royal Society for Protection of Birds; Australian National University; La Trobe University; Charles Sturt University; University of Queensland; University of New England; Arthur Rylah Institute for Environmental Research (ARI); Nature Conservancy; La Trobe University; La Trobe University; Wildlife Conservation Society; University of Melbourne</t>
  </si>
  <si>
    <t>Garnett, ST (corresponding author), Charles Darwin Univ, Program Res Inst Environm &amp; Livelihoods, Threatened Species Recovery Hub, Natl Environm Sci Program, Darwin, NT 0909, Australia.</t>
  </si>
  <si>
    <t>stephen.garnett@cdu.edu.au</t>
  </si>
  <si>
    <t>POSSINGHAM, HUGH/R-8310-2019; Maron, Martine/D-9699-2011; /ABA-7954-2020; Menkhorst, Peter/R-1050-2019; Legge, Sarah/GYE-1554-2022; Butchart, Stuart/AAJ-1852-2021; Possingham, Hugh/B-1337-2008; Christidis, Les/B-6619-2011; Legge, Sarah/AAB-7229-2019; Watson, James Edward Maxwell/D-8779-2013; Leiper, Ian/P-8140-2019; Buchanan, Kate/A-8178-2012; Reside, April/H-4940-2011; Geyle, Hayley/W-8517-2019; Woinarski, John C.Z./N-2262-2013; Menkhorst, Peter/HGC-5722-2022; Chauvenet, Alienor/L-9135-2015; Lindenmayer, David B./P-7183-2017; Garnett, Stephen/M-3877-2013</t>
  </si>
  <si>
    <t>POSSINGHAM, HUGH/0000-0001-7755-996X; Menkhorst, Peter/0000-0003-1055-4923; Butchart, Stuart/0000-0002-1140-4049; Possingham, Hugh/0000-0001-7755-996X; Christidis, Les/0000-0002-3345-6034; Legge, Sarah/0000-0001-6968-2781; Watson, James Edward Maxwell/0000-0003-4942-1984; Buchanan, Kate/0000-0002-6648-5819; Reside, April/0000-0002-0760-9527; Geyle, Hayley/0000-0001-9282-8953; Chauvenet, Alienor/0000-0002-3743-7375; Maron, Martine/0000-0002-5563-5789; wintle, brendan/0000-0002-4234-5950; David, Watson/0000-0003-1821-4632; Baker, G. Barry/0000-0003-4766-8182; Woinarski, John/0000-0002-1712-9500; McDonald, Paul/0000-0002-9541-3304; Lindenmayer, David B./0000-0002-4766-4088; Garnett, Stephen/0000-0002-0724-7060; Grace, Molly/0000-0002-1978-615X</t>
  </si>
  <si>
    <t>National Environment Science Program's Threatened Species Recovery Hub; Charles Darwin University; NERC [NE/S006125/1, NE/R002614/1] Funding Source: UKRI</t>
  </si>
  <si>
    <t>National Environment Science Program's Threatened Species Recovery Hub; Charles Darwin University; NERC(UK Research &amp; Innovation (UKRI)Natural Environment Research Council (NERC))</t>
  </si>
  <si>
    <t>We are grateful to all those who provided input into the assessment of threats and progress, including D. Bain, L. Baker, D. Baker-Gabb, P. Bell, A. Black, L. Bluff, H. Bower, A. Briggs, P. Buosi, T. Burnard, H. Campbell, N. Carlile, M. Christian, R. Clarke, S. Comer, A. Desmond, N. Dunlop, D. Egan, H. Ford, D. Geering, I. Gynther, J, Hardy, R. Heinsohn, M. Herring, B. Hill, F. Hill, R. Hill, M. Holdsworth, W. Houston, V. Hurley, R. Johnstone, M. Mathieson, P. Mawson, S. Murphy, M. Newman, L. Ortiz, C. Pavey, M. Pickett, D. Portelli, I. Radford, K. Ravich, M. Read, J. Schoenjahn, R. Seaton, J. Smith, J. Sommerfeld, D. Stewart, C. Surman, M. Todd, T. Vale, E. Vanderduys, T. Vigilante, S. Ward, M. Weston, and E. Woehler. We also thank the many managers who have been successfully applying management principles to Australian birds over many decades. This project was partially funded by the National Environment Science Program's Threatened Species Recovery Hub and Charles Darwin University.</t>
  </si>
  <si>
    <t>10.1111/cobi.13220</t>
  </si>
  <si>
    <t>WOS:000460664300022</t>
  </si>
  <si>
    <t>Rivera-Hernandez, F; Sumner, DY; Mackey, TJ; Hawes, I; Andersen, DT</t>
  </si>
  <si>
    <t>Rivera-Hernandez, Frances; Sumner, Dawn Y.; Mackey, Tyler J.; Hawes, Ian; Andersen, Dale T.</t>
  </si>
  <si>
    <t>In a PICL: The sedimentary deposits and facies of perennially ice-covered lakes</t>
  </si>
  <si>
    <t>SEDIMENTOLOGY</t>
  </si>
  <si>
    <t>Antarctica; lacustrine facies; McMurdo Dry Valleys; perennially ice-covered lakes; sediment dynamics</t>
  </si>
  <si>
    <t>MCMURDO DRY VALLEYS; SOUTHERN VICTORIA-LAND; HIGH ARCTIC LAKE; ENVIRONMENTAL-CHANGE; LIQUID WATER; SOUND REGION; MICROBIAL MATS; ANTARCTICA; HOARE; UNTERSEE</t>
  </si>
  <si>
    <t>Perennially ice-covered lakes can have significantly different facies than open-water lakes because sediment is transported onto the ice, where it accumulates, and sand grains preferentially melt through to be deposited on the lake floor. To characterize the facies in these lakes, sedimentary deposits from five Antarctic perennially ice-covered lakes were described using lake-bottom observations, underwater video and images, and sediment cores. One lake was dominated by laminated microbial mats and mud (derived from an abutting glacier), with disseminated sand and rare gravel. The other four lakes were dominated by laminated microbial mats and moderately well to moderately sorted medium to very coarse sand with sparse granules and pebbles; they contained minor interstitial or laminated mud (derived from streams and abutting glaciers). The sand was disseminated or localized in mounds and 1 m to more than 10 m long elongate ridges. Mounds were centimetres to metres in diameter; conical, elongate or round in shape; and isolated or deposited near or on top of one another. Sand layers in the mounds had normal, inverse, or no grading. Nine mixed mud and sand facies were defined for perennially ice-covered lakes based on the relative proportion of mud to sand and the style of sand deposition. While perennially ice-covered lake facies overlap with other ice-influenced lakes and glaciomarine facies, they are characterized by a paucity of grains coarser than granules, a narrow range in sand grain sizes, and inverse grading in the sand mounds. These facies can be used to infer changes in ice cover through time and to identify perennially ice-covered lakes in the rock record. Ancient perennially ice-covered lakes are expected on Earth and Mars, and their characterization will provide new insights into past climatic conditions and habitability.</t>
  </si>
  <si>
    <t>[Rivera-Hernandez, Frances; Sumner, Dawn Y.; Mackey, Tyler J.] Univ Calif Davis, Dept Earth &amp; Planetary Sci, 2119 Earth &amp; Phys Sci,One Shields Ave, Davis, CA 95616 USA; [Rivera-Hernandez, Frances] Dartmouth Coll, Dept Earth Sci, 6105 Fairchild Hall, Hanover, NH 03755 USA; [Mackey, Tyler J.] MIT, Dept Earth Atmospher &amp; Planetary Sci, 77 Massachusetts Ave, Cambridge, MA 02139 USA; [Hawes, Ian] Univ Waikato, Tauranga Coastal Res Lab, 58 Cross Rd, Sulphur Point 3110, Tauranga, New Zealand; [Andersen, Dale T.] SETI Inst, Carl Sagan Ctr, 189 Bernardo Ave,Suite 200, Mountain View, CA 94043 USA</t>
  </si>
  <si>
    <t>University of California System; University of California Davis; Dartmouth College; Massachusetts Institute of Technology (MIT); University of Waikato</t>
  </si>
  <si>
    <t>Rivera-Hernandez, F (corresponding author), Univ Calif Davis, Dept Earth &amp; Planetary Sci, 2119 Earth &amp; Phys Sci,One Shields Ave, Davis, CA 95616 USA.;Rivera-Hernandez, F (corresponding author), Dartmouth Coll, Dept Earth Sci, 6105 Fairchild Hall, Hanover, NH 03755 USA.</t>
  </si>
  <si>
    <t>Frances.Rivera-Hernandez@Dartmouth.edu</t>
  </si>
  <si>
    <t>Andersen, Dale T/B-4816-2013; Sumner, Dawn/E-8744-2011</t>
  </si>
  <si>
    <t>Andersen, Dale T/0000-0001-8827-1259; Mackey, Tyler/0000-0001-6377-3797; Sumner, Dawn/0000-0002-7343-2061; Rivera-Hernandez, Dr. Frances/0000-0003-1401-2259; Hawes, Ian/0000-0003-2471-6903</t>
  </si>
  <si>
    <t>NASA Astrobiology: Exobiology [NNZ09AE77A, NNX13AI60G]; NSF [1115245]; New Zealand Foundation for Research, Science and Technology [CO1X0306]; Tawani Foundation of Chicago; Trottier Family Foundation; NASA [472866, NNX13AI60G] Funding Source: Federal RePORTER</t>
  </si>
  <si>
    <t>NASA Astrobiology: Exobiology(National Aeronautics &amp; Space Administration (NASA)); NSF(National Science Foundation (NSF)); New Zealand Foundation for Research, Science and Technology(New Zealand Foundation for Research, Science and Technology); Tawani Foundation of Chicago; Trottier Family Foundation; NASA(National Aeronautics &amp; Space Administration (NASA))</t>
  </si>
  <si>
    <t>Thanks to Megan Dillon, Sasha Leidman, Lucy Coleman, Justin Lawrence and Anne Jungblut for all of their hard work during multiple field seasons in Antarctica and to Charles Smith at the UC Davis Center for Molecular and Genomic Imaging. Also, many thanks to Ian Fairchild, Nicholas Pinter, Nicolas Mangold and an anonymous reviewer for constructive comments and edits to this manuscript. Samples and data used in this study were acquired during fieldwork funded by NASA Astrobiology: Exobiology (NNZ09AE77A and NNX13AI60G), NSF Polar Programs through the McMurdo Long Term Ecological Research project (1115245), New Zealand Foundation for Research, Science and Technology (CO1X0306), the Tawani Foundation of Chicago, and the Trottier Family Foundation. Field support and sampling permits were provided by the United States Antarctic Program, Antarctica New Zealand, and the Russian Antarctic Program. Support for compilation and interpretation of data by Rivera-Hernandez was provided by the NASA Mars Science Laboratory projectand NASA Astrobiology: Exobiology (NNX13AI60G).</t>
  </si>
  <si>
    <t>0037-0746</t>
  </si>
  <si>
    <t>1365-3091</t>
  </si>
  <si>
    <t>Sedimentology</t>
  </si>
  <si>
    <t>10.1111/sed.12522</t>
  </si>
  <si>
    <t>HO2UV</t>
  </si>
  <si>
    <t>WOS:000460772800006</t>
  </si>
  <si>
    <t>Waldock, C; Stuart-Smith, RD; Edgar, GJ; Bird, TJ; Bates, AE</t>
  </si>
  <si>
    <t>Waldock, Conor; Stuart-Smith, Rick D.; Edgar, Graham J.; Bird, Tomas J.; Bates, Amanda E.</t>
  </si>
  <si>
    <t>The shape of abundance distributions across temperature gradients in reef fishes</t>
  </si>
  <si>
    <t>ECOLOGY LETTERS</t>
  </si>
  <si>
    <t>Abundant-centre hypothesis; ecological performance; geographic range; niche partitioning; realised niche; species distribution; species distribution model; thermal performance curve; thermal-abundance distribution</t>
  </si>
  <si>
    <t>GEOGRAPHIC RANGE; PERFORMANCE; ECTOTHERMS; RESOURCES; WORLDS; LIMITS</t>
  </si>
  <si>
    <t>Improving predictions of ecological responses to climate change requires understanding how local abundance relates to temperature gradients, yet many factors influence local abundance in wild populations. We evaluated the shape of thermal-abundance distributions using 98 422 abundance estimates of 702 reef fish species worldwide. We found that curved ceilings in local abundance related to sea temperatures for most species, where local abundance declined from realised thermal 'optima' towards warmer and cooler environments. Although generally supporting the abundant-centre hypothesis, many species also displayed asymmetrical thermal-abundance distributions. For many tropical species, abundances did not decline at warm distribution edges due to an unavailability of warmer environments at the equator. Habitat transitions from coral to macroalgal dominance in subtropical zones also influenced abundance distribution shapes. By quantifying the factors constraining species' abundance, we provide an important empirical basis for improving predictions of community re-structuring in a warmer world.</t>
  </si>
  <si>
    <t>[Waldock, Conor; Bates, Amanda E.] Univ Tasmania, Inst Marine &amp; Antarctic Studies, Hobart, Tas 7001, Australia; [Waldock, Conor; Bird, Tomas J.] Univ Southampton, Geog &amp; Environm, Southampton SO17 1BJ, Hants, England; [Stuart-Smith, Rick D.; Edgar, Graham J.; Bird, Tomas J.] Mem Univ Newfoundland, Dept Ocean Sci, St John, NF, Canada</t>
  </si>
  <si>
    <t>University of Tasmania; University of Southampton; Memorial University Newfoundland</t>
  </si>
  <si>
    <t>Waldock, C (corresponding author), Univ Southampton, Ocean &amp; Earth Sci, Natl Oceanog Ctr Southampton, Waterfront Campus, Southampton SO14 3ZH, Hants, England.</t>
  </si>
  <si>
    <t>conorwaldock@gmail.com</t>
  </si>
  <si>
    <t>Stuart-Smith, Rick D/M-1829-2013; Bates, Amanda E./ABD-6874-2021; Edgar, Graham/AAY-3797-2020</t>
  </si>
  <si>
    <t>Stuart-Smith, Rick D/0000-0002-8874-0083; Bates, Amanda E./0000-0002-0198-4537; Edgar, Graham/0000-0003-0833-9001; Waldock, Conor/0000-0002-2818-9859</t>
  </si>
  <si>
    <t>Commonwealth Environment Research Facilities Program; Ian Potter Foundation; Parks Australia; CoastWest; WA State NRM program; Royalties for Regions program; Natural Environmental Research Council [563 NE/L002531/1]; King's College London; Canada Research Chairs program</t>
  </si>
  <si>
    <t>Commonwealth Environment Research Facilities Program; Ian Potter Foundation; Parks Australia; CoastWest; WA State NRM program; Royalties for Regions program; Natural Environmental Research Council(UK Research &amp; Innovation (UKRI)Natural Environment Research Council (NERC)); King's College London; Canada Research Chairs program(Canada Research Chairs)</t>
  </si>
  <si>
    <t>We thank the many Reef Life Survey (RLS) divers who participated in data collection and provide ongoing expertise and commitment to the program, and University of Tasmania staff including Antonia Cooper, Just Berkhout, Marlene Davey, Justin Hulls, Elizabeth Oh, Jemina Stuart-Smith and Ella Clausius. Development of RLS was supported by the former Commonwealth Environment Research Facilities Program. Additional funding and support for field surveys was provided by The Ian Potter Foundation, Parks Australia, CoastWest, WA State NRM program and Royalties for Regions program. CW was supported by the Natural Environmental Research Council (grant number 563 NE/L002531/1) and an Australian Bicentennial Scholarship from King's College London. AEB was supported by the Canada Research Chairs program. We thank three anonymous reviewers for their constructive comments on an earlier version.</t>
  </si>
  <si>
    <t>1461-023X</t>
  </si>
  <si>
    <t>1461-0248</t>
  </si>
  <si>
    <t>ECOL LETT</t>
  </si>
  <si>
    <t>Ecol. Lett.</t>
  </si>
  <si>
    <t>10.1111/ele.13222</t>
  </si>
  <si>
    <t>Ecology</t>
  </si>
  <si>
    <t>HO2TC</t>
  </si>
  <si>
    <t>WOS:000460768100013</t>
  </si>
  <si>
    <t>Sañé, E; Valente, A; Fatela, F; Cabral, MC; Beltrán, C; Drago, T</t>
  </si>
  <si>
    <t>Sane, E.; Valente, A.; Fatela, F.; Cabral, M. C.; Beltran, C.; Drago, T.</t>
  </si>
  <si>
    <t>Assessment of sedimentary pigments and phytoplankton determined by CHEMTAX analysis as biomarkers of unusual upwelling conditions in summer 2014 off the SE coast of Algarve</t>
  </si>
  <si>
    <t>JOURNAL OF SEA RESEARCH</t>
  </si>
  <si>
    <t>IBERIAN PENINSULA; CHLOROPHYLL-A; NUTRIENTS; COMMUNITY; DYNAMICS; CHLOROPIGMENTS; INDICATORS; SURVIVAL; SYSTEM; REGION</t>
  </si>
  <si>
    <t>In this study we tested the validity of sedimentary pigments and phytoplankton as biomarkers of upwelling events. Based on the evidence from satellite and reanalysis datasets that unusually intense upwelling conditions occurred in summer 2014 off the SE coast of Algarve (Portugal), we looked at pigments and phytoplankton before and after summer 2014 in order to test their use as biomarkers of upwelling conditions. From the analysis of summer anomalies with respect to the 2003-2014 average, we show that summer 2014 was characterized by exceptional westerly winds, colder waters and higher chlorophyll, pointing to unusual upwelling conditions. In order to confirm or not the intense upwelling in summer 2014 suggested by satellite data, the concentration of sedimentary pigments has been quantified. Sediments were sampled off the SE Algarve coast in spring and in summer-autumn 2014, above 60 m depth. Labile sedimentary pigments have been used as indicators of recently produced and non-degraded organic matter available as good quality food for consumers. We tested if the particular oceanographic conditions observed in summer 2014 were registered by sedimentary pigments by comparing their concentration and vertical distribution in spring and in summer-autumn. Based on the data on sedimentary pigments, also the phytoplankton composition has been studied. CHEMTAX software has been used to quantify the taxonomic composition of the phytoplankton community and it has been found that the relative contribution of dinoflagellates and diatoms to Chl-a was highest both in spring and in summer-autumn. Based on the SIMPER test, the contribution of dinoflagellates and diatoms to the average square distance between seasons was low, suggesting weaker stratification of the water column also in summer-autumn, maybe related to the intense upwelling conditions of summer 2014. Oceanographic data, together with the distribution of sedimentary pigments and phytoplankton taxa in spring and in summer autumn, suggest that exceptional upwelling events occurred in summer 2014 off the SE coast of Algarve.</t>
  </si>
  <si>
    <t>[Sane, E.; Fatela, F.; Cabral, M. C.] Univ Lisbon, IDL, Lisbon, Portugal; [Valente, A.; Beltran, C.] Univ Lisbon, Marine &amp; Environm Sci Ctr MARE, Fac Sci, Lisbon, Portugal; [Fatela, F.; Cabral, M. C.] Univ Lisbon, Fac Sci, Dept Geol, Lisbon, Portugal; [Drago, T.] Portuguese Inst Sea &amp; Atmosphere, Lisbon, Portugal</t>
  </si>
  <si>
    <t>Universidade de Lisboa; Universidade de Lisboa; Universidade de Lisboa; Instituto Portugues do Mar e da Atmosfera</t>
  </si>
  <si>
    <t>Sañé, E (corresponding author), Univ Lisbon, IDL, Lisbon, Portugal.</t>
  </si>
  <si>
    <t>sane@icm.csic.es</t>
  </si>
  <si>
    <t>sane, elisabet/AAT-4775-2020; Fatela, Francisco/C-6583-2013; Cabral, M. Cristina/J-7402-2013; Valente, Andre/G-5244-2016; Drago, Teresa/K-6252-2013</t>
  </si>
  <si>
    <t>Fatela, Francisco/0000-0002-2594-3158; Cabral, M. Cristina/0000-0001-8717-4043; Valente, Andre/0000-0002-8789-7038; , elisabet/0000-0001-5719-5468; Drago, Teresa/0000-0003-3496-3270</t>
  </si>
  <si>
    <t>IDL - FCT [UID/GEO/50019/2013]; FCT/MEC(PIDDAC) [Incentivo/CTE/LA0019/2014]; Fundação para a Ciência e a Tecnologia [Incentivo/CTE/LA0019/2014] Funding Source: FCT</t>
  </si>
  <si>
    <t>IDL - FCT; FCT/MEC(PIDDAC); Fundação para a Ciência e a Tecnologia(Fundacao para a Ciencia e a Tecnologia (FCT))</t>
  </si>
  <si>
    <t>This work was supported by the IDL, through the UID/GEO/50019/2013 program, funded by FCT. Elisabet Salle benefited from a Postdoctoral fellowship at the IDL, in the Project I&amp;D, Incentivo/CTE/LA0019/2014, financed by national funds FCT/MEC(PIDDAC) under the (Incentivo) Strategic Programme 2013-2014. We are grateful to Ana Nobre Silva and Vera Lopes for their technical and laboratory support. Finally, authors are immensely grateful to Prof. Simon Wright from the Australian Antarctic Division. The comments and suggestions of Prof. Wright have been extremely valuable for running properly CHEMTAX software and analyze the results obtained on the phytoplankton composition. Without the help of Prof. Wright, CHEMTAX analysis would not have been included in this study.</t>
  </si>
  <si>
    <t>1385-1101</t>
  </si>
  <si>
    <t>1873-1414</t>
  </si>
  <si>
    <t>J SEA RES</t>
  </si>
  <si>
    <t>J. Sea Res.</t>
  </si>
  <si>
    <t>10.1016/j.seares.2019.01.007</t>
  </si>
  <si>
    <t>HO3MM</t>
  </si>
  <si>
    <t>WOS:000460827200004</t>
  </si>
  <si>
    <t>O'Leary, TJ; Gifford, RM; Double, RL; Reynolds, RM; Woods, DR; Wardle, SL; Greeves, JP</t>
  </si>
  <si>
    <t>O'Leary, Thomas J.; Gifford, Robert M.; Double, Rebecca L.; Reynolds, Rebecca M.; Woods, David R.; Wardle, Sophie L.; Greeves, Julie P.</t>
  </si>
  <si>
    <t>Skeletal responses to an all-female unassisted Antarctic traverse</t>
  </si>
  <si>
    <t>BONE</t>
  </si>
  <si>
    <t>Bone density; Bone microarchitecture; Bone turnover; Energy deficit; Female athlete triad; Polar expedition</t>
  </si>
  <si>
    <t>VITAMIN-D SUPPLEMENTATION; ESTIMATED BONE STRENGTH; ENERGY AVAILABILITY; SUNLIGHT DEPRIVATION; ESTROGEN DEFICIENCY; HORMONAL RESPONSES; PHYSICAL DEMANDS; DISTAL RADIUS; MILITARY; MICROARCHITECTURE</t>
  </si>
  <si>
    <t>PURPOSE: To investigate the skeletal effects of the first all-female trans-Antarctic traverse. METHODS: Six women (mean +/- SD, age 32 +/- 3 years, height 1.72 +/- 0.07 m, body mass 72.8 +/- 4.0 kg) hauled 80 kg sledges over 1700 km in 61 days from coast-to-coast across the Antarctic. Whole-body areal bone mineral density (aBMD) (dual-energy X-ray absorptiometry) and tibial volumetric BMD (vBMD), geometry, microarchitecture and estimated mechanical properties (high-resolution peripheral quantitative computed tomography) were assessed 39 days before (pre-expedition) and 15 days after the expedition (post-expedition). Serum and plasma markers of bone turnover were assessed pre-expedition, and 4 and 15 days after the expedition. RESULTS: There were reductions in trunk (-2.6%), ribs (-5.0%) and spine (-3.4%) aBMD from pre- to post-expedition (all P &lt;= 0.046); arms, legs, pelvis and total body aBMD were not different (all P &gt;= 0.075). Tibial vBMD, geometry, microarchitecture and estimated mechanical properties at the metaphysis (4% site) and diaphysis (30% site) were not different between pre- and post-expedition (all P &gt;= 0.082). Bone-specific alkaline phosphatase was higher 15 days post- than 4 days post-expedition (1.7 mu gl(-1), P = 0.028). Total 25(OH)D decreased from pre- to 4 days post-expedition (-36 nmoll(-1), P = 0.008). Sclerostin, procollagen 1 N-terminal propeptide, C-telopeptide cross-links of type 1 collagen and adjusted calcium were unchanged (all P &gt;= 0.154). CONCLUSION: A decline in aBMD of the axial skeleton may be due to indirect and direct effects of prolonged energy deficit. We propose that weight-bearing exercise was protective against the effects of energy deficit on tibial vBMD, geometry, microarchitecture and strength.</t>
  </si>
  <si>
    <t>[O'Leary, Thomas J.; Double, Rebecca L.; Wardle, Sophie L.; Greeves, Julie P.] Army Headquarters, Army Personnel Res Capabil, Andover, England; [Gifford, Robert M.; Reynolds, Rebecca M.] Univ Edinburgh, Queens Med Res Inst, Univ British Heart Fdn, Ctr Cardiovasc Sci, Edinburgh, Midlothian, Scotland; [Gifford, Robert M.; Woods, David R.] Royal Ctr Def Med, Res &amp; Clin Innovat, Birmingham, W Midlands, England; [Woods, David R.] Leeds Beckett Univ, Res Inst Spot Phys Act &amp; Leisure, Leeds, W Yorkshire, England; [Woods, David R.] Wansbeck Gen &amp; Royal Victoria Infirm, Northumbria &amp; Newcastle NHS Trusts, Newcastle, England; [Woods, David R.] Univ Newcastle, Newcastle, England</t>
  </si>
  <si>
    <t>University of Edinburgh; Royal Centre for Defence Medicine; Leeds Beckett University; Newcastle University - UK</t>
  </si>
  <si>
    <t>Greeves, JP (corresponding author), Army Personnel Res Capabil, Andover SP11 8HT, Hants, England.</t>
  </si>
  <si>
    <t>thomas.oleary100@mod.gov.uk; r.gifford@ed.ac.uk; rebecca.double102@mod.gov.uk; r.reynolds@ed.ac.uk; doctordrwoods@aol.com; sophie.arana104@mod.gov.uk; julie.greeves143@mod.gov.uk</t>
  </si>
  <si>
    <t>Reynolds, Rebecca M/C-3044-2008; O'Leary, Thomas/AAS-6938-2021</t>
  </si>
  <si>
    <t>O'Leary, Thomas/0000-0002-1120-8777</t>
  </si>
  <si>
    <t>UK Ministry of Defence</t>
  </si>
  <si>
    <t>The study was funded by the UK Ministry of Defence.</t>
  </si>
  <si>
    <t>8756-3282</t>
  </si>
  <si>
    <t>1873-2763</t>
  </si>
  <si>
    <t>Bone</t>
  </si>
  <si>
    <t>10.1016/j.bone.2019.02.002</t>
  </si>
  <si>
    <t>Endocrinology &amp; Metabolism</t>
  </si>
  <si>
    <t>HN9CE</t>
  </si>
  <si>
    <t>WOS:000460495000031</t>
  </si>
  <si>
    <t>Przepiura, TDS; Herrerias, T; Kandalski, PK; Zaleski, T; Machado, C; Forgati, M; de Souza, MRDP; Donatti, L</t>
  </si>
  <si>
    <t>Santos Przepiura, Thaylise de Cassia; Herrerias, Tatiana; Kandalski, Priscila Krebsbach; Zaleski, Tania; Machado, Cintia; Forgati, Mariana; Dmengeon Pedreiro de Souza, Maria Rosa; Donatti, Lucelia</t>
  </si>
  <si>
    <t>Metabolic responses in Antarctic Nototheniidae brains subjected to thermal stress</t>
  </si>
  <si>
    <t>BRAIN RESEARCH</t>
  </si>
  <si>
    <t>Nototheniidae; Antarctic fish; Carbohydrate metabolism; Oxidative stress; High temperature</t>
  </si>
  <si>
    <t>ANTIOXIDANT DEFENSE SYSTEM; TROUT ONCORHYNCHUS-MYKISS; OXIDATIVE STRESS; TEMPERATURE-ACCLIMATION; GLYCOGEN-METABOLISM; ENERGY-METABOLISM; CLIMATE-CHANGE; HEAT-STRESS; FISH; GLUTATHIONE</t>
  </si>
  <si>
    <t>Antarctic Nototheniidae is an attractive group for studying metabolic and physiological responses at high temperatures. The present work investigated the metabolic responses of the carbohydrate metabolism and antioxidant system to thermal stress at 8 degrees C (for 2-144 h) in the brains of Notothenia rossii and Notothenia coriiceps. In N. coriiceps, glycogenolysis was essential in the first hours of exposure (2 h) at 8 degrees C and, in addition to inhibiting glucose-6-phosphatase activity, was important for activating the pentose phosphate pathway. In N. rossii, anaerobic metabolism was reduced in the first hours of exposure (2 and 6 h) at 8 degrees C, followed by reduced hexokinase activity, suggesting energy regulation between neurons and astrocytes. The antioxidant system results indicated the importance of the actions of the glutathione-dependent antioxidant enzymes glutathione-S-transferase and glutathione peroxidase as well as those of catalase in N. coriiceps and the action of glutathione-S-transferase, glutathione peroxidase and glutathione reductase in N. rossii, especially during the first 12 h of thermal stress exposure. These results indicate tissue-specific patterns and species-specific responses to this stress.</t>
  </si>
  <si>
    <t>[Santos Przepiura, Thaylise de Cassia; Kandalski, Priscila Krebsbach; Zaleski, Tania; Machado, Cintia; Forgati, Mariana; Dmengeon Pedreiro de Souza, Maria Rosa; Donatti, Lucelia] Univ Fed Parana, Dept Cell Biol, Curitiba, Parana, Brazil; [Herrerias, Tatiana] Fac Guairaca, Guarapuava, Brazil</t>
  </si>
  <si>
    <t>Universidade Federal do Parana</t>
  </si>
  <si>
    <t>Donatti, L (corresponding author), Univ Fed Parana, Dept Cell Biol, Adapt Biol Lab, Ave Cel Francisco H dos Santos S-N, BR-81531970 Curitiba, Parana, Brazil.</t>
  </si>
  <si>
    <t>donatti@ufpr.br</t>
  </si>
  <si>
    <t>de Souza, Maria Rosa Dmengeon Pedreiro/AAG-9661-2020; Donatti, Lucelia/E-1930-2013; HERRERIAS, TATIANA/AAJ-8083-2021</t>
  </si>
  <si>
    <t>de Souza, Maria Rosa Dmengeon Pedreiro/0000-0003-3745-5589; Donatti, Lucelia/0000-0002-9023-2483; machado, cintia/0000-0002-3570-1611; ZALESKI, TANIA/0000-0001-7426-7312; Herrerias, Tatiana/0000-0002-6150-6393</t>
  </si>
  <si>
    <t>CAPES/PNPD [2443/2011]; CNPq [52.0125/2008, 30.5562/2009-6, 30.5969/2012-9]; INCT-APA [CNPq 574.018/2008-5, FAPERJ E-26/170.023/2008]</t>
  </si>
  <si>
    <t>CAPES/PNPD(Coordenacao de Aperfeicoamento de Pessoal de Nivel Superior (CAPES)); CNPq(Conselho Nacional de Desenvolvimento Cientifico e Tecnologico (CNPQ)); INCT-APA</t>
  </si>
  <si>
    <t>This work was supported by the CAPES/PNPD [grant number 2443/2011]; CNPq [grant numbers: 52.0125/2008; 30.5562/2009-6; 30.5969/2012-9]; and INCT-APA [grant numbers: CNPq 574.018/2008-5; FAPERJ E-26/170.023/2008].</t>
  </si>
  <si>
    <t>0006-8993</t>
  </si>
  <si>
    <t>1872-6240</t>
  </si>
  <si>
    <t>BRAIN RES</t>
  </si>
  <si>
    <t>Brain Res.</t>
  </si>
  <si>
    <t>10.1016/j.brainres.2018.12.004</t>
  </si>
  <si>
    <t>Neurosciences</t>
  </si>
  <si>
    <t>Neurosciences &amp; Neurology</t>
  </si>
  <si>
    <t>HO1ZX</t>
  </si>
  <si>
    <t>WOS:000460712300015</t>
  </si>
  <si>
    <t>Zhan, QP; Tian, YY; Dai, YF; Li, YQ; Li, YY; Liu, YX; Xue, CH; Wang, JF</t>
  </si>
  <si>
    <t>Zhan, Qiping; Tian, Yingying; Dai, Yufeng; Li, Yanqi; Li, Yuanyuan; Liu, Yaxuan; Xue, Changhu; Wang, Jingfeng</t>
  </si>
  <si>
    <t>Antarctic krill oil promotes longitudinal bone growth in adolescent male mice</t>
  </si>
  <si>
    <t>FOOD BIOSCIENCE</t>
  </si>
  <si>
    <t>Antarctic krill oil; Entochondrostosis; Growth plate; GH-IGF-1 axis pathway; Longitudinal bone growth; Euphausia superba</t>
  </si>
  <si>
    <t>SHORT STATURE; CHONDROCYTE; IGF-1; OSTEOBLAST; PHYSIOLOGY; CHILDREN; VOLUME</t>
  </si>
  <si>
    <t>The effects of dietary supplementation with Antarctic krill oil (AKO) on longitudinal bone growth in adolescent male Institute for Cancer Research (ICR) mice for 21 days were investigated. Histological results showed that AKO promoted longitudinal bone growth, increased skeletal mineral content and strength, enhanced entochondrostosis supported by higher longitudinal bone growth rate and growth plate height. Then, the potential mechanisms responsible for these observations were measured, results showed that AKO increased the secretion of the GH-IGF-1 pathway and entochondrostosis-related factors in serum increased the expression of IGF-1 in the liver and bone, which promoted proliferation and differentiation of chondrocytes, vascular invasion and bone formation related gene expression. AKO promoted longitudinal bone growth, using the GH-IGF-1 pathway, suggesting that AKO might be a potential functional food to improve growth potential of adolescents.</t>
  </si>
  <si>
    <t>[Zhan, Qiping; Tian, Yingying; Dai, Yufeng; Li, Yanqi; Li, Yuanyuan; Liu, Yaxuan; Xue, Changhu; Wang, Jingfeng] Ocean Univ China, Coll Food Sci &amp; Engn, 5 Yushan Rd, Qingdao 266003, Shandong, Peoples R China</t>
  </si>
  <si>
    <t>Xue, CH; Wang, JF (corresponding author), Ocean Univ China, Coll Food Sci &amp; Engn, 5 Yushan Rd, Qingdao 266003, Shandong, Peoples R China.</t>
  </si>
  <si>
    <t>xuech@ouc.edu.cn; jfwang@ouc.edu.cn</t>
  </si>
  <si>
    <t>wang, jing/GRS-7509-2022; wang, jing/GVT-8700-2022; wang, jie/HTQ-4920-2023; wang, jiahui/IXD-1197-2023; li, yanqi/HZM-5831-2023; Dai, Yufeng/KBX-4156-2024; wang, dan/JEF-0836-2023; wang, jing/HJA-5384-2022</t>
  </si>
  <si>
    <t>Zhan, Qiping/0000-0002-1043-1010</t>
  </si>
  <si>
    <t>National Key R&amp;D Program of China [2018YFC0311203]; China Agriculture Research System-48; Primary Research and Development Plan of Shandong Province [2016YYSP017]</t>
  </si>
  <si>
    <t>National Key R&amp;D Program of China; China Agriculture Research System-48; Primary Research and Development Plan of Shandong Province</t>
  </si>
  <si>
    <t>This study was supported by National Key R&amp;D Program of China (2018YFC0311203), China Agriculture Research System-48 and the Primary Research and Development Plan of Shandong Province (2016YYSP017).</t>
  </si>
  <si>
    <t>2212-4292</t>
  </si>
  <si>
    <t>2212-4306</t>
  </si>
  <si>
    <t>FOOD BIOSCI</t>
  </si>
  <si>
    <t>Food Biosci.</t>
  </si>
  <si>
    <t>10.1016/j.fbio.2019.02.002</t>
  </si>
  <si>
    <t>HN7YF</t>
  </si>
  <si>
    <t>WOS:000460408800023</t>
  </si>
  <si>
    <t>Mallik, A; Ejaz, T; Shcheka, S; Garapic, G</t>
  </si>
  <si>
    <t>Mallik, Ananya; Ejaz, Tariq; Shcheka, Svyatoslav; Garapic, Gordana</t>
  </si>
  <si>
    <t>A petrologic study on the effect of mantle overturn: Implications for evolution of the lunar interior</t>
  </si>
  <si>
    <t>lunar evolution; processes in planetary interiors; lunar volcanism</t>
  </si>
  <si>
    <t>FRACTIONAL CRYSTALLIZATION; DENSITY CROSSOVERS; ULTRAMAFIC GLASSES; ORIGIN; CONSTRAINTS; LIQUID; MOON; DIFFERENTIATION; COMPRESSIBILITY; ILMENITE</t>
  </si>
  <si>
    <t>Lunar mantle overturn caused by gravitational instability of the Fe-Ti rich KREEP layer (formed as the last 5% of a crystallizing magma ocean, and emplaced between the overlying anorthitic crust and the underlying lunar mantle) is a process that would introduce Fe-Ti enriched bodies deep inside the lunar interior. These chemical heterogeneities in the lunar mantle may be the source of the very Fe-Ti enriched near-primary Apollo basalts. Also, the Fe-Ti and KREEP enriched layer deep inside the Moon may be responsible for the 5-30% partial melt seismically detected close to the core-mantle boundary (CMB). This is assuming that the partial melt is neutrally buoyant at P-T conditions of the CMB. Here, we experimentally investigate the phase equilibria of the overturned Fe-Ti rich layer mixed with the mantle, at P-T conditions deep inside the lunar interior, focusing on the partial melt compositions formed. Our aim is to test (a) whether potential partial melt compositions formed near the CMB are neutrally buoyant with respect to the surrounding mantle, hence, stable; (b) if the partial melts formed within the lunar interior are positively buoyant and ascend, whether they can reproduce chemical characteristics of Apollo basalts. The densities calculated for the Fe-Ti rich partial melts from this study, using the physical parameters from previous studies, range from lower to higher values compared to that of the lunar mantle. This provides a basis for future investigations to experimentally constrain better the densities of these partial melts. Depending on the buoyancy of the partial melts, the following two scenarios are likely to happen. Firstly, if the partial melts are neutrally buoyant at the CMB, 5-30% partial melt would constrain the CMB temperatures between 1330(+/- 1) and 1470(+/- 19) degrees C. This can be used by future studies to derive the selenotherm better. Secondly, if the partial melts are positively buoyant, they should ascend and react with the mantle along their path. Upon reaching shallow depths below the crust, they may likely assimilate any Fe-Ti rich layer that was left over from the gravitational overturn, as well as undergo olivine fractionation upon pooling in a shallow magma chamber. We modeled assimilation-fractional crystallization of the partial melts using the Gibb's-free minimization algorithm alpha-MELTS. Our results show that reactive ascent of Fe-Ti rich partial melts through the lunar mantle and subsequent olivine fractionation in a shallow magma chamber is a promising way to evolve the melt compositions to converge with the lunar basalts better. Shallow level assimilation of Fe-Ti rich lithology post reactive-ascent through the mantle is also feasible, but only for low degrees of assimilation. (C) 2019 Elsevier Ltd. All rights reserved.</t>
  </si>
  <si>
    <t>[Mallik, Ananya; Ejaz, Tariq; Shcheka, Svyatoslav] Univ Bayreuth, Bayer Geoinst, D-95440 Bayreuth, Germany; [Mallik, Ananya] Univ Rhode Isl, Dept Geosci, 9 E Alumni Ave, Kingston, RI 02881 USA; [Ejaz, Tariq] Natl Ctr Antarctic &amp; Ocean Res, Vasco Da Gama 403804, Goa, India; [Garapic, Gordana] SUNY Coll New Paltz, 1 Hawk Dr, New Paltz, NY 12561 USA</t>
  </si>
  <si>
    <t>University of Bayreuth; University of Rhode Island; Ministry of Earth Sciences (MoES) - India; National Centre for Polar and Ocean Research (NCPOR); State University of New York (SUNY) System; SUNY New Paltz</t>
  </si>
  <si>
    <t>Mallik, A (corresponding author), Univ Rhode Isl, Dept Geosci, 9 E Alumni Ave, Kingston, RI 02881 USA.</t>
  </si>
  <si>
    <t>ananya_mallik@uri.edu</t>
  </si>
  <si>
    <t>Mallik, Ananya/D-9908-2019; Mallik, Ananya/I-5252-2013</t>
  </si>
  <si>
    <t>Shcheka, Svyatoslav/0000-0003-0865-0828; Garapic, Gordana/0000-0002-9042-2711; ejaz, Tariq/0000-0003-3926-5447; Mallik, Ananya/0000-0001-7458-094X</t>
  </si>
  <si>
    <t>Alexander von Humboldt postdoctoral fellowship</t>
  </si>
  <si>
    <t>Alexander von Humboldt postdoctoral fellowship(Alexander von Humboldt Foundation)</t>
  </si>
  <si>
    <t>AM thanks Heidi Fuqua-Haviland, Paul Bremner and Matthew Diamond for the long discussions and the ongoing collaboration that inspired this project. Some of the ideas for this project were born during CIDER 2014. AM also thanks Sylvain Petitgirard for discussions about estimating densities of melt compositions. The authors acknowledge Dan Frost for the oxygen fugacity calculations; Detlef Krausse, Dorothea Wiesner and Raphael Njul for technical assistance; and Louis Hennet at Conditions Extremes et Materiaux: Haute Temperature et Irradiation, Orleans for synthesizing glass spheres using aerodynamic levitation. AM acknowledges the Alexander von Humboldt postdoctoral fellowship for supporting this research. TE acknowledges the summer internship opportunity at Bayerisches Geoinstitut for carrying out some of the experiments in this project under the supervision of AM and SS. The authors acknowledge Stephen Elardo for constructive reviews and Wim van Westrenen for both constructive reviews and editorial handling.</t>
  </si>
  <si>
    <t>10.1016/j.gca.2019.02.014</t>
  </si>
  <si>
    <t>HN6HP</t>
  </si>
  <si>
    <t>WOS:000460286800014</t>
  </si>
  <si>
    <t>Olierook, HKH; Jiang, Q; Jourdan, F; Chiaradia, M</t>
  </si>
  <si>
    <t>Olierook, Hugo K. H.; Jiang, Qiang; Jourdan, Fred; Chiaradia, Massimo</t>
  </si>
  <si>
    <t>Greater Kerguelen large igneous province reveals no role for Kerguelen mantle plume in the continental breakup of eastern Gondwana</t>
  </si>
  <si>
    <t>large igneous province; Perth Basin; Bunbury Basalt; continental flood basalts; west Australian margin; 40Ar/39Ar geochronology</t>
  </si>
  <si>
    <t>OCEANIC CRUSTAL THICKNESS; PERTH BASIN; TETHYAN HIMALAYA; WESTERN-AUSTRALIA; 40AR/39AR GEOCHRONOLOGY; ISOTOPIC ANALYSIS; BUNBURY BASALT; U-PB; MA; CONSTRAINTS</t>
  </si>
  <si>
    <t>The link between mantle plumes and continental breakup remain a topic of debate. Here, a new 40Ar/39Ar age of 135.9 +/- 1.2 Ma (2 sigma) and previous ages from the Bunbury Basalt - lava flows that are part of the Greater Kerguelen large igneous province (LIP) - reveal that &gt;80% of magmatism in the southern Perth Basin was concomitant with the continental breakup of eastern Gondwana at ca. 137-136 Ma. New and existing isotope geochemical data show that only lithospheric and depleted asthenospheric sources were melted to form the Bunbury Basalt and most other early, ca. 147-124 Ma magmatic products part of the Greater Kerguelen LIP. All lines of evidence strongly point towards passive continental breakup of eastern Gondwana, including the restriction of 147-124 Ma magmatism to continental rifts, the lack of excess oceanic magmatism in this period and the &gt;1000 km distance between the Kerguelen plume underneath Greater Indian lithosphere and the breakup nexus. It is not possible to reconcile the influence of a thermochemical plume with the observed geochemical, spatial and geochronological information. Instead, we posit that eastern Gondwana breakup occurred because it was proximal to the former suture zone associated with the ca. 550-500 Ma Kuunga Orogeny between Indo-Australia and Australo-Antarctica. Enrichment of the mantle with volatiles associated with subduction during the Kuunga Orogeny permitted partial melting when the continental crust was sufficiently attenuated in the Early Cretaceous. Repeated and protracted rifting of Greater India from Australo-Antarctic since the mid-Paleozoic eventually led to the rupture of the continental lithosphere and to mafic magmatism at ca. 137-136 Ma, approximately along the position of the former suture zone, without the influence of a mantle plume. (C) 2019 Elsevier B.V. All rights reserved.</t>
  </si>
  <si>
    <t>[Olierook, Hugo K. H.; Jiang, Qiang; Jourdan, Fred] Curtin Univ, Sch Earth &amp; Planetary Sci, GPO Box U1987, Perth, WA 6845, Australia; [Jiang, Qiang; Jourdan, Fred] Curtin Univ, Western Australian Argon Isotope Facil, GPO Box U1987, Perth, WA 6845, Australia; [Jiang, Qiang; Jourdan, Fred] Curtin Univ, John de Laeter Ctr, GPO Box U1987, Perth, WA 6845, Australia; [Chiaradia, Massimo] Univ Geneva, Dept Earth Sci, Rue Maraichers 13, CH-1205 Geneva, Switzerland</t>
  </si>
  <si>
    <t>Curtin University; Curtin University; Curtin University; University of Geneva</t>
  </si>
  <si>
    <t>Olierook, HKH (corresponding author), Curtin Univ, Sch Earth &amp; Planetary Sci, GPO Box U1987, Perth, WA 6845, Australia.</t>
  </si>
  <si>
    <t>hugo.olierook@curtin.edu.au</t>
  </si>
  <si>
    <t>Jiang, Qiang/HMD-5605-2023; Olierook, Hugo/AAQ-3657-2021; Jiang, Qiang/GNO-9906-2022</t>
  </si>
  <si>
    <t>Jiang, Qiang/0000-0003-3381-9592; Olierook, Hugo/0000-0001-5961-4304; Jourdan, Fred/0000-0001-5626-4521; Chiaradia, Massimo/0000-0003-4943-2480</t>
  </si>
  <si>
    <t>Australian Antarctic Science Project [4444, 4446]; CSC-CIPRS scholarship</t>
  </si>
  <si>
    <t>Australian Antarctic Science Project; CSC-CIPRS scholarship</t>
  </si>
  <si>
    <t>The authors would like to thank the Geological Survey of WA for their access to core and drill cuttings, and C. Mayers and R.A. Frew in the WA Argon lab for help in sample preparation and analysis. We thank the detailed comments from two anonymous reviewers and the editorial handling of T. A. Mathers. This work was funded by Australian Antarctic Science Project #4444 and #4446. QJ acknowledges support of a CSC-CIPRS scholarship.</t>
  </si>
  <si>
    <t>10.1016/j.epsl.2019.01.037</t>
  </si>
  <si>
    <t>HM9XT</t>
  </si>
  <si>
    <t>WOS:000459839000023</t>
  </si>
  <si>
    <t>King, L; MacKenzie, L; Tadaki, M</t>
  </si>
  <si>
    <t>King, Leonora; MacKenzie, Lucy; Tadaki, Marc</t>
  </si>
  <si>
    <t>The Technocratic Antarctic.</t>
  </si>
  <si>
    <t>PROGRESS IN HUMAN GEOGRAPHY</t>
  </si>
  <si>
    <t>Book Review</t>
  </si>
  <si>
    <t>[King, Leonora; MacKenzie, Lucy; Tadaki, Marc] Univ British Columbia, Vancouver, BC, Canada</t>
  </si>
  <si>
    <t>University of British Columbia</t>
  </si>
  <si>
    <t>King, L (corresponding author), Univ British Columbia, Vancouver, BC, Canada.</t>
  </si>
  <si>
    <t>SAGE PUBLICATIONS LTD</t>
  </si>
  <si>
    <t>1 OLIVERS YARD, 55 CITY ROAD, LONDON EC1Y 1SP, ENGLAND</t>
  </si>
  <si>
    <t>0309-1325</t>
  </si>
  <si>
    <t>1477-0288</t>
  </si>
  <si>
    <t>PROG HUM GEOG</t>
  </si>
  <si>
    <t>Prog. Hum. Geogr.</t>
  </si>
  <si>
    <t>10.1177/0309132517744705</t>
  </si>
  <si>
    <t>Geography</t>
  </si>
  <si>
    <t>HM5TV</t>
  </si>
  <si>
    <t>WOS:000459539000012</t>
  </si>
  <si>
    <t>Castillo-Jordán, C; Wayte, SE; Tuck, GN; Tracey, S; Frusher, SD; Punt, AE</t>
  </si>
  <si>
    <t>Castillo-Jordan, Claudio; Wayte, Sally E.; Tuck, Geoffrey N.; Tracey, Sean; Frusher, Stewart D.; Punt, Andre E.</t>
  </si>
  <si>
    <t>Implications of a climate-induced recruitment shift in the stock assessment of Patagonian grenadier (Macruronus magellanicus) in Chile</t>
  </si>
  <si>
    <t>Management strategy evaluation; Patagonian grenadier; Recruitment shift; Chile</t>
  </si>
  <si>
    <t>MANAGEMENT STRATEGY EVALUATION; REGIME SHIFTS; HARVEST STRATEGIES; JASUS-EDWARDSII; FISHERY; PERFORMANCE; FRAMEWORK; LONNBERG; IMPACTS; MODELS</t>
  </si>
  <si>
    <t>Patagonian grenadier (Macruronus magellanicus) is the most abundant demersal fisheries resource off Chilean Patagonia, and also is a key fisheries species off the south of Argentina and off the Falkland Islands. A Stock Synthesis assessment shows that this stock has declined in abundance off Chile, which has been attributed to a major change in recruitment strength, and subsequent production, after 1999. An assessment is conducted in which the change in recruitment is modelled as a shift in the stock-recruitment relationship. Management Strategy Evaluation is then used to examine the consequences of a mis-match between the assumptions related to recruitment in the assessment used to set the annual total allowable catch (TAC), and those in the operating model that represents the actual situation being managed. A management strategy that does not consider a shift in recruitment resulted in average TAC values of approximately 125,000 t, substantially larger than the sustainable yield of 45,000 t when there is a recruitment shift. A management strategy based on ignoring the shift in recruitment would thus lead to unsustainable catches, with major impacts on the ecosystem as well as the industry and coastal communities reliant on the fishery, if there was an actual shift in recruitment. Management of the fishery has not accounted for a recruitment shift, and annual landings have been consistently lower than the estimated annual TACs. The 2014 landings are similar to the long term TAC estimated by the assessment models under the Shift operating model. The history of the Patagonian grenadier fishery demonstrates the benefits of taking a precautionary approach that accounts for changes in fish productivity (whether climatedriven or otherwise). However, there can be considerable delays before a shift is observed in recruitment estimates or assessment model mis-specification is detected. The need for alternative approaches for providing more timely recruitment information is discussed.</t>
  </si>
  <si>
    <t>[Castillo-Jordan, Claudio] CSIRO, UTAS PhD Program Quantitat Marine Sci, GPO Box 1538, Hobart, Tas 7001, Australia; [Castillo-Jordan, Claudio; Wayte, Sally E.; Tuck, Geoffrey N.; Punt, Andre E.] CSIRO Oceans &amp; Atmosphere, GPO Box 1538, Hobart, Tas 7001, Australia; [Castillo-Jordan, Claudio; Tracey, Sean; Frusher, Stewart D.] Univ Tasmania, Inst Marine &amp; Antarctic Studies, Private Bag 129, Hobart, Tas 7005, Australia; [Punt, Andre E.] Univ Washington, Sch Aquat &amp; Fishery Sci, Seattle, WA 98195 USA</t>
  </si>
  <si>
    <t>Commonwealth Scientific &amp; Industrial Research Organisation (CSIRO); Commonwealth Scientific &amp; Industrial Research Organisation (CSIRO); University of Tasmania; University of Washington; University of Washington Seattle</t>
  </si>
  <si>
    <t>Castillo-Jordán, C (corresponding author), CSIRO Oceans &amp; Atmosphere, GPO Box 1538, Hobart, Tas 7001, Australia.</t>
  </si>
  <si>
    <t>claudioc@utas.edu.au</t>
  </si>
  <si>
    <t>Frusher, Stewart D/G-5117-2014; Wayte, Sally E/A-1697-2012; Tuck, Geoff/E-2356-2012; Tracey, Sean/J-7446-2014</t>
  </si>
  <si>
    <t>Tuck, Geoff/0000-0002-3640-6147; Tracey, Sean/0000-0002-6735-5899</t>
  </si>
  <si>
    <t>Becas Chile-scholarship; CONICYT, Government of Chile [2746/2013]; CSIRO-UTAS QMS program</t>
  </si>
  <si>
    <t>Becas Chile-scholarship; CONICYT, Government of Chile(Comision Nacional de Investigacion Cientifica y Tecnologica (CONICYT)); CSIRO-UTAS QMS program</t>
  </si>
  <si>
    <t>Funding for C.C-J. was provided by Becas Chile-scholarship (granted by CONICYT Res. Ex. No 2746/2013, Government of Chile) and CSIRO-UTAS QMS program. S. Wright and T. Raymond (AAD), N. Klaer (CSIRO) and an anonymous reviewer helped to improve the manuscript.</t>
  </si>
  <si>
    <t>10.1016/j.fishres.2018.12.019</t>
  </si>
  <si>
    <t>HL7RP</t>
  </si>
  <si>
    <t>WOS:000458939000015</t>
  </si>
  <si>
    <t>Andriyas, T</t>
  </si>
  <si>
    <t>Andriyas, T.</t>
  </si>
  <si>
    <t>Comparison of substorm onsets during different levels of interplanetary magnetic field</t>
  </si>
  <si>
    <t>PRAMANA-JOURNAL OF PHYSICS</t>
  </si>
  <si>
    <t>Substorm onsets; interplanetary magnetic field B-z characterisation; superposed epoch analysis; auroral boundaries</t>
  </si>
  <si>
    <t>SOLAR-WIND; MAGNETOSPHERIC SUBSTORMS; IMAGE-FUV; IMF; SPACE</t>
  </si>
  <si>
    <t>The magnetospheric response during the substorm events to solar wind driving, as determined by the level and sign of the interplanetary magnetic field (IMF) , is analysed. Using the superposed epoch analysis, solar wind and geomagnetic conditions under three levels of are characterised, i.e. northward or BZN (, 75 events), very weak or BZ0 (, 78 events) and southward or BZS (, 80 events). No northward turning is observed during BZS, while northward turning occurs 20 and 50 min prior to onset, during the BZN and BZ0 classes, respectively. IMF has a strong duskward component and the solar wind speed is also the fastest during BZN onsets. Auroral activity, as measured by the AL index, takes a longer time to decay to preonset values during BZ0 and BZS onsets compared to the BZN onsets. The level of IMF does not seem to influence the oval thickness in the noon sector. The oval is the thinnest during BZ0 events in all the sectors. The rate of auroral widening in the dawn sector is found to be evidently slower than in the dusk sector during the BZS group.</t>
  </si>
  <si>
    <t>[Andriyas, T.] Univ Allahabad, Inst Interdisciplinary Studies, Ctr Mat Sci, Allahabad 211002, Uttar Pradesh, India</t>
  </si>
  <si>
    <t>University of Allahabad</t>
  </si>
  <si>
    <t>Andriyas, T (corresponding author), Univ Allahabad, Inst Interdisciplinary Studies, Ctr Mat Sci, Allahabad 211002, Uttar Pradesh, India.</t>
  </si>
  <si>
    <t>tushar.andriyas@aggiemail.usu.edu</t>
  </si>
  <si>
    <t>Dr D S Kothari postdoctoral fellowship [EN / 14-15/0025]</t>
  </si>
  <si>
    <t>Dr D S Kothari postdoctoral fellowship</t>
  </si>
  <si>
    <t>The author wishes to acknowledge the following data providers: CDAWeb for the solar wind and geomagnetic index data, British Antarctic Survey for the auroral boundary data and Dr H J Singer for GOES-8 and GOES-10 magnetometer data. This research was supported by the Dr D S Kothari postdoctoral fellowship (EN / 14-15/0025).</t>
  </si>
  <si>
    <t>0304-4289</t>
  </si>
  <si>
    <t>0973-7111</t>
  </si>
  <si>
    <t>PRAMANA-J PHYS</t>
  </si>
  <si>
    <t>Pramana-J. Phys.</t>
  </si>
  <si>
    <t>10.1007/s12043-019-1721-7</t>
  </si>
  <si>
    <t>Physics, Multidisciplinary</t>
  </si>
  <si>
    <t>Physics</t>
  </si>
  <si>
    <t>HM0OM</t>
  </si>
  <si>
    <t>WOS:000459146900013</t>
  </si>
  <si>
    <t>Feltracco, M; Barbaro, E; Kirchgeorg, T; Spolaor, A; Turetta, C; Zangrando, R; Barbante, C; Gambaro, A</t>
  </si>
  <si>
    <t>Feltracco, Matteo; Barbaro, Elena; Kirchgeorg, Torben; Spolaor, Andrea; Turetta, Clara; Zangrando, Roberta; Barbante, Carlo; Gambaro, Andrea</t>
  </si>
  <si>
    <t>Free and combined L- and D-amino acids in Arctic aerosol</t>
  </si>
  <si>
    <t>CHEMOSPHERE</t>
  </si>
  <si>
    <t>Arctic; Bio aerosol; Amino acids; Algae bloom; Biomass burning</t>
  </si>
  <si>
    <t>SOLUBLE ORGANIC-COMPOUNDS; ATMOSPHERIC AEROSOLS; PARTICULATE MATTER; ANTARCTIC AEROSOL; FOG WATERS; NITROGEN; RACEMIZATION; HYDROLYSIS; COASTAL; MARKERS</t>
  </si>
  <si>
    <t>Aerosol samples were collected with a high-volume cascade impactor with a 10 day sampling frequency at the Gruvebadet observatory, close to Ny-Alesund (Svalbard Islands). A total of 42 filters were analyzed for free and combined amino acids, as they are key components of bio-aerosol. This article provides the first investigation of free and combined L- and n-amino acids in Arctic atmospheric particulate matter. The main aim of this study was to determine how these compounds are distributed in size-segregated aerosols after short-range and long-range atmospheric transport and understand the possible sources of amino acids. The total load of free amino acids ranged from 2.0 to 10.8 pmol m(-3), while combined amino acids ranged from 5.5 to 18.0 pmol m(-3). At these levels amino compounds could play a role in the chemistry of cloud condensation nuclei and fine particles, for example by influencing their buffering capacity and basicity. Free and combined amino acids were mainly found in the fine aerosol fraction (&lt;0.49 mu m) and their concentrations could be affect by several sources, the most important of which were biological primary production and biomass burning. (C) 2018 Elsevier Ltd. All rights reserved.</t>
  </si>
  <si>
    <t>[Feltracco, Matteo; Kirchgeorg, Torben; Barbante, Carlo; Gambaro, Andrea] Ca Foscari Univ Venice, Dept Environm Sci Informat &amp; Stat, Via Torino 155, I-30172 Venice, Italy; [Feltracco, Matteo; Barbaro, Elena; Spolaor, Andrea; Turetta, Clara; Zangrando, Roberta; Barbante, Carlo; Gambaro, Andrea] CNR, Inst Dynam Environm Proc, Via Torino 155, I-30172 Venice, Italy</t>
  </si>
  <si>
    <t>Universita Ca Foscari Venezia; Consiglio Nazionale delle Ricerche (CNR); Istituto per la Dinamica dei Processi Ambientali (IDPA-CNR)</t>
  </si>
  <si>
    <t>Feltracco, M (corresponding author), Ca Foscari Univ Venice, Via Torino 155, I-30172 Venice, Italy.</t>
  </si>
  <si>
    <t>matteo.feltracco@unive.it</t>
  </si>
  <si>
    <t>Spolaor, Andrea/AAX-8808-2020; BARBARO, ELENA/AAK-3106-2021; Turetta, Clara/O-2849-2015; Barbaro, Elena/AAX-8809-2020; Feltracco, Matteo/AAF-3811-2019; Barbante, Carlo/B-3195-2011</t>
  </si>
  <si>
    <t>Spolaor, Andrea/0000-0001-8635-9193; Turetta, Clara/0000-0003-3130-2901; Barbaro, Elena/0000-0003-2639-7475; Feltracco, Matteo/0000-0003-3907-4798; Barbante, Carlo/0000-0003-4177-2288; Kirchgeorg, Torben/0000-0002-5253-8318</t>
  </si>
  <si>
    <t>0045-6535</t>
  </si>
  <si>
    <t>1879-1298</t>
  </si>
  <si>
    <t>Chemosphere</t>
  </si>
  <si>
    <t>10.1016/j.chemosphere.2018.12.147</t>
  </si>
  <si>
    <t>HL3CU</t>
  </si>
  <si>
    <t>WOS:000458591200044</t>
  </si>
  <si>
    <t>Pérez-Espona, S; Goodall-Copestake, WP; Savirina, A; Bobovikova, J; Molina-Rubio, C; Pérez-Barbería, FJ</t>
  </si>
  <si>
    <t>Perez-Espona, Silvia; Goodall-Copestake, William Paul; Savirina, Anna; Bobovikova, Jekaterina; Molina-Rubio, Carles; Javier Perez-Barberia, F.</t>
  </si>
  <si>
    <t>First assessment of MHC diversity in wild Scottish red deer populations</t>
  </si>
  <si>
    <t>EUROPEAN JOURNAL OF WILDLIFE RESEARCH</t>
  </si>
  <si>
    <t>Cervus elaphus; Immunogenetics; Major histocompatibility complex; Population structure; Red deer; Wildlife management</t>
  </si>
  <si>
    <t>MAJOR-HISTOCOMPATIBILITY-COMPLEX; SIKA CERVUS-NIPPON; CLASS-II; GENETIC DIVERSITY; PARASITE RESISTANCE; NATURAL-SELECTION; VARIABLE EXTENT; CLIMATE-CHANGE; C-ELAPHUS; DISEASE</t>
  </si>
  <si>
    <t>Control and mitigation of disease in wild ungulate populations are one of the major challenges in wildlife management. Despite the importance of the major histocompatibility complex (MHC) genes for immune response, assessment of diversity on these genes is still rare for European deer populations. Here, we conducted the first assessment of variation at the second exon of the MHC DRB in wild populations of Scottish highland red deer, the largest continuous population of red deer in Europe. Allelic diversity at these loci was high, with 25 alleles identified. Selection analyses indicated c. 22% of amino acids encoded under episodic positive selection. Patterns of MHC allelic distribution were not congruent with neutral population genetic structure (estimated with 16 nuclear microsatellite markers) in the study area, the latter showing a marked differentiation between populations located at either side of the Great Glen. This study represents a first step towards building an immunogenetic map of red deer populations across Scotland to aid future management strategies for this ecologically and economically important species.</t>
  </si>
  <si>
    <t>[Perez-Espona, Silvia] Univ Edinburgh, Royal Dick Sch Vet Studies, Easter Bush Campus, Roslin EH25 9RG, Midlothian, Scotland; [Perez-Espona, Silvia; Savirina, Anna; Bobovikova, Jekaterina] Anglia Ruskin Univ, East Rd, Cambridge CB1 1PT, England; [Goodall-Copestake, William Paul] British Antarctic Survey, Madingley Rd, Cambridge CB3 0ET, England; [Molina-Rubio, Carles] CSIC, Estn Biol Donana, Amer Vespucio S-N, E-41092 Seville, Spain; [Javier Perez-Barberia, F.] Univ Castilla La Mancha, Inst Invest Recursos Cineget, CSIC, UCLM,JCCM, Campus Univ S-N, Albacete 02071, Spain</t>
  </si>
  <si>
    <t>University of Edinburgh; Anglia Ruskin University; UK Research &amp; Innovation (UKRI); Natural Environment Research Council (NERC); NERC British Antarctic Survey; Consejo Superior de Investigaciones Cientificas (CSIC); CSIC - Estacion Biologica de Donana (EBD); Consejo Superior de Investigaciones Cientificas (CSIC); CSIC - Instituto de Investigacion en Recursos Cinegeticos (IREC); Universidad de Castilla-La Mancha</t>
  </si>
  <si>
    <t>Pérez-Espona, S (corresponding author), Univ Edinburgh, Royal Dick Sch Vet Studies, Easter Bush Campus, Roslin EH25 9RG, Midlothian, Scotland.;Pérez-Espona, S (corresponding author), Anglia Ruskin Univ, East Rd, Cambridge CB1 1PT, England.</t>
  </si>
  <si>
    <t>silvia.perez-espona@ed.ac.uk</t>
  </si>
  <si>
    <t>Goodall-Copestake, William/CAF-6866-2022; Pérez-Espona, Sílvia/AAB-1433-2019; Perez-Espona, Silvia/G-2294-2010; Perez Barberia, Francisco Javier/M-9847-2017</t>
  </si>
  <si>
    <t>Goodall-Copestake, Will/0000-0003-3586-9091; Perez Barberia, Francisco Javier/0000-0001-7513-5418</t>
  </si>
  <si>
    <t>British Deer Society; Rural Affairs Food and Environment Strategic Research-Scottish Government; NERC [bas0100035] Funding Source: UKRI</t>
  </si>
  <si>
    <t>British Deer Society; Rural Affairs Food and Environment Strategic Research-Scottish Government; NERC(UK Research &amp; Innovation (UKRI)Natural Environment Research Council (NERC))</t>
  </si>
  <si>
    <t>This study was funded by the British Deer Society and samples were obtained from a project funded through Rural Affairs Food and Environment Strategic Research-Scottish Government.</t>
  </si>
  <si>
    <t>1612-4642</t>
  </si>
  <si>
    <t>1439-0574</t>
  </si>
  <si>
    <t>EUR J WILDLIFE RES</t>
  </si>
  <si>
    <t>Eur. J. Wildl. Res.</t>
  </si>
  <si>
    <t>10.1007/s10344-019-1254-x</t>
  </si>
  <si>
    <t>Ecology; Zoology</t>
  </si>
  <si>
    <t>Environmental Sciences &amp; Ecology; Zoology</t>
  </si>
  <si>
    <t>HK8LO</t>
  </si>
  <si>
    <t>WOS:000458241500002</t>
  </si>
  <si>
    <t>Sá, MMF; Schaefer, CEGR; Loureiro, DC; Simas, FNB; Alves, BJR; Mendonça, ED; de Figueiredo, EB; La Scala, N; Panosso, AR</t>
  </si>
  <si>
    <t>Firme Sa, Mariana Medice; Schaefer, Carlos Ernesto G. R.; Loureiro, Diego C.; Simas, Felipe N. B.; Alves, Bruno J. R.; Mendonca, Eduardo de Sa; de Figueiredo, Eduardo Barretto; La Scala, Newton, Jr.; Panosso, Alan R.</t>
  </si>
  <si>
    <t>Fluxes of CO2, CH4, and N2O in tundra-covered and Nothofagus forest soils in the Argentinian Patagonia</t>
  </si>
  <si>
    <t>SCIENCE OF THE TOTAL ENVIRONMENT</t>
  </si>
  <si>
    <t>GHG emissions; Tierra del Fuego; Climate change</t>
  </si>
  <si>
    <t>GREENHOUSE-GAS EMISSIONS; NITROUS-OXIDE; METHANE CONSUMPTION; TERRESTRIAL ECOSYSTEMS; MARITIME ANTARCTICA; ORGANIC-MATTER; CARBON; RESPONSES; CRYOSOLS; VARIABILITY</t>
  </si>
  <si>
    <t>While most soils in periglacial environments present high fluxes of CO2 (F-CO2), CH4 (F-CH4), and N2O (F-N2O), few of them have a tendency to drain greenhouse gases from the atmosphere. This study aimed to assess greenhouse gas fluxes at different sub-Antarctic sites and time periods (at the beginning of thaw and height of summer). To investigate the time of year effect on greenhouse gas emissions, F-CO2, F-CH4, and F-N2O were measured at two sites tundra-covered (Ti and Th) and Nothofagus forest soil (Nf) on Monte Martial, at the southernmost tip of South America, Tierra del Fuego, Argentina. F-CO2 ranged from 96.33 to 225.72 mu g CO2 m(-2) s(-1) across all sites and periods, showing a positive correlation with soil temperature (Ts) (4.1 and 8.2 degrees C, respectively) (r(2) &gt; 0.7; p &lt; 0.05). The highest values of F-CO2 were found at Ti and Th (728.2 and 662.64 mu g CO2 m(-2) s(-1), respectively), which were related to higher temperatures (8.2 and 8.6 degrees C, respectively) when compared to those of Nf. For F-CH4, the capture (drain) occurred during both periods at Nf (-26 and -79 mu g C-CH4 m(-2) h(-1)) as well as Ti and Th (-21 and 12 mu g C-CH4 m(-2) h(-1), respectively). FN2O also presented low values during both periods and showed a tendency to drain N2O from the atmosphere, especially at Nf (-2 mu g N-N2O m(-2) h(-1)). In addition, F-N2O was slightly positive for Ti and Th (0.3 and 0.55 mu g N-N2O m(-2) h(-1), respectively). Soil moisture did not show a correlation (p &gt; 0.05) with the measured greenhouse gas fluxes. A scenario of increased temperatures might result in changes in the balance between the emissions and drains of these gases from soils, leading to higher emission values of CH4 and N2O, especially for tundra covered soils (Ti and Th), where the highest average fluxes and thermohydric variations were observed over the year. (c) 2018 Elsevier B.V. All rights reserved.</t>
  </si>
  <si>
    <t>[Firme Sa, Mariana Medice; Alves, Bruno J. R.] Embrapa Agrobiol, Brazilian Agr Res Corp, Rodovia BR 465,Km 7, BR-23891000 Seropedica, RJ, Brazil; [Schaefer, Carlos Ernesto G. R.] Fed Univ Vicosa UFV, Dept Soils, Ave Peter Henry Rolfs S-N, BR-36570000 Vicosa, MG, Brazil; [Loureiro, Diego C.] Fed Univ Sergipe UFS, Dept Agr Engn, Ave Marechal Rondon S-N, BR-49100000 Sao Cristovao, SE, Brazil; [Simas, Felipe N. B.] Fed Univ Vicosa UFV, Dept Educ, Ave Peter Henry Rolfs S-N, BR-36570000 Vicosa, MG, Brazil; [Mendonca, Eduardo de Sa] Fed Univ Espirito Santo UFES, Dept Plant Prod, Alto Univ S-N, BR-29500000 Alegre, ES, Brazil; [de Figueiredo, Eduardo Barretto] Fed Univ Sao Carlos UFSCAR, Dept Rural Dev DDR, Rodovia Anhanguera,Km 174 SP 330, BR-13600970 Araras, SP, Brazil; [La Scala, Newton, Jr.; Panosso, Alan R.] Sao Paulo State Univ FCAV UNESP, Dept Exact Sci, Via Acesso Prof Paulo Donato Castellane S-N, BR-14884900 Jaboticabal, SP, Brazil</t>
  </si>
  <si>
    <t>Empresa Brasileira de Pesquisa Agropecuaria (EMBRAPA); Universidade Federal do Espirito Santo; Universidade Federal de Sao Carlos; Universidade Estadual Paulista</t>
  </si>
  <si>
    <t>Panosso, AR (corresponding author), Sao Paulo State Univ FCAV UNESP, Dept Exact Sci, Via Acesso Prof Paulo Donato Castellane S-N, BR-14884900 Jaboticabal, SP, Brazil.</t>
  </si>
  <si>
    <t>alan.panosso@unesp.br</t>
  </si>
  <si>
    <t>Schaefer, Carlos Ernesto/AAY-4977-2020; Panosso, Alan R/B-6772-2013; Panosso, Alan/AFV-5432-2022; Alves, Bruno Jose Rodrigues/B-8349-2018; de Figueiredo, Eduardo B/A-7489-2013; de Figueiredo, Eduardo Barretto/KHW-1388-2024; La Scala Jr., Newton/C-4398-2012</t>
  </si>
  <si>
    <t>Alves, Bruno Jose Rodrigues/0000-0002-5356-4032; de Figueiredo, Eduardo Barretto/0000-0003-3232-0933; La Scala Jr., Newton/0000-0002-1575-9875; Panosso, Alan Rodrigo/0000-0001-9916-1696</t>
  </si>
  <si>
    <t>Brazilian Federal Agency for Support and Evaluation of Graduate Education (CAPES); Brazilian National Council for Scientific and Technological Development (CNPq)</t>
  </si>
  <si>
    <t>Brazilian Federal Agency for Support and Evaluation of Graduate Education (CAPES)(Coordenacao de Aperfeicoamento de Pessoal de Nivel Superior (CAPES)); Brazilian National Council for Scientific and Technological Development (CNPq)(Conselho Nacional de Desenvolvimento Cientifico e Tecnologico (CNPQ))</t>
  </si>
  <si>
    <t>The authors would like to thank the following Brazilian institutions for their financial support: Brazilian Federal Agency for Support and Evaluation of Graduate Education (CAPES) and Brazilian National Council for Scientific and Technological Development (CNPq).</t>
  </si>
  <si>
    <t>0048-9697</t>
  </si>
  <si>
    <t>1879-1026</t>
  </si>
  <si>
    <t>SCI TOTAL ENVIRON</t>
  </si>
  <si>
    <t>Sci. Total Environ.</t>
  </si>
  <si>
    <t>10.1016/j.scitotenv.2018.12.328</t>
  </si>
  <si>
    <t>HJ6JK</t>
  </si>
  <si>
    <t>WOS:000457293700040</t>
  </si>
  <si>
    <t>Speller, N; Cato, M; McNeice, J; Cantrell, T; Meister, M; Schmidt, B; Stockton, A</t>
  </si>
  <si>
    <t>Speller, Nicholas; Cato, Michael; McNeice, Julianna; Cantrell, Thomas; Meister, Matthew; Schmidt, Britney; Stockton, Amanda</t>
  </si>
  <si>
    <t>Fabricating a portable microfluidic cell counter for Icefin, an autonomous underwater vehicle for exploring under Antarctic ice</t>
  </si>
  <si>
    <t>ABSTRACTS OF PAPERS OF THE AMERICAN CHEMICAL SOCIETY</t>
  </si>
  <si>
    <t>257th National Meeting of the American-Chemical-Society (ACS)</t>
  </si>
  <si>
    <t>MAR 31-APR 04, 2019</t>
  </si>
  <si>
    <t>[Speller, Nicholas; Cato, Michael; McNeice, Julianna; Cantrell, Thomas; Stockton, Amanda] Georgia Inst Technol, Chem &amp; Biochem, Atlanta, GA 30332 USA; [Meister, Matthew; Schmidt, Britney] Georgia Inst Technol, Earth &amp; Atmospher Sci, Atlanta, GA 30332 USA</t>
  </si>
  <si>
    <t>University System of Georgia; Georgia Institute of Technology; University System of Georgia; Georgia Institute of Technology</t>
  </si>
  <si>
    <t>nspeller3@gatech.edu</t>
  </si>
  <si>
    <t>Stockton, Amanda M/C-1173-2012</t>
  </si>
  <si>
    <t>0065-7727</t>
  </si>
  <si>
    <t>ABSTR PAP AM CHEM S</t>
  </si>
  <si>
    <t>Abstr. Pap. Am. Chem. Soc.</t>
  </si>
  <si>
    <t>MAR 31</t>
  </si>
  <si>
    <t>Chemistry, Multidisciplinary</t>
  </si>
  <si>
    <t>IN7KL</t>
  </si>
  <si>
    <t>WOS:000478860500225</t>
  </si>
  <si>
    <t>Canedo-Rosso, C; Uvo, CB; Berndtsson, R</t>
  </si>
  <si>
    <t>Canedo-Rosso, Claudia; Uvo, Cintia B.; Berndtsson, Ronny</t>
  </si>
  <si>
    <t>Precipitation variability and its relation to climate anomalies in the Bolivian Altiplano</t>
  </si>
  <si>
    <t>AMM; AMO; austral summer precipitation; climate phenomena; ENSO; multivariate analysis; NAO; PDO; wavelet analysis</t>
  </si>
  <si>
    <t>NORTH-ATLANTIC OSCILLATION; SOUTHERN-OSCILLATION; PACIFIC; PATTERNS; RAINFALL; ENSO; CIRCULATION; MECHANISMS; AMERICA; DECOMPOSITION</t>
  </si>
  <si>
    <t>Precipitation variability over the Bolivian Altiplano is strongly affected by local climate and temporal variation of large-scale atmospheric flow. Precipitation is the main water source for drinking water and agricultural production. For this reason, a better understanding of precipitation variability and its relation with climate phenomena can provide important information for forecasting of droughts and floods, disaster risk reduction, and improvement of water management. We present results of an analysis of the austral summer precipitation variability at six locations in the Bolivian Altiplano and connections to climate variability. For this purpose, the variability of the summer precipitation was related to El Nino-Southern Oscillation (ENSO), Pacific Decadal Oscillation (PDO), North Atlantic Oscillation (NAO), Antarctic Meridional Mode (AMM), and Atlantic Multidecadal Oscillation (AMO). A statistically significant correlation between climate indices and precipitation was found in various spectral frequencies and power. The variability of the summer precipitation was associated with the climate indices using a band-pass filter, representing the signal at a particular period of time. For the ENSO, band-pass filtering was applied for Nino3.4 and Nino3 at band similar to 2-7 years, for NAO band similar to 5-8 years, and for AMM band similar to 10-13 years. The variability of summer precipitation was related to all studied climate modes by negative relationships. The physical explanation for this is first the dry air transported from the Pacific Ocean to the Altiplano during El Nino events. Second, NAO and ENSO are dynamically linked through teleconnections. Third, the intertropical convergence zone (ITCZ) shifts are northwards during the warm phases of AMM. These physical mechanisms lead to a reduced austral summer precipitation associated with positive phases of the ENSO, NAO, and AMM. The results can be used to better forecast precipitation in the Bolivian Altiplano and provide support for the development of policies to improve climate resilience and risk management of water supply.</t>
  </si>
  <si>
    <t>[Canedo-Rosso, Claudia; Uvo, Cintia B.; Berndtsson, Ronny] Lund Univ, Dept Water Resources Engn, POB 118, SE-22100 Lund, Sweden; [Canedo-Rosso, Claudia] Univ Mayor San Andres, Inst Hidraul &amp; Hidrol, La Paz, Bolivia; [Berndtsson, Ronny] Lund Univ, Ctr Middle Eastern Studies, Lund, Sweden</t>
  </si>
  <si>
    <t>Lund University; Universidad Mayor de San Andres; Lund University</t>
  </si>
  <si>
    <t>Canedo-Rosso, C (corresponding author), Lund Univ, Dept Water Resources Engn, POB 118, SE-22100 Lund, Sweden.</t>
  </si>
  <si>
    <t>canedo.clau@gmail.com</t>
  </si>
  <si>
    <t>Uvo, Cintia B/C-6060-2009; Canedo Rosso, Claudia/JDW-8481-2023; Berndtsson, Ronny/C-7449-2015</t>
  </si>
  <si>
    <t>Canedo Rosso, Claudia/0000-0003-3766-249X; Berndtsson, Ronny/0000-0003-1473-0138; Bertacchi Uvo, Cintia/0000-0002-8497-0295</t>
  </si>
  <si>
    <t>Swedish International Development Agency (SIDA)</t>
  </si>
  <si>
    <t>The authors want to thank the Swedish International Development Agency (SIDA) that funded the present research within a cooperation between the Department of Water Resources Engineering of Lund University and Instituto de Hidraulica e Hidrologia, Universidad Mayor de San Andres. Moreover, we thank the Servicio Nacional de Meteorologia e Hidrologia (SENAMHI) of Bolivia for the precipitation data in the Bolivian Altiplano. The authors would like to thank the anonymous reviewers for their valuable comments and suggestions to improve the quality of the paper.</t>
  </si>
  <si>
    <t>MAR 30</t>
  </si>
  <si>
    <t>10.1002/joc.5937</t>
  </si>
  <si>
    <t>HU7JF</t>
  </si>
  <si>
    <t>WOS:000465456400019</t>
  </si>
  <si>
    <t>Weldrick, CK; Trebilco, R; Swadling, KM</t>
  </si>
  <si>
    <t>Weldrick, Christine K.; Trebilco, Rowan; Swadling, Kerrie M.</t>
  </si>
  <si>
    <t>Can lipid removal affect interpretation of resource partitioning from stable isotopes in Southern Ocean pteropods?</t>
  </si>
  <si>
    <t>FOOD-WEB; CLIONE-LIMACINA; CARBON ISOTOPES; EXTRACTION; ZOOPLANKTON; NICHE; FRACTIONATION; DELTA-N-15; DELTA-C-13; RATIOS</t>
  </si>
  <si>
    <t>Rationale Stable isotope analysis (SIA) is a powerful tool to estimate dietary links between polar zooplankton. However, the presence of highly variable C-12-rich lipids may skew estimations as they are depleted in C-13 relative to proteins and carbohydrates, consequently masking carbon signals from food sources. Lipid effects on pteropod-specific values requires examining, since accounting for lipids is rarely conducted among the few existing pteropod-related SIA studies. It is currently unclear whether lipid correction is necessary prior to SIA of pteropods. Methods Whole bodies of three species of pteropods (Clio pyramidata f. sulcata, Clione limacina antarctica, and Spongiobranchaea australis) sampled from the Southern Ocean were lipid-extracted chemically to test the effects on delta C-13 and delta N-15 values (n = 38 individuals in total). We determined the average change in delta C-13 values for each treatment, and compared this offset with those from published normalization models. We tested lipid correction effects on isotopic niche dispersion metrics to compare interpretations surrounding food web dynamics. Results Pteropods with lipids removed had delta C-13 values up to 4.5 parts per thousand higher than bulk samples. However, lipid extraction also produced higher delta N-15 values than bulk samples. Isotopic niche overlaps between untreated pteropods and their potential food sources were significantly different from overlaps generated between lipid-corrected pteropods and their potential food sources. Data converted using several published normalization models did not reveal significant differences among various calculated niche metrics, including standard ellipse and total area. Conclusions We recommend accounting for lipids via chemical extraction or mathematical normalization before applying SIA to calculate ecological niche metrics, particularly for organisms with moderate to high lipid content such as polar pteropods. Failure to account for lipids may result in misinterpretations of niche dimensions and overlap and, consequently, trophic interactions.</t>
  </si>
  <si>
    <t>[Weldrick, Christine K.; Trebilco, Rowan; Swadling, Kerrie M.] Univ Tasmania, Inst Marine &amp; Antarctic Studies, Private Bag 129, Hobart, Tas 7001, Australia; [Weldrick, Christine K.; Trebilco, Rowan; Swadling, Kerrie M.] Univ Tasmania, Antarctic Climate &amp; Ecosyst Cooperat Res Ctr, Private Bag 80, Hobart, Tas 7001, Australia</t>
  </si>
  <si>
    <t>University of Tasmania; Antarctic Climate &amp; Ecosystems Cooperative Research Centre (ACE CRC); University of Tasmania</t>
  </si>
  <si>
    <t>Weldrick, CK (corresponding author), Univ Tasmania, Inst Marine &amp; Antarctic Studies, Private Bag 129, Hobart, Tas 7001, Australia.</t>
  </si>
  <si>
    <t>christine.weldrick@utas.edu.au</t>
  </si>
  <si>
    <t>Trebilco, Rowan/I-5311-2012; Weldrick, Christine/N-2617-2017</t>
  </si>
  <si>
    <t>Trebilco, Rowan/0000-0001-9712-8016; Weldrick, Christine/0000-0003-1099-438X; Swadling, Kerrie/0000-0002-7620-841X</t>
  </si>
  <si>
    <t>Australian Antarctic Division [4331, 4344]; Australian Nuclear Science and Technology Organisation, United Uranium Scholarship [10043]; Ecological Society of Australia; Equity Trustees Charitable Foundation; Holsworth Wildlife Research Endowment [109804]</t>
  </si>
  <si>
    <t>Australian Antarctic Division; Australian Nuclear Science and Technology Organisation, United Uranium Scholarship; Ecological Society of Australia; Equity Trustees Charitable Foundation; Holsworth Wildlife Research Endowment</t>
  </si>
  <si>
    <t>Australian Antarctic Division, Grant/Award Numbers: Science Grant 4331 and Science Grant 4344; Australian Nuclear Science and Technology Organisation, United Uranium Scholarship, Grant/Award Number: 10043; Ecological Society of Australia; Equity Trustees Charitable Foundation; Holsworth Wildlife Research Endowment, Grant/Award Number: 109804</t>
  </si>
  <si>
    <t>10.1002/rcm.8384</t>
  </si>
  <si>
    <t>HM9QD</t>
  </si>
  <si>
    <t>WOS:000459819100003</t>
  </si>
  <si>
    <t>Ohtani, M; Villumsen, KR; Strom, HK; Lauritsen, AH; Aalbæk, B; Dalsgaard, I; Nowak, B; Raida, MK; Bojesen, AM</t>
  </si>
  <si>
    <t>Ohtani, Maki; Villumsen, Kasper Romer; Strom, Helene Kragelund; Lauritsen, Anne Hjorngaard; Aalbaek, Bent; Dalsgaard, Inger; Nowak, Barbara; Raida, Martin Kristian; Bojesen, Anders Miki</t>
  </si>
  <si>
    <t>Effects of fish size and route of infection on virulence of a Danish Yersinia ruckeri O1 biotype 2 strain in rainbow trout (Oncorhynchus mykiss)</t>
  </si>
  <si>
    <t>AQUACULTURE</t>
  </si>
  <si>
    <t>Yersinia ruckeri O1 biotype 2; Bath; Intraperitoneal injection; Anal intubation; Cohabitation</t>
  </si>
  <si>
    <t>SALMO-SALAR L.; ATLANTIC SALMON; AEROMONAS-SALMONICIDA; COHABITATION; WALBAUM; FURUNCULOSIS; CHALLENGE; INDUCTION; DISEASE</t>
  </si>
  <si>
    <t>The comparative virulence of Yersinia ruckeri serotype O1 biotype 2 strain 07111224 from a Danish outbreak of enteric redmouth disease in rainbow trout (Oncorhynchus mykiss) was investigated in different sizes of rainbow trout (5, 19, 25 and 52 g) using a panel of challenge methods (bath, intraperitoneal (IP) injection, anal intubation and cohabitation). The results show that Y. ruckeri 07111224 is virulent enough to successfully cause mortality in 5-52 g rainbow trout through three different infection routes (bath, IP injection and anal intubation), and strongly suggests that susceptibility to Y. ruckeri infection is dependent on fish size. Bath challenge (10(8) CFU/ml) caused 79% mortality in 5 g fish, while the mortality in 19-52 g fish was approximately 26%. IP injection challenges (10(5)-10(6) CFU/individual) resulted in high mortalites in fish of all sizes. Anal intubation challenges (10(9) CFU/individual) induced 82% mortality in 5 g fish and decreased with increasing fish weight. Finally, cohabitation challenges induced 45% mortality in 5 g test fish when test fish were cohabitated 1:1 with shedder fish, while mortalities in test fish of five other challenge groups were lower (5-25%). Statistical models were fit to the data from each challenge model. The model parameter predictions suggests statistically significant effects of fish weight for bath, IP and anal intubation challenges. Furthermore, they highlight the importance of the ratio of shedders to test fish in cohabitation challenges and of the challenge doses, in particular for the IP challenge model.</t>
  </si>
  <si>
    <t>[Ohtani, Maki; Villumsen, Kasper Romer; Strom, Helene Kragelund; Aalbaek, Bent; Raida, Martin Kristian; Bojesen, Anders Miki] Univ Copenhagen, Fac Hlth &amp; Med Sci, Dept Vet &amp; Anim Sci, DK-1870 Frederiksberg C, Denmark; [Lauritsen, Anne Hjorngaard] BioMar AS, DK-7330 Brande, Denmark; [Dalsgaard, Inger] Tech Univ Denmark, Natl Vet Inst, DK-2800 Lyngby, Denmark; [Nowak, Barbara] Univ Tasmania, Inst Marine &amp; Antarctic Studies, Launceston, Tas, Australia; [Nowak, Barbara] Aarhus Univ, Dept Biosci, Arctic Res Ctr, Aarhus, Denmark; [Raida, Martin Kristian] Novo Nord AS, DK-2820 Gentofte, Denmark</t>
  </si>
  <si>
    <t>University of Copenhagen; Technical University of Denmark; University of Tasmania; Aarhus University; Novo Nordisk</t>
  </si>
  <si>
    <t>Bojesen, AM (corresponding author), Univ Copenhagen, Fac Hlth &amp; Med Sci, Dept Vet &amp; Anim Sci, Sect Vet Clin Microbiol, Stigbojlen 4, DK-1870 Frederiksberg C, Denmark.</t>
  </si>
  <si>
    <t>miki@sund.ku.dk</t>
  </si>
  <si>
    <t>Villumsen, Kasper Rømer/L-2471-2019; Bojesen, Anders Miki/CAG-0739-2022; Nowak, Barbara/J-7261-2014</t>
  </si>
  <si>
    <t>Villumsen, Kasper Rømer/0000-0002-0616-4095; Bojesen, Anders Miki/0000-0003-4030-0019; Nowak, Barbara/0000-0002-0347-643X; Dalsgaard, Inger/0000-0003-2066-1060</t>
  </si>
  <si>
    <t>GUDP program under The Danish Ministry of Food, Agriculture and Fisheries [34009-13-0703]; Danish Council for Independent Research - Technology and Production [1335-00774]</t>
  </si>
  <si>
    <t>GUDP program under The Danish Ministry of Food, Agriculture and Fisheries; Danish Council for Independent Research - Technology and Production(Det Frie Forskningsrad (DFF))</t>
  </si>
  <si>
    <t>This study was financially supported by the GUDP program (34009-13-0703) under The Danish Ministry of Food, Agriculture and Fisheries. Helene Kragelund Strom was financially supported by The Danish Council for Independent Research - Technology and Production (1335-00774).</t>
  </si>
  <si>
    <t>0044-8486</t>
  </si>
  <si>
    <t>1873-5622</t>
  </si>
  <si>
    <t>Aquaculture</t>
  </si>
  <si>
    <t>10.1016/j.aquaculture.2019.01.041</t>
  </si>
  <si>
    <t>HL4XW</t>
  </si>
  <si>
    <t>WOS:000458730400060</t>
  </si>
  <si>
    <t>McDonald, J; McGee, J; Brent, K; Burns, W</t>
  </si>
  <si>
    <t>McDonald, Jan; McGee, Jeffrey; Brent, Kerryn; Burns, Wil</t>
  </si>
  <si>
    <t>Governing geoengineering research for the Great Barrier Reef</t>
  </si>
  <si>
    <t>CLIMATE POLICY</t>
  </si>
  <si>
    <t>Geoengineering; Great Barrier Reef; law and governance; public consultation</t>
  </si>
  <si>
    <t>GOVERNANCE</t>
  </si>
  <si>
    <t>Coral reefs are highly vulnerable to the impacts of rising marine temperatures and marine heatwaves. Mitigating dangerous climate change is essential and urgent, but many reef systems are already suffering on current levels of warming. Geoengineering options are worth exploring to protect the Great Barrier Reef (GBR) from extreme warming conditions, but we contend that they require strong governance and public consultation from the outset. Australian governments are currently funding feasibility testing of three geoengineering proposals for the GBR. Each proposal involves manipulating ocean or atmospheric conditions to lower water temperatures and thereby reduce the threat of mass coral bleaching events. Innovative strategies to protect the GBR and field testing of these is essential, but current laws do not guarantee robust governance for field testing of these technologies. Nor do they provide the foundation for a more coherent national policy on climate intervention technologies more generally. Responsible governance frameworks, including detailed risk assessment and early public consultation, are necessary for geoengineering research to build legitimacy and promote scientific progress.</t>
  </si>
  <si>
    <t>[McDonald, Jan; Brent, Kerryn] Univ Tasmania, Sch Law, Private 89, Hobart, Tas 7002, Australia; [McDonald, Jan; McGee, Jeffrey; Brent, Kerryn] Univ Tasmania, Ctr Marine Socioecol, Private 89, Hobart, Tas 7002, Australia; [McGee, Jeffrey] Univ Tasmania, Sch Law, Inst Marine &amp; Antarctic Studies, Hobart, Tas, Australia; [Burns, Wil] Amer Univ, Sch Int Serv, Washington, DC 20016 USA</t>
  </si>
  <si>
    <t>University of Tasmania; University of Tasmania; University of Tasmania; American University</t>
  </si>
  <si>
    <t>McDonald, J (corresponding author), Univ Tasmania, Sch Law, Private 89, Hobart, Tas 7002, Australia.;McDonald, J (corresponding author), Univ Tasmania, Ctr Marine Socioecol, Private 89, Hobart, Tas 7002, Australia.</t>
  </si>
  <si>
    <t>jan.mcdonald@utas.edu.au</t>
  </si>
  <si>
    <t>Brent, Kerryn Anne/T-9075-2019; McGee, Jeffrey/K-7322-2015; McDonald, Jan/J-7204-2014</t>
  </si>
  <si>
    <t>Brent, Kerryn Anne/0000-0003-0983-2906; McGee, Jeffrey/0000-0002-2093-5896; McDonald, Jan/0000-0002-7953-1458</t>
  </si>
  <si>
    <t>Centre for International Governance Innovation at Waterloo, Canada</t>
  </si>
  <si>
    <t>Research for this letter was partially funded by the Centre for International Governance Innovation at Waterloo, Canada.</t>
  </si>
  <si>
    <t>1469-3062</t>
  </si>
  <si>
    <t>1752-7457</t>
  </si>
  <si>
    <t>CLIM POLICY</t>
  </si>
  <si>
    <t>Clim. Policy</t>
  </si>
  <si>
    <t>AUG 9</t>
  </si>
  <si>
    <t>10.1080/14693062.2019.1592742</t>
  </si>
  <si>
    <t>MAR 2019</t>
  </si>
  <si>
    <t>Environmental Studies; Public Administration</t>
  </si>
  <si>
    <t>Environmental Sciences &amp; Ecology; Public Administration</t>
  </si>
  <si>
    <t>IK9RV</t>
  </si>
  <si>
    <t>WOS:000469658600001</t>
  </si>
  <si>
    <t>Dennison, F; Keeble, J; Morgenstern, O; Zeng, G; Abraham, NL; Yang, X</t>
  </si>
  <si>
    <t>Dennison, Fraser; Keeble, James; Morgenstern, Olaf; Zeng, Guang; Abraham, N. Luke; Yang, Xin</t>
  </si>
  <si>
    <t>Improvements to stratospheric chemistry scheme in the UM-UKCA (v10.7) model: solar cycle and heterogeneous reactions</t>
  </si>
  <si>
    <t>CLIMATE-COMPOSITION MODEL; SOUTHERN-HEMISPHERE; SULFURIC-ACID; ACCURATE SIMULATION; ATMOSPHERIC OZONE; GREENHOUSE-GAS; PART 1; CHLORINE; VARIABILITY; CIRCULATION</t>
  </si>
  <si>
    <t>Improvements are made to two areas of the United Kingdom Chemistry and Aerosol (UKCA) module, which forms part of the Met Office Unified Model (UM) used for weather and climate applications. Firstly, a solar cycle is added to the photolysis scheme. The effect on total column ozone of this addition was found to be around 1 %-2% in midlatitude and equatorial regions, in phase with the solar cycle. Secondly, reactions occurring on the surfaces of polar stratospheric clouds and sulfate aerosol are updated and extended by modification of the uptake coefficients of five existing reactions and the addition of a further eight reactions involving bromine species. These modifications are shown to reduce the overabundance of modelled total column ozone in the Arctic during October to February, southern midlatitudes during August and the Antarctic during September. Antarctic springtime ozone depletion is shown to be enhanced by 25 DU on average, which now causes the ozone hole to be somewhat too deep compared to observations. We show that this is in part due to a cold bias of the Antarctic polar vortex in the model.</t>
  </si>
  <si>
    <t>[Dennison, Fraser; Morgenstern, Olaf; Zeng, Guang] Natl Inst Water &amp; Atmospher Res, Wellington, New Zealand; [Keeble, James; Abraham, N. Luke] Univ Cambridge, Dept Chem, Ctr Atmospher Sci, Cambridge, England; [Keeble, James; Abraham, N. Luke] Natl Ctr Atmospher Sci, Leeds, W Yorkshire, England; [Yang, Xin] British Antarctic Survey, Cambridge, England; [Dennison, Fraser] CSIRO Oceans &amp; Atmosphere, Aspendale, Vic, Australia</t>
  </si>
  <si>
    <t>National Institute of Water &amp; Atmospheric Research (NIWA) - New Zealand; University of Cambridge; University of Leeds; UK Research &amp; Innovation (UKRI); Natural Environment Research Council (NERC); NERC National Centre for Atmospheric Science; UK Research &amp; Innovation (UKRI); Natural Environment Research Council (NERC); NERC British Antarctic Survey; Commonwealth Scientific &amp; Industrial Research Organisation (CSIRO)</t>
  </si>
  <si>
    <t>Dennison, F (corresponding author), Natl Inst Water &amp; Atmospher Res, Wellington, New Zealand.;Dennison, F (corresponding author), CSIRO Oceans &amp; Atmosphere, Aspendale, Vic, Australia.</t>
  </si>
  <si>
    <t>fraser.dennison@csiro.au</t>
  </si>
  <si>
    <t>Yang, Xin/AGB-3514-2022; Dennison, Fraser/ABC-3115-2020; Dennison, Fraser/JAC-3965-2023</t>
  </si>
  <si>
    <t>Yang, Xin/0000-0002-3838-9758; Abraham, Nathan Luke/0000-0003-3750-3544; Keeble, James/0000-0003-2714-1084; Morgenstern, Olaf/0000-0002-9967-9740; Zeng, Guang/0000-0002-9356-5021; Dennison, Fraser/0000-0003-3931-3736</t>
  </si>
  <si>
    <t>New Zealand Government Ministry for Business, Innovation, and Employment (MBIE) through the Deep South National Science Challenge; NIWA; European Community [603557]; NERC/UK [NE/M015394/1]; MBIE's Research Infrastructure programme; New Zealand Deep South National Science Challenge; NERC [bas0100032, ncas10014] Funding Source: UKRI</t>
  </si>
  <si>
    <t>New Zealand Government Ministry for Business, Innovation, and Employment (MBIE) through the Deep South National Science Challenge(New Zealand Ministry of Business, Innovation and Employment (MBIE)); NIWA; European Community; NERC/UK(UK Research &amp; Innovation (UKRI)Natural Environment Research Council (NERC)); MBIE's Research Infrastructure programme(New Zealand Ministry of Business, Innovation and Employment (MBIE)); New Zealand Deep South National Science Challenge; NERC(UK Research &amp; Innovation (UKRI)Natural Environment Research Council (NERC))</t>
  </si>
  <si>
    <t>This work has been funded by the New Zealand Government Ministry for Business, Innovation, and Employment (MBIE) through the Deep South National Science Challenge. This work has also been supported by NIWA as part of its government-funded core research. Also, funding was received from European Community's Seventh Framework Programme (FP7/2007-2013) under grant agreement no. 603557 (StratoClim). Xin Yang acknowledges financial support from NERC/UK through the project NE/M015394/1. The authors wish to acknowledge the contribution of NeSI high-performance computing facilities to the results of this research. New Zealand's national facilities are provided by the New Zealand eScience Infrastructure (NeSI) and funded jointly by NeSI's collaborator institutions and through MBIE's Research Infrastructure programme (https://www.nesi.org.nz). We would also like to thank Bodeker Scientific, funded by the New Zealand Deep South National Science Challenge, for providing the combined NIWA-BS total column ozone database.</t>
  </si>
  <si>
    <t>MAR 29</t>
  </si>
  <si>
    <t>10.5194/gmd-12-1227-2019</t>
  </si>
  <si>
    <t>HR1DS</t>
  </si>
  <si>
    <t>WOS:000462869500002</t>
  </si>
  <si>
    <t>McCormack, FS; Roberts, JL; Jong, LM; Young, DA; Beem, LH</t>
  </si>
  <si>
    <t>McCormack, Felicity S.; Roberts, Jason L.; Jong, Lenneke M.; Young, Duncan A.; Beem, Lucas H.</t>
  </si>
  <si>
    <t>A note on digital elevation model smoothing and driving stresses</t>
  </si>
  <si>
    <t>Ice-flow direction; smoothing filter; Antarctic ice sheet; ice-sheet dynamics</t>
  </si>
  <si>
    <t>ICE FLOW; SURFACE; THICKNESS; RADAR</t>
  </si>
  <si>
    <t>Ice-flow fields, including the driving stress, provide important information on the current state and evolution of Antarctic and Greenland ice-sheet dynamics. However, computation of flow fields from continent-scale DEMs requires the use of smoothing functions and scales, the choice of which can be ad hoc. This study evaluates smoothing functions and scales for robust calculations of driving stress from Antarctic DEMs. Our approach compares a variety of filters and scales for their capacity to minimize the residual between predicted and observed flow direction fields. We find that a spatially varying triangular filter with a width of 8-10 ice thicknesses provides the closest match between the observed and predicted flow direction fields. We use the predicted flow direction fields to highlight artefacts in observed Antarctic velocities, demonstrating that comparison of multiple observational data sets has utility for quality control of continent-scale data sets.</t>
  </si>
  <si>
    <t>[McCormack, Felicity S.] Univ Tasmania, Inst Marine &amp; Antarctic Studies, Hobart, Tas 7001, Australia; [Roberts, Jason L.; Jong, Lenneke M.] Australian Antarctic Div, Kingston, Tas, Australia; [Roberts, Jason L.; Jong, Lenneke M.] Univ Tasmania, Antarctic Climate &amp; Ecosyst Cooperat Res Ctr, Hobart, Tas, Australia; [Young, Duncan A.; Beem, Lucas H.] Univ Texas Austin, Inst Geophys, Jackson Sch Geosci, Austin, TX USA</t>
  </si>
  <si>
    <t>University of Tasmania; Australian Antarctic Division; Antarctic Climate &amp; Ecosystems Cooperative Research Centre (ACE CRC); University of Tasmania; University of Texas System; University of Texas Austin</t>
  </si>
  <si>
    <t>McCormack, FS (corresponding author), Univ Tasmania, Inst Marine &amp; Antarctic Studies, Hobart, Tas 7001, Australia.</t>
  </si>
  <si>
    <t>felicity.mccormack@utas.edu.au</t>
  </si>
  <si>
    <t>Roberts, Jason L/B-2235-2012; Jong, Lenneke M/AAT-3230-2020; Young, Duncan A./G-6256-2010; McCormack, Felicity/B-9218-2015</t>
  </si>
  <si>
    <t>Roberts, Jason L/0000-0002-3477-4069; Jong, Lenneke M/0000-0001-6707-570X; McCormack, Felicity/0000-0002-2324-2120</t>
  </si>
  <si>
    <t>Australian Antarctic Division [ASAC 4077, AAS 4346]; Australian Government's Cooperative Research Centres Programme through the Antarctic Climate and Ecosystems Cooperative Research Centre; Australian Government's Cooperative Research Centres Programme under Australian Research Council's Special Research Initiative for Antarctic Gunderateway Partnership [SR140300001]; US National Science Foundation [PLR-1443690]</t>
  </si>
  <si>
    <t>Australian Antarctic Division; Australian Government's Cooperative Research Centres Programme through the Antarctic Climate and Ecosystems Cooperative Research Centre(Australian GovernmentDepartment of Industry, Innovation and ScienceCooperative Research Centres (CRC) Programme); Australian Government's Cooperative Research Centres Programme under Australian Research Council's Special Research Initiative for Antarctic Gunderateway Partnership; US National Science Foundation(National Science Foundation (NSF))</t>
  </si>
  <si>
    <t>The Australian Antarctic Division provided funding and logistical support (ASAC 4077 and AAS 4346). This work was supported by the Australian Government's Cooperative Research Centres Programme through the Antarctic Climate and Ecosystems Cooperative Research Centre and under the Australian Research Council's Special Research Initiative for Antarctic Gateway Partnership (Project ID SR140300001). DY and LB were supported by US National Science Foundation grant PLR-1443690. This is University of Texas Institute for Geophysics (UTIG) contribution #3392.</t>
  </si>
  <si>
    <t>MAR 28</t>
  </si>
  <si>
    <t>10.33265/polar.v38.3498</t>
  </si>
  <si>
    <t>IH1EM</t>
  </si>
  <si>
    <t>gold, Green Submitted, Green Published</t>
  </si>
  <si>
    <t>WOS:000474234100001</t>
  </si>
  <si>
    <t>Shi, GT; Chai, JJ; Zhu, ZY; Hu, ZY; Chen, ZL; Yu, JH; Ma, TM; Ma, HM; An, CL; Jiang, S; Tang, XY; Hastings, MG</t>
  </si>
  <si>
    <t>Shi, Guitao; Chai, Jiajue; Zhu, Zhuoyi; Hu, Zhengyi; Chen, Zhenlou; Yu, Jinhai; Ma, Tianming; Ma, Hongmei; An, Chunlei; Jiang, Su; Tang, Xueyuan; Hastings, Meredith G.</t>
  </si>
  <si>
    <t>Isotope Fractionation of Nitrate During Volatilization in Snow: A Field Investigation in Antarctica</t>
  </si>
  <si>
    <t>nitrate; stable isotope; snow; volatilization; coupled cluster method</t>
  </si>
  <si>
    <t>ICE-CORE; FORMATION PATHWAYS; REACTIVE NITROGEN; EAST ANTARCTICA; GREENLAND; PHOTOCHEMISTRY; RECORDS; LAYER; ACCUMULATION; PRESERVATION</t>
  </si>
  <si>
    <t>Several postdepositional processes impact snow nitrate; however, only the isotopic effects of nitrate photolysis have been quantified. Here we discuss results from experiments in field Antarctic snow investigating isotopic fractionation of nitrate due to volatilization. At -35 degrees C, concentration and isotopic composition of nitrate remained constant during the 16-day experiment. At -24 degrees C, 7.5% of nitrate was lost, synchronous with 1.5 decrease in delta O-18 and a constant delta N-15. At -4 degrees C, 38% of nitrate was lost, and delta N-15 and delta O-18 decreased by 3.1 and 1.8, respectively. Results at -4 degrees C yield calculated fractionation constants close to theoretical estimates including equilibrium isotopic exchange between nitric acid and nitrate and the desorption of nitric acid from water in quasi-liquid layers. This suggests that isotopic fractionation associated with nitrate volatilization across most of Antarctica, especially at sites with temperatures &lt;-24 degrees C, should be minor, but the isotopic effects at warmer sites should be considered in interpreting archived nitrate records. Plain Language Summary In polar regions, there is great interest in using nitrate archived in snow/ice to reconstruct aspects of atmospheric composition and the influence of natural versus man-made emissions. However, nitrate can be lost from the snowpack, such that the archived signals do not directly reflect atmospheric loading. Stable isotopes of nitrate in snow/ice allow for tracking and understanding the origins of nitrate and how it might have changed after deposition. While the isotopic fractionation associated with photolytic loss of nitrate has been directly quantified, that of volatilization remains poorly understood. Thus, we completed field experiments in Antarctica to investigate the isotopic effects of nitrate volatilization from snow. Results show that nitrate volatilization loss is significant at -4 degrees C, resulting in an important change (depletion of heavy isotopes) in both nitrogen and oxygen in remaining snow nitrate. This can be largely explained by a combination of equilibrium isotopic exchange between nitric acid and nitrate and the desorption of nitric acid from water in ice surface layers. At lower temperatures (&lt;-24 degrees C), nitrate loss is rather minor, and the isotopic fractionation is found to be negligible. The findings suggest that the isotopic effects of NO3- volatilization in snow are closely related to temperature.</t>
  </si>
  <si>
    <t>[Shi, Guitao; Chen, Zhenlou] East China Normal Univ, Key Lab Geog Informat Sci, Minist Educ, Sch Geog Sci, Shanghai, Peoples R China; [Shi, Guitao; Chen, Zhenlou] East China Normal Univ, Inst Ecochongming, Shanghai, Peoples R China; [Shi, Guitao; Hu, Zhengyi; Yu, Jinhai; Ma, Tianming; Ma, Hongmei; An, Chunlei; Jiang, Su; Tang, Xueyuan] Polar Res Inst China, Shanghai, Peoples R China; [Chai, Jiajue; Hastings, Meredith G.] Brown Univ, Dept Earth Environm &amp; Planetary Sci, Providence, RI 02912 USA; [Chai, Jiajue; Hastings, Meredith G.] Brown Univ, Inst Brown Environm &amp; Soc, Providence, RI 02912 USA; [Zhu, Zhuoyi] East China Normal Univ, State Key Lab Estuarine &amp; Coastal Res, Shanghai, Peoples R China</t>
  </si>
  <si>
    <t>East China Normal University; East China Normal University; Polar Research Institute of China; Brown University; Brown University; East China Normal University</t>
  </si>
  <si>
    <t>Shi, GT (corresponding author), East China Normal Univ, Key Lab Geog Informat Sci, Minist Educ, Sch Geog Sci, Shanghai, Peoples R China.;Shi, GT (corresponding author), East China Normal Univ, Inst Ecochongming, Shanghai, Peoples R China.;Shi, GT (corresponding author), Polar Res Inst China, Shanghai, Peoples R China.;Hastings, MG (corresponding author), Brown Univ, Dept Earth Environm &amp; Planetary Sci, Providence, RI 02912 USA.;Hastings, MG (corresponding author), Brown Univ, Inst Brown Environm &amp; Soc, Providence, RI 02912 USA.</t>
  </si>
  <si>
    <t>gt_shi@163.com; meredith_hastings@brown.edu</t>
  </si>
  <si>
    <t>Zhu, Zhuoyi/HNS-4424-2023; Hastings, Meredith G/C-6199-2008</t>
  </si>
  <si>
    <t>Shi, Guitao/0000-0003-1702-6322; An, Chunlei/0000-0002-8579-2400; Yu, Jinhai/0000-0003-4945-9405; Zhu, Zhuo-Yi/0000-0002-0276-2418</t>
  </si>
  <si>
    <t>National Science Foundation of China [41576190, 41206188, 41476169]; Fundamental Research Funds for the Central Universities; U.S. National Science Foundation Antarctic Glaciology Program [1246223]; National Key Research and Development Program of China [2016YFA0302204]; Office of Polar Programs (OPP); Directorate For Geosciences [1246223] Funding Source: National Science Foundation</t>
  </si>
  <si>
    <t>National Science Foundation of China(National Natural Science Foundation of China (NSFC)); Fundamental Research Funds for the Central Universities(Fundamental Research Funds for the Central Universities); U.S. National Science Foundation Antarctic Glaciology Program(National Science Foundation (NSF)NSF - Directorate for Geosciences (GEO)); National Key Research and Development Program of China; Office of Polar Programs (OPP); Directorate For Geosciences(National Science Foundation (NSF)NSF - Directorate for Geosciences (GEO))</t>
  </si>
  <si>
    <t>This research was supported by the National Science Foundation of China (grants 41576190 and 41206188 to G.S.; grant 41476169 to S.J.), the Fundamental Research Funds for the Central Universities (to G.S.), the U.S. National Science Foundation Antarctic Glaciology Program (grant 1246223 to M.G.H.), and the National Key Research and Development Program of China (grant 2016YFA0302204 to G.S.). The authors are grateful to Ruby Ho at Brown University and the 32th CHINARE inland members for the technical support and assistance. The experiment data are included in the supporting information.</t>
  </si>
  <si>
    <t>10.1029/2019GL081968</t>
  </si>
  <si>
    <t>HT6BZ</t>
  </si>
  <si>
    <t>WOS:000464650400031</t>
  </si>
  <si>
    <t>Llort, J; Lévy, M; Sallée, JB; Tagliabue, A</t>
  </si>
  <si>
    <t>Llort, J.; Levy, M.; Sallee, J. B.; Tagliabue, A.</t>
  </si>
  <si>
    <t>Nonmonotonic Response of Primary Production and Export to Changes in Mixed-Layer Depth in the Southern Ocean</t>
  </si>
  <si>
    <t>Southern Ocean; carbon export; phytoplankton; primary production; mixed-layer depth; CMIP5</t>
  </si>
  <si>
    <t>MODELS HISTORICAL BIAS; ANNULAR MODE; ENVIRONMENTAL-CONTROL; COMMUNITY STRUCTURE; CARBON EXPORT; PHYTOPLANKTON; CMIP5; IRON; VARIABILITY; DRIVERS</t>
  </si>
  <si>
    <t>Ongoing and future changes in wind and temperature are predicted to alter upper ocean vertical mixing across the Southern Ocean. How these changes will affect primary production (PP) remains unclear as mixing influences the two controlling factors: light and iron. We used a large ensemble of 1-D-biogeochemical model simulations to explore the impacts of changes in mixed-layer depths on PP in the Southern Ocean. In summer, shoaling mixed-layer depth always reduced depth-integrated PP, despite increasing production rates. In winter, shoaling mixed layers had a two-staged impact: for moderate shoaling PP increased as light conditions improved, but more pronounced shoaling decreased iron supply, which reduced PP. The fraction of PP exported below 100 m also presented a nonmonotonic behavior. This suggests a potential future shift from a situation where reduced winter mixing increases PP and export, to a situation where PP and export may collapse if the ML shoals above a threshold depth. Plain Language Summary In the Southern Ocean, atmospheric warming associated to climate change is altering the depth at which surface waters are stirred, the so-called mixed-layer depth. A change in the mixed-layer depth impacts the phytoplankton cells that inhabit it by altering their two main limiting factors: iron and light. However, the sign and magnitude of this impact are still not clear. In this work we used mathematical simulations to explain how changes in the seasonal mixed-layer depth modify the supply of iron and the amount of light, and how these changes impact phytoplankton activity. Our results show that mixed-layer depth changes in summer and in winter have different impacts. Reducing summer mixed-layer depth did not change the iron supply, but it reduced the volume of water where phytoplankton thrived. In winter, shallower mixed-layer depth altered iron and light but in opposed ways. At first, phytoplankton increased its activity as more light became available. However, a continued shallowing of the mixed-layer depth eventually reduced the iron supply and the phytoplankton activity. Our study proposes a new interpretation on how ongoing changes in the Southern Ocean impact phytoplankton activity and alerts of the presence of threshold depths for the winter mixed layer above which phytoplankton may struggle to survive.</t>
  </si>
  <si>
    <t>[Llort, J.] Univ Tasmania, Inst Marine &amp; Antarctic Studies, Hobart, Tas, Australia; [Llort, J.] Australian Res Council, Ctr Excellence Climate Syst Sci, Hobart, Tas, Australia; [Levy, M.; Sallee, J. B.] Sorbonne Univ, CNRS IRD MNHN, LOCEAN IPSL, Paris, France; [Tagliabue, A.] Univ Liverpool, Sch Environm Sci, Liverpool, Merseyside, England</t>
  </si>
  <si>
    <t>University of Tasmania; Sorbonne Universite; Institut de Recherche pour le Developpement (IRD); Museum National d'Histoire Naturelle (MNHN); University of Liverpool</t>
  </si>
  <si>
    <t>Llort, J (corresponding author), Univ Tasmania, Inst Marine &amp; Antarctic Studies, Hobart, Tas, Australia.;Llort, J (corresponding author), Australian Res Council, Ctr Excellence Climate Syst Sci, Hobart, Tas, Australia.</t>
  </si>
  <si>
    <t>jllort@utas.edu.au</t>
  </si>
  <si>
    <t>Llort, Joan/O-2162-2017; SALLEE, Jean baptiste/HDO-5355-2022; SALLEE, Jean baptiste/A-5837-2010; Levy, Marina/A-1315-2012</t>
  </si>
  <si>
    <t>Llort, Joan/0000-0003-1490-4521; SALLEE, Jean baptiste/0000-0002-6109-5176; Tagliabue, Alessandro/0000-0002-3572-3634; Levy, Marina/0000-0003-2961-608X</t>
  </si>
  <si>
    <t>Sorbonne Universite through the project PERSU; EU (FP7-PEOPLE-2012-IRSES); SOBUMS project - Agence Nationale de la Recherche [ANR-16-CE01-0014]; Australian Research Council's Special Research Initiative for Antarctic Gateway Partnership [SR140300001]</t>
  </si>
  <si>
    <t>Sorbonne Universite through the project PERSU; EU (FP7-PEOPLE-2012-IRSES); SOBUMS project - Agence Nationale de la Recherche; Australian Research Council's Special Research Initiative for Antarctic Gateway Partnership(Australian Research Council)</t>
  </si>
  <si>
    <t>We thank Laurent Bopp, Christian Ethe, Julien LeSommer, and Olivier Aumont for the technical support and insightful comments that strongly benefited this study. We also thank the two anonymous reviewers who took the time to review this work. We would like to acknowledge support from Sorbonne Universite through the project PERSU. This study also benefited from the staffexchange project SOCCLI, funded by EU (FP7-PEOPLE-2012-IRSES) and the SOBUMS project, funded by the Agence Nationale de la Recherche (ANR-16-CE01-0014). This research was supported under Australian Research Council's Special Research Initiative for Antarctic Gateway Partnership (Project ID SR140300001). The ensemble of model outputs used in this study can be freely accessed at https://metadata.imas.utas.edu.au/geonetwork/srv/eng/main.home, and the PISCES code specific for the model configuration used in this study is available at https://github.com/jllort.</t>
  </si>
  <si>
    <t>10.1029/2018GL081788</t>
  </si>
  <si>
    <t>WOS:000464650400039</t>
  </si>
  <si>
    <t>Rondanelli, R; Hatchett, B; Rutllant, J; Bozkurt, D; Garreaud, R</t>
  </si>
  <si>
    <t>Rondanelli, R.; Hatchett, B.; Rutllant, J.; Bozkurt, D.; Garreaud, R.</t>
  </si>
  <si>
    <t>Strongest MJO on Record Triggers Extreme Atacama Rainfall and Warmth in Antarctica</t>
  </si>
  <si>
    <t>Rossby waves; extremes; flooding; atmospheric rivers; Antarctica; climate dynamics</t>
  </si>
  <si>
    <t>MADDEN-JULIAN OSCILLATION; MARCH 2015; ATMOSPHERIC CIRCULATION; PRECIPITATION EVENTS; SOUTHERN-HEMISPHERE; CUTOFF LOWS; CHILE; TEMPERATURE; CONVECTION</t>
  </si>
  <si>
    <t>Tropical perturbations have been shown theoretically and observationally to excite long-range atmospheric responses in the form of Rossby wave teleconnections that result from the equator to pole gradient of planetary vorticity. An extreme teleconnection event occurred during March 2015 in the Southeastern Pacific. As a result, extreme high temperatures were observed in Southwestern South America and the Antarctic Peninsula simultaneously with an extreme rainfall and flood event in the hyperarid Atacama desert. We show that the origin of these seemingly disconnected extreme events can be traced to a Rossby wave response to the strongest Madden-Julian Oscillation (MJO) on record in the tropical central Pacific. A barotropic wave number 3 to 4 perturbation with group velocity between 15 and 30 m/s is consistent with the trajectory and timing followed by the upper-level anomalies radiating away from the tropics after the MJO episode. Plain Language Summary Large atmospheric waves can travel from the tropical regions after being excited by deep convective systems over the oceans. Sometimes this tropical rainfall occurs associated to tropical waves that take from 30 to 60 days to travel around the planet, known as the Madden-Julian Oscillations. The strongest of such Madden-Julian wave was observed during March 2015. Here we show that this wave triggered a response that traveled far east and south of the original rainfall heating, producing extreme weather in Antarctica (highest temperature in continental Antarctica observed on record) as well as extreme weather in the Pacific South American coast (major flooding in the Atacama desert). We emphasize that this case illustrates the importance of tropical extremes in setting temperature and precipitation extremes far away from the tropics, including polar regions. This has major consequences for these extreme environments: for the maintenance of the ice shelves in Antarctic Peninsula and for the hyperarid character of the Atacama desert.</t>
  </si>
  <si>
    <t>[Rondanelli, R.; Rutllant, J.; Bozkurt, D.; Garreaud, R.] Univ Chile, Dept Geophys, Santiago, Chile; [Rondanelli, R.; Bozkurt, D.; Garreaud, R.] Ctr Climate &amp; Resilience Res, Santiago, Chile; [Hatchett, B.] Desert Res Inst, Las Vegas, NV USA; [Rutllant, J.] Ctr Estudios Zonas Aridas, La Serena, Chile</t>
  </si>
  <si>
    <t>Universidad de Chile; Nevada System of Higher Education (NSHE); Desert Research Institute NSHE</t>
  </si>
  <si>
    <t>Rondanelli, R (corresponding author), Univ Chile, Dept Geophys, Santiago, Chile.;Rondanelli, R (corresponding author), Ctr Climate &amp; Resilience Res, Santiago, Chile.</t>
  </si>
  <si>
    <t>ronda@dgf.uchile.cl</t>
  </si>
  <si>
    <t>Bozkurt, Deniz/C-9797-2013; Garreaud, Rene/I-6298-2016; Rutllant, Jose A/C-6382-2015; Rondanelli, Roberto/A-4717-2012; Bozkurt, Deniz/AAC-4563-2021; Garreaud, Rene/JFS-4440-2023</t>
  </si>
  <si>
    <t>Garreaud, Rene/0000-0002-7875-2443; Rondanelli, Roberto/0000-0002-7440-7810; Bozkurt, Deniz/0000-0003-1021-8241; Rutllant, Jose/0000-0003-0671-4963</t>
  </si>
  <si>
    <t>Fondecyt [1181781]; FONDAP/CONICYT Chile [15110009-(CR)2]</t>
  </si>
  <si>
    <t>Fondecyt(Comision Nacional de Investigacion Cientifica y Tecnologica (CONICYT)CONICYT FONDECYT); FONDAP/CONICYT Chile(Comision Nacional de Investigacion Cientifica y Tecnologica (CONICYT)CONICYT FONDAP)</t>
  </si>
  <si>
    <t>We appreciate constructive criticism by two anonymous reviewers. R. R. and J. R. acknowledge support from Fondecyt 1181781. We appreciate assistance from Francisca Muoz and staff at the Data and Computing unit at (CR)2, as well as comments and critical reading of the manuscript by J. P. Boisier and R. Valenzuela. This study was supported by FONDAP/CONICYT Chile (grant 15110009-(CR)2). Most of the data used in the figures are from CFSR and CFSv2. MATLAB code for producing the manuscript figures is attached as a supporting information.</t>
  </si>
  <si>
    <t>10.1029/2018GL081475</t>
  </si>
  <si>
    <t>WOS:000464650400051</t>
  </si>
  <si>
    <t>Turner, J; Phillips, T; Thamban, M; Rahaman, W; Marshall, GJ; Wille, JD; Favier, V; Winton, VHL; Thomas, E; Wang, ZM; van den Broeke, M; Hosking, JS; Lachlan-Cope, T</t>
  </si>
  <si>
    <t>Turner, John; Phillips, Tony; Thamban, Meloth; Rahaman, Waliur; Marshall, Gareth J.; Wille, Jonathan D.; Favier, Vincent; Winton, V. Holly L.; Thomas, Elizabeth; Wang, Zaomin; van den Broeke, Michiel; Hosking, J. Scott; Lachlan-Cope, Tom</t>
  </si>
  <si>
    <t>The Dominant Role of Extreme Precipitation Events in Antarctic Snowfall Variability</t>
  </si>
  <si>
    <t>Antarctica; precipitation; snowfall; extremes; variability</t>
  </si>
  <si>
    <t>DRONNING MAUD LAND; WEST ANTARCTICA; CLIMATE-CHANGE; MASS-BALANCE; ACCUMULATION; STATION; REPRESENTATION; OSCILLATION; PLATEAU; MODEL</t>
  </si>
  <si>
    <t>Antarctic snowfall consists of frequent clear-sky precipitation and heavier falls from intrusions of maritime airmasses associated with amplified planetary waves. We investigate the importance of different precipitation events using the output of the RACMO2 model. Extreme precipitation events consisting of the largest 10% of daily totals are shown to contribute more than 40% of the total annual precipitation across much of the continent, with some areas receiving in excess of 60% of the total from these events. The greatest contribution of extreme precipitation events to the annual total is in the coastal areas and especially on the ice shelves, with the Amery Ice Shelf receiving 50% of its annual precipitation in less than the 10days of heaviest precipitation. For the continent as a whole, 70% of the variance of the annual precipitation is explained by variability in precipitation from extreme precipitation events, with this figure rising to over 90% in some areas. Plain Language Summary The Antarctic ice sheet is extremely important because of its possible contribution to sea level rise and through the climate records than can be reconstructed using chemical signals locked in the ice. The mass of the ice sheet is constantly changing because of the ice gained by snowfall and the loss of ice at the margins via iceberg calving and melt through contact with relatively warm water masses. The amount of snow falling on the Antarctic is highly variable and dependent on the meteorological conditions over the Southern Ocean and the penetration of marine air into the interior. We show that extreme snowfall events, defined at the heaviest 10% of daily precipitation amounts, contribute a high percentage of the annual snowfall and are the main factor controlling the year-to-year variability of snowfall across the continent. This has implications for the reconstruction of past climate records using data from ice cores and the selection of future ice core drilling sites.</t>
  </si>
  <si>
    <t>[Turner, John; Phillips, Tony; Marshall, Gareth J.; Winton, V. Holly L.; Thomas, Elizabeth; Hosking, J. Scott; Lachlan-Cope, Tom] British Antarctic Survey, Nat Environm Res Council, Cambridge, England; [Thamban, Meloth; Rahaman, Waliur] Natl Ctr Polar &amp; Ocean Res, Vasco Da Gama, Goa, India; [Wille, Jonathan D.; Favier, Vincent] UGA, CNRS, G INP, Inst Geosci Environm,IRD, Grenoble 9, France; [Wang, Zaomin] Hohai Univ, Coll Oceanog, Nanjing, Jiangsu, Peoples R China; [van den Broeke, Michiel] Univ Utrecht, Inst Marine &amp; Atmospher Res, Utrecht, Netherlands</t>
  </si>
  <si>
    <t>UK Research &amp; Innovation (UKRI); Natural Environment Research Council (NERC); NERC British Antarctic Survey; Ministry of Earth Sciences (MoES) - India; National Centre for Polar and Ocean Research (NCPOR); Centre National de la Recherche Scientifique (CNRS); Institut de Recherche pour le Developpement (IRD); Communaute Universite Grenoble Alpes; Universite Grenoble Alpes (UGA); Hohai University; Utrecht University</t>
  </si>
  <si>
    <t>Turner, J (corresponding author), British Antarctic Survey, Nat Environm Res Council, Cambridge, England.</t>
  </si>
  <si>
    <t>jtu@bas.ac.uk</t>
  </si>
  <si>
    <t>Van den Broeke, Michiel R./F-7867-2011; Winton, Holly/J-5486-2019; Rahaman, Waliur/V-7742-2019; Thomas, Elizabeth Ruth/ADF-3660-2022; Wille, Jonathan/KFQ-5871-2024; Favier, Vincent/T-1936-2017</t>
  </si>
  <si>
    <t>Van den Broeke, Michiel R./0000-0003-4662-7565; Winton, Holly/0000-0001-7112-6768; Thomas, Elizabeth Ruth/0000-0002-3010-6493; Turner, John/0000-0002-6111-5122; Wille, Jonathan/0000-0002-3918-5204; Marshall, Gareth/0000-0001-8887-7314; Phillips, Tony/0000-0002-3058-9157; Thamban, Meloth/0000-0003-3379-8189; Favier, Vincent/0000-0001-6024-9498; Rahaman, Waliur/0000-0001-6439-4529</t>
  </si>
  <si>
    <t>NERC [bas0100032, bas0100034] Funding Source: UKRI</t>
  </si>
  <si>
    <t>10.1029/2018GL081517</t>
  </si>
  <si>
    <t>WOS:000464650400053</t>
  </si>
  <si>
    <t>Schiermeier, Q</t>
  </si>
  <si>
    <t>Schiermeier, Quirin</t>
  </si>
  <si>
    <t>Ancient Antarctic ice holds record of Earth's climate</t>
  </si>
  <si>
    <t>10.1038/d41586-018-07588-3</t>
  </si>
  <si>
    <t>HQ8EC</t>
  </si>
  <si>
    <t>WOS:000462655800020</t>
  </si>
  <si>
    <t>Almela, P; Velázquez, D; Rico, E; Justel, A; Quesada, A</t>
  </si>
  <si>
    <t>Almela, Pablo; Velazquez, David; Rico, Eugenio; Justel, Ana; Quesada, Antonio</t>
  </si>
  <si>
    <t>Carbon Pathways Through the Food Web of a Microbial Mat From Byers Peninsula, Antarctica</t>
  </si>
  <si>
    <t>microbial mats; Antarctica; cyanobacteria; trophic web; carbon pathways; stable isotopes; prokaryotic community; eukaryotic community</t>
  </si>
  <si>
    <t>MCMURDO DRY VALLEYS; COMMUNITY STRUCTURE; LIVINGSTON-ISLAND; STABLE-ISOTOPES; ICE SHELF; DIVERSITY; ECOSYSTEMS; WATER; BIOMASS; LAKES</t>
  </si>
  <si>
    <t>Microbial mats are complex communities that represent a large biomass fraction in non-marine Antarctic ecosystems. They confer structure to soils and constitute, by themselves, intricate microecosystems, where a great variety of microorganisms and microfauna contributes to the ecosystem functions. Although in recent years Antarctic microbial mats have been thoroughly investigated, trophic relationships within the communities remain unresolved. We therefore conducted a study of the trophic relationships of a microbial mat from Byers Peninsula, Antarctica, using DNA analysis and stable isotopes as trophic tracers. Our results suggested, based on a Bayesian mixing model, that at least four trophic levels are present within this microecosystem: primary producers (cyanobacteria and diatoms), primary consumers (rotifers and tardigrades), secondary consumers (nematodes) and decomposers (fungi). Nematodes would play a key role as top consumers of the community, connecting the two carbon inputs described into the system, as omnivores at the secondary trophic level. In addition, carbon pathways from primary trophic level to consumers take place quickly during the first 24 h after its incorporation in the primary producers, dispersing across all the trophic levels and reaching secondary consumers in less than 11 days. This suggests that, given the changing physical conditions and presumably short periods of activity, there is a fine temporal coupling among the organisms in the community, minimizing the redundancy in function performance among trophic levels.</t>
  </si>
  <si>
    <t>[Almela, Pablo; Velazquez, David; Quesada, Antonio] Autonomous Univ Madrid, Biol Dept, Madrid, Spain; [Rico, Eugenio] Autonomous Univ Madrid, Ecol Dept, Madrid, Spain; [Justel, Ana] Autonomous Univ Madrid, Math Dept, Madrid, Spain</t>
  </si>
  <si>
    <t>Autonomous University of Madrid; Autonomous University of Madrid; Autonomous University of Madrid</t>
  </si>
  <si>
    <t>Quesada, A (corresponding author), Autonomous Univ Madrid, Biol Dept, Madrid, Spain.</t>
  </si>
  <si>
    <t>antonio.quesada@uam.es</t>
  </si>
  <si>
    <t>Justel, Ana/A-3955-2010; Almela, Pablo/KHC-9273-2024; Velazquez, David/M-2309-2017; Quesada, Antonio/L-2430-2013; Rico, Eugenio/L-2429-2013</t>
  </si>
  <si>
    <t>Justel, Ana/0000-0003-3335-0579; Almela, Pablo/0000-0001-8200-861X; Velazquez, David/0000-0002-4127-8370; Quesada, Antonio/0000-0002-8913-5993; Rico, Eugenio/0000-0001-6978-645X</t>
  </si>
  <si>
    <t>Spanish Agencia Estatal de Investigacion (AEI); Fondo Europeo de Desarrollo Regional (FEDER) [CTM2016-79741-R, PCIN-2016-001]; Spanish Ministerio de Economia y Competitividad (MINECO) [CTM2011-28736]; FPI-contract fellowship from MINECO [BES-2017-080558]</t>
  </si>
  <si>
    <t>Spanish Agencia Estatal de Investigacion (AEI)(Spanish Government); Fondo Europeo de Desarrollo Regional (FEDER)(European Union (EU)Spanish Government); Spanish Ministerio de Economia y Competitividad (MINECO)(Spanish Government); FPI-contract fellowship from MINECO</t>
  </si>
  <si>
    <t>This work was supported by the Spanish Agencia Estatal de Investigacion (AEI) and Fondo Europeo de Desarrollo Regional (FEDER), Grants CTM2016-79741-R and PCIN-2016-001, and Spanish Ministerio de Economia y Competitividad (MINECO), Grant CTM2011-28736. PA was supported by a FPI-contract fellowship (BES-2017-080558) from MINECO.</t>
  </si>
  <si>
    <t>10.3389/fmicb.2019.00628</t>
  </si>
  <si>
    <t>HQ8QA</t>
  </si>
  <si>
    <t>WOS:000462688500001</t>
  </si>
  <si>
    <t>De Boeck, HJ; Hiltbrunner, E; Jentsch, A; Vandvik, V</t>
  </si>
  <si>
    <t>De Boeck, Hans J.; Hiltbrunner, Erika; Jentsch, Anke; Vandvik, Vigdis</t>
  </si>
  <si>
    <t>Responses to Climate Change in the Cold Biomes</t>
  </si>
  <si>
    <t>FRONTIERS IN PLANT SCIENCE</t>
  </si>
  <si>
    <t>climate change; alpine; arctic; invasive species; biodiversity; climate extreme; range limits; Antarctic</t>
  </si>
  <si>
    <t>[De Boeck, Hans J.] Univ Antwerp, Dept Biol, Ctr Excellence PLECO Plants &amp; Ecosyst, Antwerp, Belgium; [Hiltbrunner, Erika] Univ Basel, Inst Bot, Dept Environm Sci, Basel, Switzerland; [Jentsch, Anke] Univ Bayreuth, Dept Disturbance Ecol &amp; Vegetat Dynam, Bayreuth Ctr Ecol &amp; Environm Res BayCEER, Bayreuth, Germany; [Vandvik, Vigdis] Univ Bergen, Dept Biol Sci, Bergen, Norway; [Vandvik, Vigdis] Univ Bergen, Bjerknes Ctr Climate Res, Bergen, Norway</t>
  </si>
  <si>
    <t>University of Antwerp; University of Basel; University of Bayreuth; University of Bergen; Bjerknes Centre for Climate Research; University of Bergen</t>
  </si>
  <si>
    <t>De Boeck, HJ (corresponding author), Univ Antwerp, Dept Biol, Ctr Excellence PLECO Plants &amp; Ecosyst, Antwerp, Belgium.</t>
  </si>
  <si>
    <t>hans.deboeck@uantwerpen.be</t>
  </si>
  <si>
    <t>Vandvik, Vigdis/C-1924-2008; De Boeck, Hans/N-6153-2016</t>
  </si>
  <si>
    <t>Vandvik, Vigdis/0000-0003-4651-4798; Hiltbrunner, Erika/0000-0002-0704-0780; De Boeck, Hans/0000-0003-2180-8837</t>
  </si>
  <si>
    <t>Frontiers Editorial Office</t>
  </si>
  <si>
    <t>We thank the authors, reviewers, and the Frontiers Editorial Office for their support in creating this research topic.</t>
  </si>
  <si>
    <t>1664-462X</t>
  </si>
  <si>
    <t>FRONT PLANT SCI</t>
  </si>
  <si>
    <t>Front. Plant Sci.</t>
  </si>
  <si>
    <t>10.3389/fpls.2019.00347</t>
  </si>
  <si>
    <t>HQ8TF</t>
  </si>
  <si>
    <t>WOS:000462697600001</t>
  </si>
  <si>
    <t>Jiménez-Huidobro, P; Caldwell, MW</t>
  </si>
  <si>
    <t>Jimenez-Huidobro, Paulina; Caldwell, Michael W.</t>
  </si>
  <si>
    <t>A New Hypothesis of the Phylogenetic Relationships of the Tylosaurinae (Squamata: Mosasauroidea)</t>
  </si>
  <si>
    <t>Tylosaurinae; Tylosaurus; Taniwhasaurus; phylogenetic relationship; Late Cretaceous</t>
  </si>
  <si>
    <t>HAINOSAURUS REPTILIA; NEW-ZEALAND; 1ST RECORD; MOSASAURIDAE; TANIWHASAURUS; WESTERN; SKULL; GEN.; LAKUMASAURUS; ANTARCTICUS</t>
  </si>
  <si>
    <t>Tylosaurinae (Williston, 1897), is reconstructed in most analyses as the sister group of the Plioplatecarpinae (Dollo, 1884). The most distinctive characteristic of the group is an elongated edentulous rostrum on the premaxilla. Members of the tylosaurine subfamily are divided into two genera: Tylosaurus (Marsh, 1874), and Taniwhasaurus (Hector, 1874). When all arguably valid tylosaurine species are included in a single phylogenetic analysis, some clades are well supported, i.e., the clade formed by T. proriger (Cope, 1869) + T. bernardi (Dollo, 1885), or the clade T. pembinensis (Nicholls, 1988) + T. saskatchewanensis. In contrast, clade relationships for other species remain unresolved, i.e., T. gaudryi (Thevenin, 1896), T. nepaeolicus (Cope, 1874), and the several species within the genus Taniwhasaurus. When T. gaudryi (Thevenin, 1896), Ta. 'mikasaensis' (Caldwell et al., 2008), and 'T'. capensis (Broom, 1912) were removed from the analysis, T. nepaeolicus appeared as the basal member of the genus. The relationship within the genus Taniwhasaurus remains unresolved; however, when the problematic taxa was removed, the genus became monophyletic, with Ta. oweni as the sister group of Ta. antarcticus. Based on morphological characters present in the holotype of 'T'. capensis Broom, 1912, we suggested a re-assignment to the genus Taniwhasaurus, based on the flutes and facets in the crown of the two preserved replacement teeth. The lack of a clear diagnosis of Hainosaurus/Tylosaurus neumilleri leaves this taxon as a nomen dubium; the few characters visible on the specimen show strong similarities to both T. pembinensis and T. saskatchewanensis; therefore, the specimen cannot be identified beyond Tylosaurus sp. Reassessment of the known materials of the Japanese species Ta. 'mikasaensis' suggests that the various specimens do not display sufficient diagnostic characters to support 'mikasaensis' as distinct from Taniwhasaurus oweni. The hypothesis for a North Atlantic Circle Basin distribution for a species of the genus Tylosaurus, from the Coniacian to the Maastrichtian is supported, and a more cosmopolitan distribution is suggested for the genus Taniwhasaurus (Santonian to Maastrichtian) with species present along the margins of the Pacific, Indian, and Antarctic Ocean Basins.</t>
  </si>
  <si>
    <t>[Jimenez-Huidobro, Paulina; Caldwell, Michael W.] Univ Alberta, Dept Biol Sci, Edmonton, AB, Canada; [Caldwell, Michael W.] Univ Alberta, Dept Earth &amp; Atmospher Sci, Edmonton, AB, Canada</t>
  </si>
  <si>
    <t>University of Alberta; University of Alberta</t>
  </si>
  <si>
    <t>Jiménez-Huidobro, P (corresponding author), Univ Alberta, Dept Biol Sci, Edmonton, AB, Canada.</t>
  </si>
  <si>
    <t>jimenezh@ualberta.ca</t>
  </si>
  <si>
    <t>Caldwell, Michael/A-2622-2014</t>
  </si>
  <si>
    <t>NSERC Discovery grant [23458]; NSERC Accelerator grant; Chair's Research Allowance; CONICYT</t>
  </si>
  <si>
    <t>NSERC Discovery grant(Natural Sciences and Engineering Research Council of Canada (NSERC)); NSERC Accelerator grant(Natural Sciences and Engineering Research Council of Canada (NSERC)); Chair's Research Allowance; CONICYT(Comision Nacional de Investigacion Cientifica y Tecnologica (CONICYT))</t>
  </si>
  <si>
    <t>This research was funded by the following grants: NSERC Discovery grant (#23458), NSERC Accelerator grant, and Chair's Research Allowance to MC and CONICYT Ph.D. Scholarship to PJ-H.</t>
  </si>
  <si>
    <t>MAR 27</t>
  </si>
  <si>
    <t>10.3389/feart.2019.00047</t>
  </si>
  <si>
    <t>HX2PK</t>
  </si>
  <si>
    <t>WOS:000467233700001</t>
  </si>
  <si>
    <t>Wang, YH; Yuan, XJ; Bi, HB; Liang, Y; Huang, HJ; Zhang, ZH; Liu, YX</t>
  </si>
  <si>
    <t>Wang, Yunhe; Yuan, Xiaojun; Bi, Haibo; Liang, Yu; Huang, Haijun; Zhang, Zehua; Liu, Yanxia</t>
  </si>
  <si>
    <t>The Contributions of Winter Cloud Anomalies in 2011 to the Summer Sea-Ice Rebound in 2012 in the Antarctic</t>
  </si>
  <si>
    <t>cloud fraction; cloud forcing; sea ice; Antarctic</t>
  </si>
  <si>
    <t>POLAR PATHFINDER DATASET; RADIATION PROPERTIES; ARCTIC SURFACE; SOUTHERN-OCEAN; TRENDS; CLIMATE; VARIABILITY; MODEL; ENERGY; PRECIPITATION</t>
  </si>
  <si>
    <t>Unlike the rapid decline of Arctic sea ice in the warming climate, Antarctic sea-ice extent exhibits a modest positive trend in the period of near four decades. In recent years, the fluctuation in Antarctic sea ice has been strengthened, including a decrease toward the lowest sea-ice extent in February 2011 for the period of 1978-2016 and a strong rebound in the summer of 2012. The sea-ice recovery mainly occurs in the Weddell Sea, Bellingshausen Sea, Amundsen Sea, southern Ross Sea, and the eastern Somov Sea. This study offers a new mechanism for this summertime sea-ice rebound. We demonstrate that cloud-fraction anomalies in winter 2011 contributed to the positive Antarctic sea-ice anomaly in summer 2012. The results show that the negative cloud-fraction anomalies in winter 2011 related to the large-scale atmospheric circulation resulted in a substantial negative surface-radiation budget, which cooled the surface and promoted more sea-ice growth. The sea-ice growth anomalies due to the negative cloud forcing propagated by sea-ice motion vectors from September 2011 to January 2012. The distribution of the sea-ice anomalies corresponded well with the sea-ice concentration anomalies in February 2012 in the Weddell Sea and eastern Somov Sea. Thus, negative cloud-fraction anomalies in winter can play a vital role in the following summer sea-ice distribution.</t>
  </si>
  <si>
    <t>[Wang, Yunhe; Bi, Haibo; Liang, Yu; Huang, Haijun; Zhang, Zehua; Liu, Yanxia] Chinese Acad Sci, Inst Oceanol, CAS Key Lab Marine Geol &amp; Environm, Qingdao, Shandong, Peoples R China; [Bi, Haibo; Huang, Haijun; Zhang, Zehua; Liu, Yanxia] Qingdao Natl Lab Marine Sci &amp; Technol, Lab Marine Geol, Qingdao, Shandong, Peoples R China; [Yuan, Xiaojun] Columbia Univ, Lamont Doherty Earth Observ, New York, NY USA; [Wang, Yunhe; Liang, Yu; Huang, Haijun] Univ Chinese Acad Sci, Beijing, Peoples R China; [Wang, Yunhe; Bi, Haibo; Liang, Yu; Huang, Haijun; Zhang, Zehua; Liu, Yanxia] Chinese Acad Sci, Ctr Ocean Mega Sci, Qingdao, Shandong, Peoples R China</t>
  </si>
  <si>
    <t>Chinese Academy of Sciences; Institute of Oceanology, CAS; Laoshan Laboratory; Columbia University; Chinese Academy of Sciences; University of Chinese Academy of Sciences, CAS; Chinese Academy of Sciences</t>
  </si>
  <si>
    <t>Bi, HB; Huang, HJ (corresponding author), Chinese Acad Sci, Inst Oceanol, CAS Key Lab Marine Geol &amp; Environm, Qingdao, Shandong, Peoples R China.;Bi, HB; Huang, HJ (corresponding author), Qingdao Natl Lab Marine Sci &amp; Technol, Lab Marine Geol, Qingdao, Shandong, Peoples R China.;Huang, HJ (corresponding author), Univ Chinese Acad Sci, Beijing, Peoples R China.;Bi, HB; Huang, HJ (corresponding author), Chinese Acad Sci, Ctr Ocean Mega Sci, Qingdao, Shandong, Peoples R China.</t>
  </si>
  <si>
    <t>bhb@qdio.ac.cn; hjhuang@qdio.ac.cn</t>
  </si>
  <si>
    <t>Yuan, Xiaojun/AAI-7770-2020; meng, meng/KHW-8303-2024</t>
  </si>
  <si>
    <t>Liang, Yu/0000-0002-4802-4189; Wang, yunhe/0000-0001-8382-7094; Yuan, Xiaojun/0000-0002-6530-1619</t>
  </si>
  <si>
    <t>National Natural Science Foundation of China [41406215]; NSFC-Shandong Joint Fund for Marine Science Research Centers [U1606401]; US NSF [PLR-1443444]</t>
  </si>
  <si>
    <t>National Natural Science Foundation of China(National Natural Science Foundation of China (NSFC)); NSFC-Shandong Joint Fund for Marine Science Research Centers; US NSF(National Science Foundation (NSF))</t>
  </si>
  <si>
    <t>We thank the NSIDC for providing the SIC and sea-ice motion data, at their website http://nsidc.org/data/search/#sortKeys=score,, desc/facetFilters=%257B%257D/pageNumber=1/itemsPerPage= 25. The MERRA reanalysis data sets, including the data sets for cloud fraction, the surface net downward shortwave, and longwave flux under all and clear-sky conditions, geopotential height, vertical pressure velocity, wind, air temperature, and specific humidity were obtained from the Goddard Earth Sciences Data and Information Services Center (GES DISC) at the website https://disc.gsfc.nasa.gov/datasets?keywords=merra&amp;page=1. The cloud fraction product from the ERA-Interim reanalysis was obtained from the ECMWF (https://apps.ecmwf.int/datasets/data/interim-full-moda/levtype= pl/). The APP-X climate data sets, including the cloud fraction and sea-ice thickness, were obtained from the National Centers for Environmental Information (NCEI) of National Oceanic and Atmospheric Administration NOAA (https://www.ncdc.noaa.gov/cdr/atmospheric/extended-avhrr-polar-pathfinder-app-x). The cloud fraction data from the ISCCP was provided at the website https://www.ncei.noaa.gov/data/international-satellite-cloud-climate-project-isccp-h-series-data/access/. We thank three anonymous reviewers for their very beneficial comments, which helped in improving the manuscript significantly. This work was supported by the National Natural Science Foundation of China under grant 41406215 and the NSFC-Shandong Joint Fund for Marine Science Research Centers (U1606401). Yuan is supported by the US NSF grant PLR-1443444. LDEO contribution number is 8293.</t>
  </si>
  <si>
    <t>10.1029/2018JD029435</t>
  </si>
  <si>
    <t>HT6DD</t>
  </si>
  <si>
    <t>WOS:000464653500035</t>
  </si>
  <si>
    <t>Madsen, MV; Steen-Larsen, HC; Hörhold, M; Box, J; Berben, SMP; Capron, E; Faber, AK; Hubbard, A; Jensen, MF; Jones, TR; Kipfstuhl, S; Koldtoft, I; Pillar, HR; Vaughn, BH; Vladimirova, D; Dahl-Jensen, D</t>
  </si>
  <si>
    <t>Madsen, M. V.; Steen-Larsen, H. C.; Hoerhold, M.; Box, J.; Berben, S. M. P.; Capron, E.; Faber, A. -K.; Hubbard, A.; Jensen, M. F.; Jones, T. R.; Kipfstuhl, S.; Koldtoft, I.; Pillar, H. R.; Vaughn, B. H.; Vladimirova, D.; Dahl-Jensen, D.</t>
  </si>
  <si>
    <t>Evidence of Isotopic Fractionation During Vapor Exchange Between the Atmosphere and the Snow Surface in Greenland</t>
  </si>
  <si>
    <t>water stable isotopes; Greenland; snow surface processes; vapor exchange</t>
  </si>
  <si>
    <t>TEMPERATURE-GRADIENT; CLIMATE VARIABILITY; WATER; RECORDS; MODEL; LAYER; GISP2</t>
  </si>
  <si>
    <t>Several recent studies from both Greenland and Antarctica have reported significant changes in the water isotopic composition of near-surface snow between precipitation events. These changes have been linked to isotopic exchange with atmospheric water vapor and sublimation-induced fractionation, but the processes are poorly constrained by observations. Understanding and quantifying these processes are crucial to both the interpretation of ice core climate proxies and the formulation of isotope-enabled general circulation models. Here, we present continuous measurements of the water isotopic composition in surface snow and atmospheric vapor together with near-surface atmospheric turbulence and snow-air latent and sensible heat fluxes, obtained at the East Greenland Ice-Core Project drilling site in summer 2016. For two 4-day-long time periods, significant diurnal variations in atmospheric water isotopologues are observed. A model is developed to explore the impact of this variability on the surface snow isotopic composition. Our model suggests that the snow isotopic composition in the upper subcentimeter of the snow exhibits a diurnal variation with amplitudes in delta O-18 and delta D of similar to 2.5 and similar to 13, respectively. As comparison, such changes correspond to 10-20% of the magnitude of seasonal changes in interior Greenland snow pack isotopes and of the change across a glacial-interglacial transition. Importantly, our observation and model results suggest, that sublimation-induced fractionation needs to be included in simulations of exchanges between the vapor and the snow surface on diurnal timescales during summer cloud-free conditions in northeast Greenland.</t>
  </si>
  <si>
    <t>[Madsen, M. V.; Steen-Larsen, H. C.; Capron, E.; Koldtoft, I.; Vladimirova, D.; Dahl-Jensen, D.] Univ Copenhagen, Ctr Ice &amp; Climate, Copenhagen, Denmark; [Steen-Larsen, H. C.; Faber, A. -K.] Univ Bergen, Geophys Inst, Bergen, Norway; [Steen-Larsen, H. C.; Faber, A. -K.] Univ Bergen, Bjerknes Ctr Climate Res, Bergen, Norway; [Hoerhold, M.; Kipfstuhl, S.] Alfred Wegener Inst, Bremerhaven, Germany; [Box, J.] GEUS, Copenhagen, Denmark; [Berben, S. M. P.; Faber, A. -K.; Jensen, M. F.] Univ Bergen, Dept Earth Sci, Bergen, Norway; [Berben, S. M. P.; Faber, A. -K.; Jensen, M. F.] Bjerknes Ctr Climate Res, Bergen, Norway; [Capron, E.] British Antarctic Survey, Cambridge, England; [Hubbard, A.] Aberystwyth Univ, Ctr Glaciol, Dept Geog &amp; Earth Sci, Aberystwyth, Dyfed, Wales; [Hubbard, A.] UiT Arctic Univ Norway, Ctr Arctic Gas Hydrate Environm &amp; Climate, Tromso, Norway; [Jones, T. R.; Vaughn, B. H.] Univ Colorado, INSTAAR, Boulder, CO 80309 USA; [Pillar, H. R.] Univ Texas Austin, Oden Inst Computat Engn &amp; Sci, Austin, TX 78712 USA; [Dahl-Jensen, D.] Univ Manitoba, Ctr Earth Observat Sci, Winnipeg, MB, Canada</t>
  </si>
  <si>
    <t>University of Copenhagen; University of Bergen; University of Bergen; Bjerknes Centre for Climate Research; Helmholtz Association; Alfred Wegener Institute, Helmholtz Centre for Polar &amp; Marine Research; Geological Survey Of Denmark &amp; Greenland; University of Bergen; Bjerknes Centre for Climate Research; UK Research &amp; Innovation (UKRI); Natural Environment Research Council (NERC); NERC British Antarctic Survey; Aberystwyth University; UiT The Arctic University of Tromso; University of Colorado System; University of Colorado Boulder; University of Texas System; University of Texas Austin; University of Manitoba</t>
  </si>
  <si>
    <t>Steen-Larsen, HC (corresponding author), Univ Copenhagen, Ctr Ice &amp; Climate, Copenhagen, Denmark.;Steen-Larsen, HC (corresponding author), Univ Bergen, Geophys Inst, Bergen, Norway.;Steen-Larsen, HC (corresponding author), Univ Bergen, Bjerknes Ctr Climate Res, Bergen, Norway.</t>
  </si>
  <si>
    <t>hans.christian.steen-larsen@uib.no</t>
  </si>
  <si>
    <t>Box, Jason E/AAE-1654-2019; Capron, Emilie/ITU-2672-2023; Dahl-Jensen, Dorthe/AAO-6951-2020; Box, Jason/H-5770-2013; Hörhold, Maria/IST-9483-2023; Vaughn, Bruce/AAO-8867-2020; Koldtoft, Iben/Q-2118-2015; Faber, Anne-Katrine/AAI-2140-2021; Steen-Larsen, Hans Christian/F-9927-2013</t>
  </si>
  <si>
    <t>Box, Jason E/0000-0003-0052-8705; Dahl-Jensen, Dorthe/0000-0002-1474-1948; Box, Jason/0000-0003-0052-8705; Koldtoft, Iben/0000-0002-5158-1904; Jensen, Mari F./0000-0002-0344-1827; Faber, Anne-Katrine/0000-0002-2673-8690; JONES, TYLER/0000-0003-1871-2105; Capron, Emilie/0000-0003-0784-1884; Vladimirova, Diana/0000-0002-1678-0174; Pillar, Helen/0000-0002-7431-4796; Vindbaek Madsen, Martin/0000-0003-3339-3296; VAUGHN, BRUCE/0000-0001-6503-957X; Steen-Larsen, Hans Christian/0000-0002-7202-5907</t>
  </si>
  <si>
    <t>European Research Council (ERC) under the European Union's Horizon 2020 research and innovation program: Starting Grant-SNOWISO [759526]; CAGE [223259]; Denmark (A.P. Moller Foundation); USA (U.S. National Science Foundation, Office of Polar Programs); Germany (Alfred Wegener Institute, Helmholtz Centre for Polar and Marine Research); Japan (National Institute of Polar Research); Norway (University of Bergen); Switzerland (Swiss National Science Foundation); France (French Polar Institute Paul-Emile Victor); China (Chinese Academy of Sciences); Japan (Arctic Challenge for Sustainability); China (Beijing Normal University); France (Institute for Geosciences and Environmental research); Norway (Bergen Research Foundation); Denmark (University of Copenhagen); NERC [NE/G005796/1, NE/H024204/1, bas0100034] Funding Source: UKRI; European Research Council (ERC) [759526] Funding Source: European Research Council (ERC)</t>
  </si>
  <si>
    <t>European Research Council (ERC) under the European Union's Horizon 2020 research and innovation program: Starting Grant-SNOWISO; CAGE; Denmark (A.P. Moller Foundation); USA (U.S. National Science Foundation, Office of Polar Programs); Germany (Alfred Wegener Institute, Helmholtz Centre for Polar and Marine Research); Japan (National Institute of Polar Research); Norway (University of Bergen); Switzerland (Swiss National Science Foundation); France (French Polar Institute Paul-Emile Victor); China (Chinese Academy of Sciences); Japan (Arctic Challenge for Sustainability); China (Beijing Normal University); France (Institute for Geosciences and Environmental research); Norway (Bergen Research Foundation); Denmark (University of Copenhagen); NERC(UK Research &amp; Innovation (UKRI)Natural Environment Research Council (NERC)); European Research Council (ERC)(European Research Council (ERC)Spanish Government)</t>
  </si>
  <si>
    <t>EGRIP is directed and organized by the Center of Ice and Climate at the Niels Bohr Institute. It is supported by funding agencies and institutions in Denmark (A.P. Moller Foundation, University of Copenhagen), USA (U.S. National Science Foundation, Office of Polar Programs), Germany (Alfred Wegener Institute, Helmholtz Centre for Polar and Marine Research), Japan (National Institute of Polar Research and Arctic Challenge for Sustainability), Norway (University of Bergen and Bergen Research Foundation), Switzerland (Swiss National Science Foundation), France (French Polar Institute Paul-Emile Victor, Institute for Geosciences and Environmental research), and China (Chinese Academy of Sciences and Beijing Normal University). This project has received funding from the European Research Council (ERC) under the European Union's Horizon 2020 research and innovation program: Starting Grant-SNOWISO (grant agreement 759526). The authors acknowledge James DeGrand for calibrating the KH-20 instrument and updating the CSAT3D firmware. Data from the Program for Monitoring of the Greenland Ice Sheet (PROMICE) were provided by the Geological Survey of Denmark and Greenland (GEUS; http://www.promice.dk).M.V.M.thanks the Frederikke Lorups mindelegat for support of visit to University of Colorado. AH acknowledges a Professorial Fellowship from CAGE funded through RCN grant 223259. Data are available as supporting information in ascii and excel format. Questions regarding data should be address to H. C. Steen-Larsen(hans.christian.steen-larsen@uib.no).</t>
  </si>
  <si>
    <t>10.1029/2018JD029619</t>
  </si>
  <si>
    <t>WOS:000464653500005</t>
  </si>
  <si>
    <t>Kohma, M; Sato, K; Tomikawa, Y; Nishimura, K; Sato, T</t>
  </si>
  <si>
    <t>Kohma, M.; Sato, K.; Tomikawa, Y.; Nishimura, K.; Sato, T.</t>
  </si>
  <si>
    <t>Estimate of Turbulent Energy Dissipation Rate From the VHF Radar and Radiosonde Observations in the Antarctic</t>
  </si>
  <si>
    <t>turbulent energy dissipation rates; VHF radar; radiosonde; Antarctic; turbulence</t>
  </si>
  <si>
    <t>TROPOPAUSE INVERSION LAYER; VERTICAL EDDY DIFFUSIVITY; SMALL-SCALE TURBULENCE; TROPOSPHERIC TURBULENCE; LOWER STRATOSPHERE; MIDDLE ATMOSPHERE; GRAVITY-WAVES; SEASONAL VARIABILITY; MU RADAR; MEAN AGE</t>
  </si>
  <si>
    <t>This study estimated the turbulent kinetic energy dissipation rates (TKEDRs) from 1-year observations of the Program of the Antarctic Syowa Mesosphere-Stratosphere-Troposphere/Incoherent Scatter radar (PANSY radar) from October 2015 to September 2016 and compared the results with estimates from radiosonde measurements based on Thorpe's method. The radar-based estimates showed that the TKEDR at Syowa Station was on the order of 10(-5)-10(-3) m(2)/s(3) in the altitude range of 1.5-19 km. Taking the proportional constant for Thorpe's method (the ratio of the Thorpe scale to Ozmidov scale) as unity, the radiosonde-based measurements show values of TKEDR larger than radar-based estimates by a factor of 2-5. The difference in the TKEDR between radiosonde- and radar-based estimates is larger in the middle and upper troposphere than in the stratosphere. According to previous observational and numerical studies, Thorpe's method tends to overestimate the TKEDR for deep overturning layers. It is confirmed that the depth of the overturning layer is negatively correlated with the difference between radiosonde- and radar-based estimates. The seasonal variation was also examined. An analysis using the distance from the local tropopause level showed that the local maximum in the TKEDR around the tropopause is particularly clear in austral summer. This is likely connected to the seasonality in the gravity wave activity in the Antarctic stratosphere.</t>
  </si>
  <si>
    <t>[Kohma, M.; Sato, K.] Univ Tokyo, Grad Sch Sci, Dept Earth &amp; Planetary Sci, Tokyo, Japan; [Tomikawa, Y.; Nishimura, K.] Natl Inst Polar Res, Tokyo, Japan; [Tomikawa, Y.; Nishimura, K.] Grad Univ Adv Studies SOKENDAI, Tokyo, Japan; [Sato, T.] Kyoto Univ, Dept Commun &amp; Comp Engn, Kyoto, Japan</t>
  </si>
  <si>
    <t>University of Tokyo; Research Organization of Information &amp; Systems (ROIS); National Institute of Polar Research (NIPR) - Japan; Graduate University for Advanced Studies - Japan; Kyoto University</t>
  </si>
  <si>
    <t>Kohma, M (corresponding author), Univ Tokyo, Grad Sch Sci, Dept Earth &amp; Planetary Sci, Tokyo, Japan.</t>
  </si>
  <si>
    <t>kohmasa@eps.s.u-tokyo.ac.jp</t>
  </si>
  <si>
    <t>Tomikawa, Yoshihiro/D-5304-2012; Sato, Toru/F-3818-2012; Sato, Kaoru/E-1693-2012; Kohma, Masashi/C-8055-2015</t>
  </si>
  <si>
    <t>Tomikawa, Yoshihiro/0000-0002-5652-3017; Sato, Kaoru/0000-0002-6225-6066; Kohma, Masashi/0000-0001-9875-3032</t>
  </si>
  <si>
    <t>JSPS KAKENHI [JP16K17801]; JST CREST [JPMJCR1663]</t>
  </si>
  <si>
    <t>JSPS KAKENHI(Ministry of Education, Culture, Sports, Science and Technology, Japan (MEXT)Japan Society for the Promotion of ScienceGrants-in-Aid for Scientific Research (KAKENHI)); JST CREST(Japan Science &amp; Technology Agency (JST)Core Research for Evolutional Science and Technology (CREST))</t>
  </si>
  <si>
    <t>This study is supported by JSPS KAKENHI grant JP16K17801 and JST CREST grant JPMJCR1663. PANSY is a multi-institutional project with core members from The University of Tokyo, the National Institute of Polar Research, and the Kyoto University. The PANSY radar and radiosonde measurements at Syowa Station are operated by the Japanese Antarctic Research Expedition (JARE). The PANSY radar observational data are available at the project website, http://pansy.eps.s.u-tokyo.ac.jp.Radiosonde observation data at Syowa Station are provided by the JMA. The time of sunset and sunrise at Syowa Station are provided by the National Astronomy Observatory of Japan's website (http://eco.mtk.nao.ac.jp/cgi-bin/koyomi/koyomix_en. cgi). All graphics were drawn by software developed by the Dennou-Ruby Davis project. We appreciate Takashi Ijichi's valuable comments on the Thorpe analysis and oceanic turbulence in the early stage of the present study. We also thank Takuji Sugidachi at Meisei Electric Corporation for instructive comments on the radiosondes that the present study used. Finally, we acknowledge L. Kantha, R. Wilson, and one anonymous reviewer for greatly helping us to improve this manuscript.</t>
  </si>
  <si>
    <t>10.1029/2018JD029521</t>
  </si>
  <si>
    <t>WOS:000464653500008</t>
  </si>
  <si>
    <t>Cape, MR; Vernet, M; Pettit, EC; Wellner, J; Truffer, M; Akie, G; Domack, E; Leventer, A; Smith, CR; Huber, BA</t>
  </si>
  <si>
    <t>Cape, Mattias R.; Vernet, Maria; Pettit, Erin C.; Wellner, Julia; Truffer, Martin; Akie, Garrett; Domack, Eugene; Leventer, Amy; Smith, Craig R.; Huber, Bruce A.</t>
  </si>
  <si>
    <t>Circumpolar Deep Water Impacts Glacial Meltwater Export and Coastal Biogeochemical Cycling Along the West Antarctic Peninsula</t>
  </si>
  <si>
    <t>Antarctic Peninsula; phytoplankton; meltwater; ice-ocean; nutrients; productivity; glacier; ecosystem</t>
  </si>
  <si>
    <t>GREENLAND ICE-SHEET; SEA-LEVEL RISE; CONTINENTAL-SHELF; GAS-EXCHANGE; AMUNDSEN SEA; AUSTRAL FALL; PHYSICAL OCEANOGRAPHY; PHYTOPLANKTON BIOMASS; SEASONAL VARIABILITY; MARGUERITE BAY</t>
  </si>
  <si>
    <t>Warming along the Antarctic Peninsula has led to an increase in the export of glacial meltwater to the coastal ocean. While observations to date suggest that this freshwater export acts as an important forcing on the marine ecosystem, the processes linking ice-ocean interactions to lower trophic-level growth, particularly in coastal bays and fjords, are poorly understood. Here, we identify salient hydrographic features in Barilari Bay, a west Antarctic Peninsula fjord influenced by warm modified Upper Circumpolar Deep Water. In this fjord, interactions between the glaciers and ocean act as a control on coastal circulation, contributing to the redistribution of water masses in an upwelling plume and a vertical flux of nutrients toward the euphotic zone. This nutrient-rich plume, containing glacial meltwater but primarily composed of ambient ocean waters including modified Upper Circumpolar Deep Water, spreads through the fjord as a 150-m thick layer in the upper water column. The combination of meltwater-driven stratification, long residence time of the surface plume owing to weak circulation, and nutrient enrichment promotes phytoplankton growth within the fjord, as evidenced by shallow phytoplankton blooms and concomitant nutrient drawdown at the fjord mouth in late February. Gradients in meltwater distributions are further paralleled by gradients in phytoplankton and benthic community composition. While glacial meltwater export and upwelling of ambient waters in this way contribute to elevated primary and secondary productivity, subsurface nutrient enhancement of glacially modified ocean waters suggests that a portion of these macronutrients, as well any iron upwelled or input in meltwater, are exported to the continental shelf. Sustained atmospheric warming in the coming decades, contributing to greater runoff, would invigorate the marine circulation with consequences for glacier dynamics and biogeochemical cycling within the fjord. We conclude that ice-ocean interactions along the Antarctic Peninsula margins act as an important control on coastal marine ecosystems, with repercussions for carbon cycling along the west Antarctic Peninsula shelf as a whole.</t>
  </si>
  <si>
    <t>[Cape, Mattias R.] Univ Washington, Sch Oceanog, Seattle, WA 98195 USA; [Vernet, Maria] Univ Calif San Diego, Integrat Oceanog Div, Scripps Inst Oceanog, La Jolla, CA 92093 USA; [Pettit, Erin C.; Truffer, Martin] Univ Alaska Fairbanks, Inst Geophys, Fairbanks, AK 99775 USA; [Wellner, Julia] Univ Houston, Dept Earth &amp; Atmospher Sci, Houston, TX USA; [Akie, Garrett] Colorado Sch Mines, Hydrol Sci &amp; Engn Program, Golden, CO 80401 USA; [Domack, Eugene] Univ S Florida, Coll Marine Sci, St Petersburg, FL USA; [Leventer, Amy] Colgate Univ, Dept Geol, Hamilton, NY 13346 USA; [Smith, Craig R.] Univ Hawaii Manoa, Sch Ocean &amp; Earth Sci &amp; Technol, Honolulu, HI 96822 USA; [Huber, Bruce A.] Columbia Univ, Lamont Doherty Geol Observ, Palisades, NY 10964 USA</t>
  </si>
  <si>
    <t>University of Washington; University of Washington Seattle; University of California System; University of California San Diego; Scripps Institution of Oceanography; University of Alaska System; University of Alaska Fairbanks; University of Houston System; University of Houston; Colorado School of Mines; State University System of Florida; University of South Florida; Colgate University; University of Hawaii System; University of Hawaii Manoa; Columbia University</t>
  </si>
  <si>
    <t>Cape, MR (corresponding author), Univ Washington, Sch Oceanog, Seattle, WA 98195 USA.</t>
  </si>
  <si>
    <t>mcape@uw.edu</t>
  </si>
  <si>
    <t>Cape, Mattias/KCK-4444-2024</t>
  </si>
  <si>
    <t>Cape, Mattias/0000-0002-5621-1128; Huber, Bruce/0000-0001-6413-1614; Pettit, Erin Christine/0000-0002-6765-9841; Leventer, Amy/0000-0001-9401-0987</t>
  </si>
  <si>
    <t>National Science Foundation Office of Polar Programs under NSF [ANT-0732983, PLR-1443705, ANT-0732625, ANT-0855265, ANT-0732467, ANT-0732614, OPP-0732711, PLR-1443680]; NSF Graduate Research Fellowship [DGE-1144086]; NASA Headquarters under the NASA Earth and Space Science Fellowship [NNX12AN48H]; US NSF [PLR-144029]</t>
  </si>
  <si>
    <t>National Science Foundation Office of Polar Programs under NSF(National Science Foundation (NSF)); NSF Graduate Research Fellowship(National Science Foundation (NSF)); NASA Headquarters under the NASA Earth and Space Science Fellowship; US NSF(National Science Foundation (NSF))</t>
  </si>
  <si>
    <t>This work was supported by the National Science Foundation Office of Polar Programs under NSF grants ANT-0732983 and PLR-1443705 to MV, ANT-0732625 to EP and AL, ANT-0855265 to EP, ANT-0732467 to ED, ANT-0732614 to JW, and OPP-0732711 and PLR-1443680 to CS. MC was also supported by the NSF Graduate Research Fellowship under grant DGE-1144086 and by NASA Headquarters under the NASA Earth and Space Science Fellowship Program-grant NNX12AN48H. Hydrographic and Oxygen-18 data collection were supported by US NSF Award PLR-144029 (Palmer LTER) to H. Ducklow, Columbia University. LTER oxygen isotope analysis was supported by the United Kingdom Natural Environment Research Council and the British Antarctic Survey.</t>
  </si>
  <si>
    <t>MAR 26</t>
  </si>
  <si>
    <t>10.3389/fmars.2019.00144</t>
  </si>
  <si>
    <t>HQ9FT</t>
  </si>
  <si>
    <t>WOS:000462732900003</t>
  </si>
  <si>
    <t>Beltran, RS; Kirkham, AL; Breed, GA; Testa, JW; Burns, JM</t>
  </si>
  <si>
    <t>Beltran, Roxanne S.; Kirkham, Amy L.; Breed, Greg A.; Testa, J. Ward; Burns, Jennifer M.</t>
  </si>
  <si>
    <t>Reproductive success delays moult phenology in a polar mammal</t>
  </si>
  <si>
    <t>WEDDELL SEALS; CLIMATE-CHANGE; ELEPHANT SEALS; ANNUAL CYCLE; HARBOR SEAL; MONK SEAL; POPULATION; RATES; AGE; BIRDS</t>
  </si>
  <si>
    <t>Animals can respond to dynamic environments through phenological plasticity of life history events; however, changes in one part of the annual cycle can diminish the success of subsequent life history events. Our aims were to determine the associations between reproduction and moult phenology across years and to quantify phenological plasticity across varying environmental conditions. We conducted demographic surveys of 4,252 flipper-tagged Weddell seals (Leptonychotes weddellii) in the Ross Sea, Antarctica during four austral summers. At each sighting, seals were assigned a moult code based on the visible presence of new fur and the start date of each animal's moult was back-calculated. Reproductive success and parturition dates were obtained for the breeding season prior to and following the moult. We found that successful reproduction delayed moult by 16 days relative to non-parturient females. Phenology of the intervening moult was indicative of previous reproductive dynamics but not predictive of subsequent reproductive outcomes. Across years, moult phenology varied by about two weeks and covaried strongly with sea ice break-out timing for all reproductive categories. Our findings suggest these polar mammals have some flexibility within the annual cycle that allows adjustment of moult phenology to fluctuating environmental conditions without compromising future reproductive success.</t>
  </si>
  <si>
    <t>[Beltran, Roxanne S.] Univ Alaska Fairbanks, Biol &amp; Wildlife, 2090 Koyukuk Dr, Fairbanks, AK 99775 USA; [Beltran, Roxanne S.; Kirkham, Amy L.; Testa, J. Ward; Burns, Jennifer M.] Univ Alaska Anchorage, Biol Sci, 3101 Sci Circle, Anchorage, AK 99508 USA; [Beltran, Roxanne S.] Univ Calif Santa Cruz, Ecol &amp; Evolutionary Biol, 115 McAllister Way, Santa Cruz, CA 95060 USA; [Kirkham, Amy L.] Univ Alaska Fairbanks, Coll Fisheries &amp; Ocean Sci, 17101 Point Lena Loop Rd, Juneau, AK 99801 USA; [Breed, Greg A.] Univ Alaska Fairbanks, Inst Arctic Biol, POB 757000, Fairbanks, AK 99775 USA; [Testa, J. Ward] NOAA, Natl Marine Fisheries Serv, Marine Mammal Lab, Alaska Fisheries Sci Ctr, 7600 Sand Point Way NE F AKC3, Seattle, WA 98115 USA</t>
  </si>
  <si>
    <t>University of Alaska System; University of Alaska Fairbanks; University of Alaska System; University of Alaska Anchorage; University of California System; University of California Santa Cruz; University of Alaska System; University of Alaska Fairbanks; University of Alaska System; University of Alaska Fairbanks; National Oceanic Atmospheric Admin (NOAA) - USA</t>
  </si>
  <si>
    <t>Beltran, RS (corresponding author), Univ Alaska Fairbanks, Biol &amp; Wildlife, 2090 Koyukuk Dr, Fairbanks, AK 99775 USA.;Beltran, RS (corresponding author), Univ Alaska Anchorage, Biol Sci, 3101 Sci Circle, Anchorage, AK 99508 USA.;Beltran, RS (corresponding author), Univ Calif Santa Cruz, Ecol &amp; Evolutionary Biol, 115 McAllister Way, Santa Cruz, CA 95060 USA.</t>
  </si>
  <si>
    <t>roxanne.beltran@gmail.com</t>
  </si>
  <si>
    <t>Burns, Jennifer/AAC-8243-2019; Kirkham, Amy/GWQ-6306-2022</t>
  </si>
  <si>
    <t>Burns, Jennifer/0000-0001-9652-2943; Beltran, Roxanne/0000-0002-8520-1105</t>
  </si>
  <si>
    <t>NSF [ANT-1246463, 2015174455]; National Science Foundation Graduate Research Fellowship Program</t>
  </si>
  <si>
    <t>NSF(National Science Foundation (NSF)); National Science Foundation Graduate Research Fellowship Program(National Science Foundation (NSF))</t>
  </si>
  <si>
    <t>We thank the B-009 team members, especially Robert Garrott, Terrill Paterson and Jay Rotella for contributing information on many birth dates and on female ages and reproductive states, as it was crucial to our paper. We also thank B-292 field members Michelle Shero, Rachel Berngartt, Linnea Pearson, Patrick Robinson, Skyla Walcott, Gregg Adams, and Rob McCorkell for data collection; Marm Kilpatrick and Tim Tinker for statistical advice; and Matt Cameron, Rachel Holser, and Joe Eisaguirre for helpful comments on previous drafts. This project was made possible by logistical support from the United States National Science Foundation (NSF) through the U.S. Antarctic Program, Lockheed Martin Antarctic Support Contract, and support staff in Christchurch, New Zealand and McMurdo Station. Research was conducted with financial support from NSF grant ANT-1246463 to JMB and JWT and an NSF graduate research fellowship to RSB (Grant No. 2015174455). This material is based upon work supported by the National Science Foundation Graduate Research Fellowship Program (RSB) and while serving at the National Science Foundation (JMB). Any opinion, findings, and conclusions or recommendations expressed in this material are those of the authors and do not necessarily reflect the views of the National Science Foundation.</t>
  </si>
  <si>
    <t>10.1038/s41598-019-41635-x</t>
  </si>
  <si>
    <t>HQ3GZ</t>
  </si>
  <si>
    <t>WOS:000462300100006</t>
  </si>
  <si>
    <t>Reschke, M; Rehfeld, K; Laepple, T</t>
  </si>
  <si>
    <t>Reschke, Maria; Rehfeld, Kira; Laepple, Thomas</t>
  </si>
  <si>
    <t>Empirical estimate of the signal content of Holocene temperature proxy records</t>
  </si>
  <si>
    <t>NORTH-ATLANTIC; PLANKTONIC-FORAMINIFERA; ANTARCTIC FIRN; CLIMATE SIGNAL; AGE MODELS; VARIABILITY; RECONSTRUCTION; SIMULATION; EVOLUTION; ISOTOPE</t>
  </si>
  <si>
    <t>Proxy records from climate archives provide evidence about past climate changes, but the recorded signal is affected by non-climate-related effects as well as time uncertainty. As proxy-based climate reconstructions are frequently used to test climate models and to quantitatively infer past climate, we need to improve our understanding of the proxy record signal content as well as the uncertainties involved. In this study, we empirically estimate signal-to-noise ratios (SNRs) of temperature proxy records used in global compilations of the middle to late Holocene (last 6000 years). This is achieved through a comparison of the correlation of proxy time series from nearby sites of three compilations and model time series extracted at the proxy sites from two transient climate model simulations: a Holocene simulation of the ECHAM5/MPI-OM model and the Holocene part of the TraCE-21ka simulation. In all comparisons, we found the mean correlations of the proxy time series on centennial to millennial timescales to be low (R &lt; 0.2), even for nearby sites, which resulted in low SNR estimates. The estimated SNRs depend on the assumed time uncertainty of the proxy records, the timescale analysed, and the model simulation used. Using the spatial correlation structure of the ECHAM5/MPI-OM simulation, the estimated SNRs on centennial timescales ranged from 0.05 - assuming no time uncertainty - to 0.5 for a time uncertainty of 400 years. On millennial timescales, the estimated SNRs were generally higher. Use of the TraCE-21ka correlation structure generally resulted in lower SNR estimates than for ECHAM5/MPI-OM. As the number of available high-resolution proxy records continues to grow, a more detailed analysis of the signal content of specific proxy types should become feasible in the near future. The estimated low signal content of Holocene temperature compilations should caution against over-interpretation of these multi-proxy and multisite syntheses until further studies are able to facilitate a better characterisation of the signal content in paleoclimate records.</t>
  </si>
  <si>
    <t>[Reschke, Maria; Rehfeld, Kira; Laepple, Thomas] Alfred Wegener Inst, Helmholtz Ctr Polar &amp; Marine Res, Telegrafenberg A45, D-14473 Potsdam, Germany; [Reschke, Maria] Univ Potsdam, Inst Geosci, Karl Liebknecht Str 24-25, D-14476 Potsdam, Germany; [Rehfeld, Kira] Heidelberg Univ, Inst Umweltphys, Neuenheimer Feld 229, D-69120 Heidelberg, Germany</t>
  </si>
  <si>
    <t>Helmholtz Association; Alfred Wegener Institute, Helmholtz Centre for Polar &amp; Marine Research; University of Potsdam; Ruprecht Karls University Heidelberg</t>
  </si>
  <si>
    <t>Reschke, M (corresponding author), Alfred Wegener Inst, Helmholtz Ctr Polar &amp; Marine Res, Telegrafenberg A45, D-14473 Potsdam, Germany.;Reschke, M (corresponding author), Univ Potsdam, Inst Geosci, Karl Liebknecht Str 24-25, D-14476 Potsdam, Germany.</t>
  </si>
  <si>
    <t>mreschke@awi.de</t>
  </si>
  <si>
    <t>Rehfeld, Kira/O-1781-2019; IPO, PAGES/JXY-7546-2024; Rehfeld, Kira/G-9945-2013; Laepple, Thomas/M-8783-2015</t>
  </si>
  <si>
    <t>Rehfeld, Kira/0000-0002-9442-5362; Rehfeld, Kira/0000-0002-9442-5362; Laepple, Thomas/0000-0001-8108-7520</t>
  </si>
  <si>
    <t>Initiative and Networking Fund of the Helmholtz Association [VG-NH900]; European Research Council (ERC) under the European Union [716092]; German Research Foundation [DFG RE3994-1/1, DFG RE3994-2/1]</t>
  </si>
  <si>
    <t>Initiative and Networking Fund of the Helmholtz Association; European Research Council (ERC) under the European Union(European Research Council (ERC)); German Research Foundation(German Research Foundation (DFG))</t>
  </si>
  <si>
    <t>We would like to acknowledge Igor Kroner for fruitful discussions and comments on the paper. We are grateful to Oliver Bothe and the anonymous referee for their constructive input. The work profited from discussions at the CVAS working group of the Past Global Changes (PAGES) programme. This study was supported by the Initiative and Networking Fund of the Helmholtz Association (grant VG-NH900) as well as the European Research Council (ERC) under the European Union's Horizon 2020 research and innovation programme (grant agreement no. 716092). It further contributes to the German BMBF project PALMOD. Kira Rehfeld acknowledges funding by German Research Foundation grants DFG RE3994-1/1 and DFG RE3994-2/1.</t>
  </si>
  <si>
    <t>10.5194/cp-15-521-2019</t>
  </si>
  <si>
    <t>HQ6PC</t>
  </si>
  <si>
    <t>WOS:000462539100001</t>
  </si>
  <si>
    <t>Malard, LA; Sabacka, M; Magiopoulos, I; Mowlem, M; Hodson, A; Tranter, M; Siegert, MJ; Pearce, DA</t>
  </si>
  <si>
    <t>Malard, Lucie A.; Sabacka, Marie; Magiopoulos, Iordanis; Mowlem, Matt; Hodson, Andy; Tranter, Martyn; Siegert, Martin J.; Pearce, David A.</t>
  </si>
  <si>
    <t>Spatial Variability of Antarctic Surface Snow Bacterial Communities</t>
  </si>
  <si>
    <t>Antarctic; snow; biogeography; Ellsworth Lake; microbial diversity; relic DNA</t>
  </si>
  <si>
    <t>ARCTIC SNOW; PREFERENTIAL DETECTION; OPTICAL-PROPERTIES; WEST ANTARCTICA; SEA-ICE; DIVERSITY; MICROORGANISMS; PATTERNS; BIOGEOGRAPHY; MICROBIOTA</t>
  </si>
  <si>
    <t>It was once a long-held view that the Antarctic was a pristine environment with low biomass, low biodiversity and low rates of microbial activity. However, as the intensity of scientific investigation has increased, so these views have started to change. In particular, the role and impact of human activity toward indigenous microbial communities has started to come under more intense scrutiny. During the Subglacial Lake Ellsworth exploration campaign in December 2012, a microbiological survey was conducted to determine the extent and likelihood of exogenous input into the subglacial lake system during the hot-water drilling process. Snow was collected from the surface to represent that used for melt water production for hot-water drilling. The results of this study showed that snow used to provide melt water differed in its microbiological composition from that of the surrounding area and raised the question of how the biogeography of snow-borne microorganisms might influence the potential outcome of scientific analyses. In this study, we investigated the biogeography of microorganisms in snow around a series of Antarctic logistic hubs, where human activity was clearly apparent, and from which scientific investigations have been undertaken. A change in microbial community structure with geographical location was apparent and, notably, a decrease in alpha diversity at more remote southern latitudes. Soil-related microorganisms dominated microbial assemblages suggesting terrestrial input, most likely from long-range aeolian transport into continental Antarctica. We also observed that relic DNA was not a major issue when assessing snow samples. Overall, our observations might have profound implications for future scientific activities in Antarctica, such as the need to establish no-go protected areas, the need for better characterization of field sites and improved protocols for sterilization and verification of ice drilling equipment.</t>
  </si>
  <si>
    <t>[Malard, Lucie A.; Pearce, David A.] Northumbria Univ Newcastle, Fac Hlth &amp; Life Sci, Dept Appl Sci, Newcastle Upon Tyne, Tyne &amp; Wear, England; [Sabacka, Marie] Univ South Bohemia Ceske Budejovice, Ctr Polar Ecol, Ceske Budejovice, Czech Republic; [Magiopoulos, Iordanis] Hellen Ctr Marine Res, Inst Oceanog, Iraklion, Greece; [Magiopoulos, Iordanis; Mowlem, Matt] Natl Oceanog Ctr Southampton, Ocean Technol &amp; Engn Grp, Southampton, Hants, England; [Hodson, Andy] Univ Ctr Svalbard, Arctic Geol, Longyearbyen, Norway; [Hodson, Andy] Western Norway Univ Appl Sci, Dept Environm Sci, Bergen, Norway; [Tranter, Martyn] Univ Bristol, Bristol Glaciol Ctr, Bristol, Avon, England; [Siegert, Martin J.] Imperial Coll London, Grantham Inst, Dept Earth Sci &amp; Engn, London, England; [Pearce, David A.] British Antarctic Survey, Nat Environm Res Council, Cambridge, England</t>
  </si>
  <si>
    <t>Northumbria University; University of South Bohemia Ceske Budejovice; Hellenic Centre for Marine Research; NERC National Oceanography Centre; University of Southampton; University Centre Svalbard (UNIS); Western Norway University of Applied Sciences; University of Bristol; Imperial College London; UK Research &amp; Innovation (UKRI); Natural Environment Research Council (NERC); NERC British Antarctic Survey</t>
  </si>
  <si>
    <t>Pearce, DA (corresponding author), Northumbria Univ Newcastle, Fac Hlth &amp; Life Sci, Dept Appl Sci, Newcastle Upon Tyne, Tyne &amp; Wear, England.;Pearce, DA (corresponding author), British Antarctic Survey, Nat Environm Res Council, Cambridge, England.</t>
  </si>
  <si>
    <t>david.pearce@northumbria.ac.uk</t>
  </si>
  <si>
    <t>Siegert, Martin/M-9939-2019; Sabacka, Marie/I-6378-2012; Siegert, Martin J/A-3826-2008; Malard, Lucie/C-1852-2015; Tranter, Martyn/E-3722-2010</t>
  </si>
  <si>
    <t>Siegert, Martin/0000-0002-0090-4806; Siegert, Martin J/0000-0002-0090-4806; Mowlem, Matthew/0000-0001-7613-6121; Malard, Lucie/0000-0001-9988-2127; Hodson, Andrew/0000-0002-1255-7987; Tranter, Martyn/0000-0003-2071-3094; Sabacka, Marie/0000-0002-0876-2718; Magiopoulos, Iordanis/0000-0001-6475-7326; Pearce, David/0000-0001-5292-4596</t>
  </si>
  <si>
    <t>United Kingdom Natural Environment Research Council [G00465X/1, G00465X/2, G00465X/3, NE/H014446/1, NE/H014802/1]; European Commission's Marie Sklodowska-Curie Actions program [675546]; NERC [noc010013, NE/H014446/1, NE/G004242/1, NE/H014802/1, bas0100036, NE/G00465X/3] Funding Source: UKRI</t>
  </si>
  <si>
    <t>United Kingdom Natural Environment Research Council(UK Research &amp; Innovation (UKRI)Natural Environment Research Council (NERC)); European Commission's Marie Sklodowska-Curie Actions program; NERC(UK Research &amp; Innovation (UKRI)Natural Environment Research Council (NERC))</t>
  </si>
  <si>
    <t>This work was supported by grants from the United Kingdom Natural Environment Research Council grants G00465X/1, G00465X/2, G00465X/3, NE/H014446/1, and NE/H014802/1 and from the European Commission's Marie Sklodowska-Curie Actions program under project number 675546.</t>
  </si>
  <si>
    <t>10.3389/fmicb.2019.00461</t>
  </si>
  <si>
    <t>HQ6FL</t>
  </si>
  <si>
    <t>WOS:000462508000001</t>
  </si>
  <si>
    <t>Sutton, AJ; Feely, RA; Maenner-Jones, S; Musielwicz, S; Osborne, J; Dietrich, C; Monacci, N; Cross, J; Bott, R; Kozyr, A; Andersson, AJ; Bates, NR; Cai, WJ; Cronin, MF; De Carlo, EH; Hales, B; Howden, SD; Lee, CM; Manzello, DP; McPhaden, MJ; Meléndez, M; Mickett, JB; Newton, JA; Noakes, SE; Noh, JH; Olafsdottir, SR; Salisbury, JE; Send, U; Trull, TW; Vandemark, DC; Weller, RA</t>
  </si>
  <si>
    <t>Sutton, Adrienne J.; Feely, Richard A.; Maenner-Jones, Stacy; Musielwicz, Sylvia; Osborne, John; Dietrich, Colin; Monacci, Natalie; Cross, Jessica; Bott, Randy; Kozyr, Alex; Andersson, Andreas J.; Bates, Nicholas R.; Cai, Wei-Jun; Cronin, Meghan F.; De Carlo, Eric H.; Hales, Burke; Howden, Stephan D.; Lee, Charity M.; Manzello, Derek P.; McPhaden, Michael J.; Melendez, Melissa; Mickett, John B.; Newton, Jan A.; Noakes, Scott E.; Noh, Jae Hoon; Olafsdottir, Solveig R.; Salisbury, Joseph E.; Send, Uwe; Trull, Thomas W.; Vandemark, Douglas C.; Weller, Robert A.</t>
  </si>
  <si>
    <t>Autonomous seawater pCO2 and pH time series from 40 surface buoys and the emergence of anthropogenic trends</t>
  </si>
  <si>
    <t>OCEAN ACIDIFICATION; CARBON-DIOXIDE; NATURAL VARIABILITY; CORAL CALCIFICATION; CO2; PACIFIC; CHEMISTRY; INDICATOR; EXTREMES; IMPACTS</t>
  </si>
  <si>
    <t>Ship-based time series, some now approaching over 3 decades long, are critical climate records that have dramatically improved our ability to characterize natural and anthropogenic drivers of ocean carbon dioxide (CO2) uptake and biogeochemical processes. Advancements in autonomous marine carbon sensors and technologies over the last 2 decades have led to the expansion of observations at fixed time series sites, thereby improving the capability of characterizing sub-seasonal variability in the ocean. Here, we present a data product of 40 individual autonomous moored surface ocean pCO(2) (partial pressure of CO2) time series established between 2004 and 2013, 17 also include autonomous pH measurements. These time series characterize a wide range of surface ocean carbonate conditions in different oceanic (17 sites), coastal (13 sites), and coral reef (10 sites) regimes. A time of trend emergence (ToE) methodology applied to the time series that exhibit well-constrained daily to interannual variability and an estimate of decadal variability indicates that the length of sustained observations necessary to detect statistically significant anthropogenic trends varies by marine environment. The ToE estimates for seawater pCO(2) and pH range from 8 to 15 years at the open ocean sites, 16 to 41 years at the coastal sites, and 9 to 22 years at the coral reef sites. Only two open ocean pCO(2) time series, Woods Hole Oceanographic Institution Hawaii Ocean Time-series Station (WHOTS) in the subtropical North Pacific and Stratus in the South Pacific gyre, have been deployed longer than the estimated trend detection time and, for these, deseasoned monthly means show estimated anthropogenic trends of 1.9 +/- 0.3 and 1.6 +/- 0.3 mu atm yr(-1), respectively. In the future, it is possible that updates to this product will allow for the estimation of anthropogenic trends at more sites; however, the product currently provides a valuable tool in an accessible format for evaluating climatology and natural variability of surface ocean carbonate chemistry in a variety of regions. Data are available at https.//doi. org/10.7289/V5DB8043 and https.//www.nodc.noaa.gov/ocads/oceans/Moorings/ndp097.html (Sutton et al., 2018).</t>
  </si>
  <si>
    <t>[Sutton, Adrienne J.; Feely, Richard A.; Maenner-Jones, Stacy; Musielwicz, Sylvia; Osborne, John; Dietrich, Colin; Cross, Jessica; Bott, Randy; Cronin, Meghan F.; McPhaden, Michael J.] NOAA, Pacific Marine Environm Lab, 7600 Sand Point Way Ne, Seattle, WA 98115 USA; [Musielwicz, Sylvia; Osborne, John; Dietrich, Colin] Univ Washington, Joint Inst Study Atmosphere &amp; Ocean, Seattle, WA 98195 USA; [Monacci, Natalie] Univ Alaska Fairbanks, Ocean Acidificat Res Ctr, Fairbanks, AK USA; [Kozyr, Alex] NOAA, Natl Ctr Environm Informat, Silver Spring, MD USA; [Andersson, Andreas J.; Send, Uwe] Univ Calif San Diego, Scripps Inst Oceanog, La Jolla, CA 92093 USA; [Bates, Nicholas R.] Bermuda Inst Ocean Sci, St Georges, Bermuda; [Bates, Nicholas R.] Univ Southampton, Dept Ocean &amp; Earth Sci, Southampton, Hants, England; [Cai, Wei-Jun] Univ Delaware, Sch Marine Sci &amp; Policy, Newark, DE USA; [De Carlo, Eric H.] Univ Hawaii Manoa, Sch Ocean &amp; Earth Sci &amp; Technol, Honolulu, HI USA; [Hales, Burke] Oregon State Univ, Coll Earth Ocean &amp; Atmospher Sci, Corvallis, OR 97331 USA; [Howden, Stephan D.] Univ Southern Mississippi, Dept Marine Sci, Stennis Space Ctr, MS USA; [Lee, Charity M.] Korea Inst Ocean Sci &amp; Technol, Ocean Policy Inst, Busan, South Korea; [Manzello, Derek P.] NOAA, Atlantic Oceanog &amp; Meteorol Lab, Miami, FL 33149 USA; [Melendez, Melissa] Univ New Hampshire, Dept Earth Sci, Durham, NH 03824 USA; [Melendez, Melissa; Salisbury, Joseph E.; Vandemark, Douglas C.] Univ New Hampshire, Ocean Proc Anal Lab, Durham, NH 03824 USA; [Melendez, Melissa] Univ Puerto Rico, Caribbean Coastal Ocean Observing Syst, Mayaguez, PR USA; [Mickett, John B.; Newton, Jan A.] Univ Washington, Appl Phys Lab, Seattle, WA 98105 USA; [Noakes, Scott E.] Univ Georgia, Ctr Appl Isotope Studies, Athens, GA 30602 USA; [Noh, Jae Hoon] Korea Inst Ocean Sci &amp; Technol, Marine Ecosyst Res Ctr, Busan, South Korea; [Olafsdottir, Solveig R.] Marine &amp; Freshwater Res Inst, Reykjavik, Iceland; [Trull, Thomas W.] CSIRO, Climate Sci Ctr, Oceans &amp; Atmosphere, Hobart, Tas, Australia; [Trull, Thomas W.] Antarctic Climate &amp; Ecosyst Cooperat Res Ctr, Hobart, Tas, Australia; [Trull, Thomas W.] Univ Tasmania, Inst Marine &amp; Antarctic Studies, Hobart, Tas, Australia; [Weller, Robert A.] Woods Hole Oceanog Inst, Woods Hole, MA 02543 USA</t>
  </si>
  <si>
    <t>National Oceanic Atmospheric Admin (NOAA) - USA; University of Washington; University of Washington Seattle; University of Alaska System; University of Alaska Fairbanks; National Oceanic Atmospheric Admin (NOAA) - USA; University of California System; University of California San Diego; Scripps Institution of Oceanography; Bermuda Institute of Ocean Sciences; NERC National Oceanography Centre; University of Southampton; University of Delaware; University of Hawaii System; University of Hawaii Manoa; Oregon State University; University of Southern Mississippi; Korea Institute of Ocean Science &amp; Technology (KIOST); National Oceanic Atmospheric Admin (NOAA) - USA; Atlantic Oceanographic &amp; Meteorological Laboratory (AOML); University System Of New Hampshire; University of New Hampshire; University System Of New Hampshire; University of New Hampshire; University of Puerto Rico; University of Puerto Rico Mayaguez; University of Washington; University of Washington Seattle; University System of Georgia; University of Georgia; Korea Institute of Ocean Science &amp; Technology (KIOST); Marine &amp; Freshwater Research Institute (MFRI); Commonwealth Scientific &amp; Industrial Research Organisation (CSIRO); Antarctic Climate &amp; Ecosystems Cooperative Research Centre (ACE CRC); University of Tasmania; Woods Hole Oceanographic Institution</t>
  </si>
  <si>
    <t>Sutton, AJ (corresponding author), NOAA, Pacific Marine Environm Lab, 7600 Sand Point Way Ne, Seattle, WA 98115 USA.</t>
  </si>
  <si>
    <t>adrienne.sutton@noaa.gov</t>
  </si>
  <si>
    <t>Cronin, Meghan F./M-3155-2018; Feely, Richard A./ABI-5740-2020; Sutton, Adrienne/C-7725-2015; Manzello, Derek P/A-8661-2014; Cai, Wei-Jun/C-1361-2013; McPhaden, Michael J/D-9799-2016</t>
  </si>
  <si>
    <t>Cronin, Meghan F./0000-0002-4703-8132; Sutton, Adrienne/0000-0002-7414-7035; Cai, Wei-Jun/0000-0003-3606-8325; Cross, Jessica/0000-0002-6650-9905; Vandemark, Douglas/0000-0003-4367-5457; Monacci, Natalie/0000-0002-0704-5776; Howden, Stephan/0000-0002-7690-6365</t>
  </si>
  <si>
    <t>Ocean Observing and Monitoring Division of the Climate Program Office [100007298]; Australian Integrated Marine Observing System; Caribbean Coastal Ocean Observing System, Gray's Reef National Marine Sanctuary; Marine and Freshwater Research Institute; Murdock Charitable Trust; National Data Buoy Center; National Science Foundation Division of Ocean Sciences, NOAA-Korean Ministry of Oceans and Fisheries Joint Project Agreement; Northwest Association of Networked Ocean Observing Systems; Research Moored Array for African-Asian-Australian Monsoon Analysis and Prediction; University of Washington; US Integrated Ocean Observing System; Washington Ocean Acidification Center</t>
  </si>
  <si>
    <t>Ocean Observing and Monitoring Division of the Climate Program Office; Australian Integrated Marine Observing System; Caribbean Coastal Ocean Observing System, Gray's Reef National Marine Sanctuary; Marine and Freshwater Research Institute; Murdock Charitable Trust; National Data Buoy Center; National Science Foundation Division of Ocean Sciences, NOAA-Korean Ministry of Oceans and Fisheries Joint Project Agreement; Northwest Association of Networked Ocean Observing Systems; Research Moored Array for African-Asian-Australian Monsoon Analysis and Prediction; University of Washington(University of Washington); US Integrated Ocean Observing System; Washington Ocean Acidification Center</t>
  </si>
  <si>
    <t>We gratefully acknowledge the major funders of the pCO2 and pH observations: the Office of Oceanic and Atmospheric Research of the National Oceanic and Atmospheric Administration, US Department of Commerce, including resources from the Ocean Observing and Monitoring Division of the Climate Program Office (fund reference number 100007298) and the Ocean Acidification Program. We rely on a long list of scientific partners and technical staff who carry out buoy maintenance, sensor deployment, and ancillary measurements at sea. We thank these partners and their funders for their continued efforts in sustaining the platforms that support these long-term pCO2 and pH observations, including the following institutions: the Australian Integrated Marine Observing System, the Caribbean Coastal Ocean Observing System, Gray's Reef National Marine Sanctuary, the Marine and Freshwater Research Institute, the Murdock Charitable Trust, the National Data Buoy Center, the National Science Foundation Division of Ocean Sciences, NOAA-Korean Ministry of Oceans and Fisheries Joint Project Agreement, the Northwest Association of Networked Ocean Observing Systems, the Research Moored Array for African-Asian-Australian Monsoon Analysis and Prediction (i.e., RAMA), the University of Washington, the US Integrated Ocean Observing System, and the Washington Ocean Acidification Center. The open ocean sites are part of the OceanSITES program of the Global Ocean Observing System and the Surface Ocean CO2 Observing Network. All sites are also part of the Global Ocean Acidification Observing Network. This paper is PMEL contribution number 4797.</t>
  </si>
  <si>
    <t>10.5194/essd-11-421-2019</t>
  </si>
  <si>
    <t>HQ6PM</t>
  </si>
  <si>
    <t>Green Submitted, gold, Green Accepted, Green Published</t>
  </si>
  <si>
    <t>WOS:000462540200001</t>
  </si>
  <si>
    <t>Smith, DM; Screen, JA; Deser, C; Cohen, J; Fyfe, JC; García-Serrano, J; Jung, T; Kattsov, V; Matei, D; Msadek, R; Peings, Y; Sigmond, M; Ukita, J; Yoon, JH; Zhang, XD</t>
  </si>
  <si>
    <t>Smith, Doug M.; Screen, James A.; Deser, Clara; Cohen, Judah; Fyfe, John C.; Garcia-Serrano, Javier; Jung, Thomas; Kattsov, Vladimir; Matei, Daniela; Msadek, Rym; Peings, Yannick; Sigmond, Michael; Ukita, Jinro; Yoon, Jin-Ho; Zhang, Xiangdong</t>
  </si>
  <si>
    <t>The Polar Amplification Model Intercomparison Project (PAMIP) contribution to CMIP6: investigating the causes and consequences of polar amplification</t>
  </si>
  <si>
    <t>ARCTIC SEA-ICE; SNOW COVER VARIABILITY; ATMOSPHERIC CIRCULATION; NORTHERN-HEMISPHERE; MIDLATITUDE WEATHER; CLIMATE-CHANGE; EXPERIMENTAL-DESIGN; V1.0 CONTRIBUTION; WINTER CLIMATE; COLD WINTERS</t>
  </si>
  <si>
    <t>Polar amplification - the phenomenon where external radiative forcing produces a larger change in surface temperature at high latitudes than the global average - is a key aspect of anthropogenic climate change, but its causes and consequences are not fully understood. The Polar Amplification Model Intercomparison Project (PAMIP) contribution to the sixth Coupled Model Intercomparison Project (CMIP6; Eyring et al., 2016) seeks to improve our understanding of this phenomenon through a coordinated set of numerical model experiments documented here. In particular, PAMIP will address the following primary questions: (1) what are the relative roles of local sea ice and remote sea surface temperature changes in driving polar amplification? (2) How does the global climate system respond to changes in Arctic and Antarctic sea ice? These issues will be addressed with multi-model simulations that are forced with different combinations of sea ice and/or sea surface temperatures representing present-day, pre-industrial and future conditions. The use of three time periods allows the signals of interest to be diagnosed in multiple ways. Lower-priority tier experiments are proposed to investigate additional aspects and provide further understanding of the physical processes. These experiments will address the following specific questions: what role does ocean-atmosphere coupling play in the response to sea ice? How and why does the atmospheric response to Arctic sea ice depend on the pattern of sea ice forcing? How and why does the atmospheric response to Arctic sea ice depend on the model background state? What have been the roles of local sea ice and remote sea surface temperature in polar amplification, and the response to sea ice, over the recent period since 1979? How does the response to sea ice evolve on decadal and longer timescales? A key goal of PAMIP is to determine the real-world situation using imperfect climate models. Although the experiments proposed here form a coordinated set, we anticipate a large spread across models. However, this spread will be exploited by seeking emergent constraints in which model uncertainty may be reduced by using an observable quantity that physically explains the intermodel spread. In summary, PAMIP will improve our understanding of the physical processes that drive polar amplification and its global climate impacts, thereby reducing the uncertainties in future projections and predictions of climate change and variability.</t>
  </si>
  <si>
    <t>[Smith, Doug M.] Met Off Hadley Ctr, Exeter, Devon, England; [Screen, James A.] Univ Exeter, Coll Engn Math &amp; Phys Sci, Exeter, Devon, England; [Deser, Clara] Natl Ctr Atmospher Res, Climate &amp; Global Dynam, POB 3000, Boulder, CO 80307 USA; [Cohen, Judah] Atmospher &amp; Environm Res, Lexington, MA USA; [Fyfe, John C.; Sigmond, Michael] Environm &amp; Climate Change Canada, Canadian Ctr Climate Modelling &amp; Anal, Victoria, BC, Canada; [Garcia-Serrano, Javier] BSC, Barcelona, Spain; [Garcia-Serrano, Javier] Univ Barcelona, Grp Meteorol, Barcelona, Spain; [Jung, Thomas] Helmholtz Ctr Polar &amp; Marine Res, Alfred Wegener Inst, Bremerhaven, Germany; [Jung, Thomas] Univ Bremen, Inst Environm Phys, Bremen, Germany; [Kattsov, Vladimir] Voeikov Main Geophys Observ, St Petersburg, Russia; [Matei, Daniela] Max Planck Inst Meteorol, Hamburg, Germany; [Msadek, Rym] CNRS, UMR 5318, CERFACS, Toulouse, France; [Peings, Yannick] Univ Calif Irvine, Dept Earth Syst Sci, Irvine, CA USA; [Ukita, Jinro] Niigata Univ, Inst Sci &amp; Technol, Niigata, Japan; [Yoon, Jin-Ho] Gwangju Inst Sci &amp; Technol, Sch Earth Sci &amp; Environm Engn, Gwangju, South Korea; [Zhang, Xiangdong] Univ Alaska, Int Arctic Res Ctr, Fairbanks, AK 99701 USA</t>
  </si>
  <si>
    <t>Met Office - UK; Hadley Centre; University of Exeter; National Center Atmospheric Research (NCAR) - USA; Atmospheric &amp; Environmental Research; Environment &amp; Climate Change Canada; Canadian Centre for Climate Modelling &amp; Analysis (CCCma); University of Barcelona; Helmholtz Association; Alfred Wegener Institute, Helmholtz Centre for Polar &amp; Marine Research; University of Bremen; Max Planck Society; Centre National de la Recherche Scientifique (CNRS); CNRS - National Institute for Earth Sciences &amp; Astronomy (INSU); CERFACS; University of California System; University of California Irvine; Niigata University; Gwangju Institute of Science &amp; Technology (GIST); University of Alaska System; University of Alaska Fairbanks</t>
  </si>
  <si>
    <t>Smith, DM (corresponding author), Met Off Hadley Ctr, Exeter, Devon, England.</t>
  </si>
  <si>
    <t>doug.smith@metoffice.gov.uk</t>
  </si>
  <si>
    <t>Screen, James A/D-7588-2013; YOON, JIN-HO/A-1672-2009; Jung, Thomas/J-5239-2012; Msadek, Rym/C-7752-2014; Kattsov, Vladimir M/D-1467-2016; Zhang, Xiangdong/A-9711-2009; Sigmond, Michael/K-3169-2012; Smith, Doug/ABD-5204-2021; García-Serrano, Javier/I-5058-2015</t>
  </si>
  <si>
    <t>Jung, Thomas/0000-0002-2651-1293; Zhang, Xiangdong/0000-0001-5893-2888; García-Serrano, Javier/0000-0003-3913-0876; Screen, James/0000-0003-1728-783X; Sigmond, Michael/0000-0003-2191-9756; /0000-0002-7762-4482; Kattsov, Vladimir/0000-0001-9108-3670</t>
  </si>
  <si>
    <t>NASA; NSF; NOAA; DOE; joint DECC/Defra Met Office Hadley Centre Climate Programme [GA01101, GA727862]; EU H2020 APPLICATE project [GA01101, GA727862]; NERC grant [NE/R005125/1]; National Science Foundation; EU H2020 PRIMAVERA [GA641727]; Korean Polar Research Institute [PE16100]; EU H2020 Blue-Action [GA 727852]; BMBF project CLIMPRE InterDec [FKZ: 01LP1609A]; ArCS; InderDec</t>
  </si>
  <si>
    <t>NASA(National Aeronautics &amp; Space Administration (NASA)); NSF(National Science Foundation (NSF)); NOAA(National Oceanic Atmospheric Admin (NOAA) - USA); DOE(United States Department of Energy (DOE)); joint DECC/Defra Met Office Hadley Centre Climate Programme; EU H2020 APPLICATE project; NERC grant(UK Research &amp; Innovation (UKRI)Natural Environment Research Council (NERC)); National Science Foundation(National Science Foundation (NSF)); EU H2020 PRIMAVERA; Korean Polar Research Institute; EU H2020 Blue-Action(European Union (EU)); BMBF project CLIMPRE InterDec(Federal Ministry of Education &amp; Research (BMBF)); ArCS; InderDec</t>
  </si>
  <si>
    <t>The author give thanks to the US CLIVAR Working Group on Arctic Change and the Aspen Global Change Institute (AGCI) for hosting workshops which contributed to PAMIP planning, with funding from NASA, NSF, NOAA and DOE. Doug M. Smith was supported by the joint DECC/Defra Met Office Hadley Centre Climate Programme (GA01101) and the EU H2020 APPLICATE project (GA727862). James A. Screen was supported by NERC grant NE/R005125/1. NCAR is sponsored by the National Science Foundation. Javier Garcia-Serrano was supported by the EU H2020 PRIMAVERA (GA641727). Jin-Ho Yoon was supported by the funding from the Korean Polar Research Institute through grant PE16100. Daniela Matei was supported by the EU H2020 Blue-Action (GA 727852) and BMBF project CLIMPRE InterDec (FKZ: 01LP1609A). Jinro Ukita was supported by ArCS and InderDec. The authors thank Yannick Peings for creating the forcing fields.</t>
  </si>
  <si>
    <t>MAR 25</t>
  </si>
  <si>
    <t>10.5194/gmd-12-1139-2019</t>
  </si>
  <si>
    <t>HQ4AW</t>
  </si>
  <si>
    <t>WOS:000462352700002</t>
  </si>
  <si>
    <t>Mondal, M; Gayen, B; Griffiths, RW; Kerr, RC</t>
  </si>
  <si>
    <t>Mondal, Mainak; Gayen, Bishakdatta; Griffiths, Ross W.; Kerr, Ross C.</t>
  </si>
  <si>
    <t>Ablation of sloping ice faces into polar seawater</t>
  </si>
  <si>
    <t>JOURNAL OF FLUID MECHANICS</t>
  </si>
  <si>
    <t>buoyant boundary layers; ice sheets; turbulent convection</t>
  </si>
  <si>
    <t>VERTICALLY DISTRIBUTED SOURCE; PINE ISLAND GLACIER; NATURAL-CONVECTION; BOUNDARY-LAYER; OCEAN; SURFACE; WATER; WALL; PARAMETERIZATION; DISSOLUTION</t>
  </si>
  <si>
    <t>The effects of the slope of an ice-seawater interface on the mechanisms and rate of ablation of the ice by natural convection are examined using turbulence-resolving simulations. Solutions are obtained for ice slopes theta = 2 degrees-90 degrees, at a fixed ambient salinity and temperature, chosen to represent common Antarctic ocean conditions. For laminar boundary layers the ablation rate decreases with height, whereas in the turbulent regime the ablation rate is found to be height independent. The simulated laminar ablation rates scale with (sin theta)(1/4), whereas in the turbulent regime it follows a (sin theta)(2/3) scaling, both consistent with the theoretical predictions developed here. The reduction in the ablation rate with shallower slopes arises as a result of the development of stable density stratification beneath the ice face, which reduces turbulent buoyancy fluxes to the ice. The turbulent kinetic energy budget of the flow shows that, for very steep slopes, both buoyancy and shear production are drivers of turbulence, whereas for shallower slopes shear production becomes the dominant mechanism for sustaining turbulence in the convective boundary layer.</t>
  </si>
  <si>
    <t>[Mondal, Mainak; Gayen, Bishakdatta; Griffiths, Ross W.; Kerr, Ross C.] Australian Natl Univ, Res Sch Earth Sci, Canberra, ACT 2601, Australia</t>
  </si>
  <si>
    <t>Mondal, M (corresponding author), Australian Natl Univ, Res Sch Earth Sci, Canberra, ACT 2601, Australia.</t>
  </si>
  <si>
    <t>mainak.mondal@anu.edu.au; bishakhdatta.gayen@anu.edu.au</t>
  </si>
  <si>
    <t>Gayen, Bishakhdatta/Y-4300-2019; Kerr, Ross C/H-8315-2014; griffiths, ross/E-6121-2010</t>
  </si>
  <si>
    <t>Gayen, Bishakhdatta/0000-0001-6543-2590; griffiths, ross/0000-0002-5291-1178</t>
  </si>
  <si>
    <t>Australian Government; Australian Research Council [DP120102772, DP120102744]; ARC DECRA Fellowship [DE140100089]; Australian Antarctic Division RJL Hawk Fellowship; Australian Research Council [DE140100089] Funding Source: Australian Research Council</t>
  </si>
  <si>
    <t>Australian Government(Australian Government); Australian Research Council(Australian Research Council); ARC DECRA Fellowship(Australian Research Council); Australian Antarctic Division RJL Hawk Fellowship; Australian Research Council(Australian Research Council)</t>
  </si>
  <si>
    <t>Computations were carried out using the Australian National Computational Infrastructure, through the National Computational Merit Allocation Scheme supported by the Australian Government. This work was supported by Australian Research Council grants DP120102772 and DP120102744. B.G. was supported by ARC DECRA Fellowship DE140100089 and an Australian Antarctic Division RJL Hawk Fellowship to B.G. We are also grateful to the reviewers who provided valuable suggestions throughout the review process.</t>
  </si>
  <si>
    <t>0022-1120</t>
  </si>
  <si>
    <t>1469-7645</t>
  </si>
  <si>
    <t>J FLUID MECH</t>
  </si>
  <si>
    <t>J. Fluid Mech.</t>
  </si>
  <si>
    <t>PII S0022112018009709</t>
  </si>
  <si>
    <t>10.1017/jfm.2018.970</t>
  </si>
  <si>
    <t>Mechanics; Physics, Fluids &amp; Plasmas</t>
  </si>
  <si>
    <t>Mechanics; Physics</t>
  </si>
  <si>
    <t>LD4VT</t>
  </si>
  <si>
    <t>WOS:000526029100021</t>
  </si>
  <si>
    <t>Shin, SC; Kim, H; Lee, JH; Kim, HW; Park, J; Choi, BS; Lee, SC; Kim, JH; Lee, H; Kim, S</t>
  </si>
  <si>
    <t>Shin, Seung Chul; Kim, Hyun; Lee, Jun Hyuck; Kim, Han-Woo; Park, Joonho; Choi, Beom-Soon; Lee, Sang-Choon; Kim, Ji Hee; Lee, Hyoungseok; Kim, Sanghee</t>
  </si>
  <si>
    <t>Nanopore sequencing reads improve assembly and gene annotation of the Parochlus steinenii genome</t>
  </si>
  <si>
    <t>DE-NOVO IDENTIFICATION; CHIRONOMIDAE; FAMILIES; DIPTERA; PROGRAM</t>
  </si>
  <si>
    <t>Parochlus steinenii is a winged midge from King George Island. It is cold-tolerant and endures the harsh Antarctic winter. Previously, we reported the genome of this midge, but the genome assembly with short reads had limited contig contiguity, which reduced the completeness of the genome assembly and the annotated gene sets. Recently, assembly contiguity has been increased using nanopore technology. A number of methods for enhancing the low base quality of the assembly have been reported, including long-read (e.g. Nanopolish) or short-read (e.g. Pilon) based methods. Based on these advances, we used nanopore technologies to upgrade the draft genome sequence of P. steinenii. The final assembled genome was 145,366,448 bases in length. The contig number decreased from 9,132 to 162, and the N50 contig size increased from 36,946 to 1,989,550 bases. The BUSCO completeness of the assembly increased from 87.8 to 98.7%. Improved assembly statistics helped predict more genes from the draft genome of P. steinenii. The completeness of the predicted gene model increased from 79.5 to 92.1%, but the numbers and types of the predicted repeats were similar to those observed in the short read assembly, with the exception of long interspersed nuclear elements. In the present study, we markedly improved the P. steinenii genome assembly statistics using nanopore sequencing, but found that genome polishing with high-quality reads was essential for improving genome annotation. The number of genes predicted and the lengths of the genes were greater than before, and nanopore technology readily improved genome information.</t>
  </si>
  <si>
    <t>[Shin, Seung Chul; Kim, Hyun; Lee, Jun Hyuck; Kim, Han-Woo; Lee, Hyoungseok] Korea Polar Res Inst KOPRI, Unit Polar Genom, Incheon 21990, South Korea; [Lee, Jun Hyuck; Kim, Han-Woo; Lee, Hyoungseok] Univ Sci &amp; Technol, Dept Polar Sci, Incheon 21990, South Korea; [Park, Joonho] Seoul Natl Univ Sci &amp; Technol, Dept Fine Chem, Seoul 01811, South Korea; [Choi, Beom-Soon; Lee, Sang-Choon] Phyzen Co Ltd, Seongnam 13558, South Korea; [Kim, Ji Hee; Kim, Sanghee] Korea Polar Res Inst KOPRI, Div Life Sci, Incheon 21990, South Korea</t>
  </si>
  <si>
    <t>Korea Polar Research Institute (KOPRI); Seoul National University of Science &amp; Technology; Korea Polar Research Institute (KOPRI)</t>
  </si>
  <si>
    <t>Shin, SC (corresponding author), Korea Polar Res Inst KOPRI, Unit Polar Genom, Incheon 21990, South Korea.;Kim, S (corresponding author), Korea Polar Res Inst KOPRI, Div Life Sci, Incheon 21990, South Korea.</t>
  </si>
  <si>
    <t>biotech21@gmail.com; sangheekim@kopri.re.kr</t>
  </si>
  <si>
    <t>Choi, Beom-Soon/ABC-5378-2021</t>
  </si>
  <si>
    <t>Lee, Hyoungseok/0000-0002-5831-6345</t>
  </si>
  <si>
    <t>Modeling responses of terrestrial organisms to environmental changes on King George Island grant - Korea Polar Research Institute (KOPRI); National Research Foundation of Korea (NRF); Ministry of Science and ICT (MSIT) [NRF-2017M1A5A1013568]; KOPRI's basic research project [PN18082, PN19082]; [PE18090]; [PE19090]</t>
  </si>
  <si>
    <t>Modeling responses of terrestrial organisms to environmental changes on King George Island grant - Korea Polar Research Institute (KOPRI)(Korea Polar Research Institute of Marine Research Placement (KOPRI)); National Research Foundation of Korea (NRF)(National Research Foundation of Korea); Ministry of Science and ICT (MSIT)(Ministry of Science, ICT &amp; Future Planning, Republic of Korea); KOPRI's basic research project(Korea Polar Research Institute of Marine Research Placement (KOPRI)); ;</t>
  </si>
  <si>
    <t>The present study was supported by the following: grant PE18090 and PE19090; Modeling responses of terrestrial organisms to environmental changes on King George Island grant funded by the Korea Polar Research Institute (KOPRI); a grant from the National Research Foundation of Korea (NRF), which was funded by the Ministry of Science and ICT (MSIT) (Grant Number NRF-2017M1A5A1013568; title: Application study on the Arctic cold-active enzyme degrading organic carbon compounds); and KOPRI's basic research project (Grant Numbers PN18082 and PN19082).</t>
  </si>
  <si>
    <t>10.1038/s41598-019-41549-8</t>
  </si>
  <si>
    <t>HQ1HV</t>
  </si>
  <si>
    <t>WOS:000462149800050</t>
  </si>
  <si>
    <t>Zang, L; Mao, FY; Guo, JP; Wang, W; Pan, ZX; Shen, HF; Zhu, B; Wang, ZM</t>
  </si>
  <si>
    <t>Zang, Lin; Mao, Feiyue; Guo, Jianping; Wang, Wei; Pan, Zengxin; Shen, Huanfeng; Zhu, Bo; Wang, Zemin</t>
  </si>
  <si>
    <t>Estimation of spatiotemporal PM1.0 distributions in China by combining PM2.5 observations with satellite aerosol optical depth</t>
  </si>
  <si>
    <t>Aerosol optical depth; Air pollution; Himawari-8; Neural network; PM1.0</t>
  </si>
  <si>
    <t>VARIABILITY; SUMMER; CLOUDS; TRENDS; IMPACT; PLAIN; MODIS; HAZE</t>
  </si>
  <si>
    <t>Particulates smaller than 1.0 mu m (PM1.0) have strong associations with public health and environment, and considerable exposure data should be obtained to understand the actual environmental burden. This study presented a PM1.0 estimation strategy based on the generalised regression neural network model. The proposed strategy combined ground-based observations of PM2.5 and satellite-derived aerosol optical depth (AOD) to estimate PM1.0 concentrations in China from July 2015 to June 2017. Results indicated that the PM1.0 estimates agreed well with the ground-based measurements with an R-2 of 0.74, root mean square error of 19.0 mu g/m(3) and mean absolute error of 11.4 mu g/m(3) as calculated with the tenfold cross-validation method. The diurnal estimation performance displayed remarkable single-peak variation with the highest. R-2 of 0.80 at noon, and the seasonal estimation performance showed that the proposed method could effectively capture high-pollution events of PM1.0 in winter. Spatially, the most polluted areas were clustered in the North China Plain, where the average estimates presented a bimodal distribution during daytime. In addition, the quality of satellite-derived AOD, the robustness of the interpolation algorithm and the proportion of PM1.0 in PM2.5 were confirmed to affect the estimation accuracy of the proposed model. (C) 2018 Elsevier B.V. All rights reserved.</t>
  </si>
  <si>
    <t>[Zang, Lin; Wang, Zemin] Wuhan Univ, Chinese Antarctic Ctr Surveying &amp; Mapping, Wuhan 430079, Hubei, Peoples R China; [Zang, Lin; Mao, Feiyue; Pan, Zengxin] Wuhan Univ, State Key Lab Informat Engn Surveying Mapping &amp; R, Wuhan 430079, Hubei, Peoples R China; [Mao, Feiyue] Wuhan Univ, Sch Remote Sensing &amp; Informat Engn, Wuhan 430079, Hubei, Peoples R China; [Mao, Feiyue] Collaborat Innovat Ctr Geospatial Technol, Wuhan 430079, Hubei, Peoples R China; [Guo, Jianping] Chinese Acad Meteorol Sci, State Key Lab Severe Weather, Beijing 100081, Peoples R China; [Wang, Wei] Cent S Univ, Sch Geosci &amp; Infophys, Changsha 410083, Hunan, Peoples R China; [Shen, Huanfeng] Wuhan Univ, Sch Resource &amp; Environm Sci, Wuhan 430079, Hubei, Peoples R China; [Zhu, Bo] Hubei Environm Monitoring Ctr, Wuhan 430079, Hubei, Peoples R China</t>
  </si>
  <si>
    <t>Wuhan University; Wuhan University; Wuhan University; China Meteorological Administration; Chinese Academy of Meteorological Sciences (CAMS); Central South University; Wuhan University</t>
  </si>
  <si>
    <t>Mao, FY (corresponding author), Wuhan Univ, Sch Remote Sensing &amp; Informat Engn, Wuhan 430079, Hubei, Peoples R China.</t>
  </si>
  <si>
    <t>maofeiyue@whu.edu.cn</t>
  </si>
  <si>
    <t>ZeMin, Wang/AAU-3422-2020; wang, wei/GRY-1405-2022; Guo, Jianping/A-2378-2019; Shen, Huanfeng/HPD-8048-2023; Guo, Jianping/K-1497-2017</t>
  </si>
  <si>
    <t>wang, wei/0000-0001-7930-9147; Guo, Jianping/0000-0001-8530-8976; Guo, Jianping/0000-0001-8530-8976; Shen, Huanfeng/0000-0002-4140-1869</t>
  </si>
  <si>
    <t>National Key Research and Development Program of China [2017YFC0212600, 2016YFC0200900, 2017YFC1501401]; National Natural Science Foundation of China [41701381, 41627804]</t>
  </si>
  <si>
    <t>National Key Research and Development Program of China; National Natural Science Foundation of China(National Natural Science Foundation of China (NSFC))</t>
  </si>
  <si>
    <t>This study was supported by the National Key Research and Development Program of China (grant numbers 2017YFC0212600, 2016YFC0200900 and 2017YFC1501401) and the National Natural Science Foundation of China (grant numbers 41701381 and 41627804). The authors are also grateful to CMA, Japan Aerospace Exploration Agency, ECMWF, Data Center of the US NASA, and USGS for providing the datasets used in this work.</t>
  </si>
  <si>
    <t>10.1016/j.scitotenv.2018.12.297</t>
  </si>
  <si>
    <t>HI1AI</t>
  </si>
  <si>
    <t>WOS:000456175700119</t>
  </si>
  <si>
    <t>Strain, EMA; Alexander, KA; Kienker, S; Morris, R; Jarvis, R; Coleman, R; Bollard, B; Firth, LB; Knights, AM; Grabowski, JH; Airoldi, L; Chan, BKK; Chee, SY; Cheng, Z; Coutinho, R; de Menezes, RG; Ding, M; Dong, Y; Fraser, CML; Gómez, AG; Juanes, JA; Mancuso, P; Messano, LVR; Naval-Xavier, LPD; Scyphers, S; Steinberg, P; Swearer, S; Valdor, PF; Wong, JXY; Yee, J; Bishop, MJ</t>
  </si>
  <si>
    <t>Strain, E. M. A.; Alexander, K. A.; Kienker, S.; Morris, R.; Jarvis, R.; Coleman, R.; Bollard, B.; Firth, L. B.; Knights, A. M.; Grabowski, J. H.; Airoldi, L.; Chan, B. K. K.; Chee, S. Y.; Cheng, Z.; Coutinho, R.; de Menezes, R. G.; Ding, M.; Dong, Y.; Fraser, C. M. L.; Gomez, A. G.; Juanes, J. A.; Mancuso, P.; Messano, L. V. R.; Naval-Xavier, L. P. D.; Scyphers, S.; Steinberg, P.; Swearer, S.; Valdor, P. F.; Wong, J. X. Y.; Yee, J.; Bishop, M. J.</t>
  </si>
  <si>
    <t>Urban blue: A global analysis of the factors shaping people's perceptions of the marine environment and ecological engineering in harbours</t>
  </si>
  <si>
    <t>Estuaries and bays; Urbanisation; Coastal armouring; Eco-engineering; Stakeholders; Human perceptions</t>
  </si>
  <si>
    <t>PUBLIC-PARTICIPATION; COASTAL HABITATS; PLACE ATTACHMENT; CONSERVATION; RESIDENTS; INFRASTRUCTURE; IMPACTS; MANAGEMENT; PRIORITIES; SCIENCE</t>
  </si>
  <si>
    <t>Marine harbours are the focus of a diverse range of activities and subject to multiple anthropogenically induced pressures. Support for environmental management options aimed at improving degraded harbours depends on understanding the factors which influence people's perceptions of harbour environments. We used an online survey, across 12 harbours, to assess sources of variation people's perceptions of harbour health and ecological engineering. We tested the hypotheses: 1) people living near impacted harbours would consider their environment to be more unhealthy and degraded, be more concerned about the environment and supportive of and willing to pay for ecological engineering relative to those living by less impacted harbours, and 2) people with greater connectedness to the harbour would be more concerned about and have greater perceived knowledge of the environment, and be more supportive of, knowledgeable about and willing to pay for ecological engineering, than those with less connectedness. Across twelve locations, the levels of degradation and modification by artificial structures were lower and the concern and knowledge about the environment and ecological engineering were greater in the six Australasian and American than the six European and Asian harbours surveyed. We found that people's perception of harbours as healthy or degraded, but not their concern for the environment, reflected the degree to which harbours were impacted. There was a positive relationship between the percentage of shoreline modified and the extent of support for and people's willingness to pay indirect costs for ecological engineering. At the individual level, measures of connectedness to the harbour environment were good predictors of concern for and perceived knowledge about the environment but not support for and perceived knowledge about ecological engineering. To make informed decisions, it is important that people are empowered with sufficient knowledge of the environmental issues facing their harbour and ecological engineering options. (C) 2018 Elsevier B.V. All rights reserved.</t>
  </si>
  <si>
    <t>[Strain, E. M. A.; Kienker, S.; Jarvis, R.; Coleman, R.; Steinberg, P.; Bishop, M. J.] Sydney Inst Marine Sci, 19 Chowder Bay Rd, Mosman, NSW 2088, Australia; [Strain, E. M. A.; Steinberg, P.] Univ New South Wales, Sch Biol Earth &amp; Environm Sci, Ctr Marine Bioinnovat, Sydney, NSW 2052, Australia; [Strain, E. M. A.; Morris, R.; Swearer, S.] Univ Melbourne, Sch Biosci, Natl Ctr Coasts &amp; Climate, Parkville, Vic 3010, Australia; [Alexander, K. A.] Univ Tasmania, Inst Marine &amp; Antarctic Studies, POB 49, Hobart, Tas 7001, Australia; [Alexander, K. A.] Univ Tasmania, Ctr Marine Socioecol, Hobart, Tas 7001, Australia; [Kienker, S.; Morris, R.; Coleman, R.] Univ Sydney, Ctr Res Ecol Impacts Coastal Cities, Sch Life &amp; Environm Sci, Sydney, NSW 2006, Australia; [Jarvis, R.; Bollard, B.] Auckland Univ Technol, Inst Appl Ecol New Zealand, Sch Sci, Auckland 1142, New Zealand; [Firth, L. B.; Knights, A. M.] Univ Plymouth, Sch Biol &amp; Marine Sci, Plymouth PL4 8AA, Devon, England; [Grabowski, J. H.; Scyphers, S.] Northeastern Univ, Ctr Marine Sci, 430 Nahant Rd, Nahant, MA 01907 USA; [Airoldi, L.; Mancuso, P.; Wong, J. X. Y.] Univ Bologna, Dipartimento Sci Biol Geol &amp; Ambientali BIGEA, Via S Alberto 163, I-48123 Ravenna, Italy; [Airoldi, L.; Mancuso, P.; Wong, J. X. Y.] Univ Bologna, Ctr Interdipartimentale Ric Sci Ambientali CIRSA, UO CoNISMa, Via S Alberto 163, I-48123 Ravenna, Italy; [Chan, B. K. K.; Fraser, C. M. L.] Acad Sinica, Biodivers Res Ctr, Taipei 115, Taiwan; [Chee, S. Y.; Yee, J.] Univ Sains Malaysia, Ctr Marine &amp; Coastal Studies, George Town 11800, Malaysia; [Cheng, Z.; Ding, M.; Dong, Y.] Xiamen Univ, Coll Ocean &amp; Earth Sci, State Key Lab Marine Environm Sci, Xiamen 361102, Peoples R China; [Coutinho, R.; Messano, L. V. R.; Naval-Xavier, L. P. D.] Brazilian Navy, Inst Estudos Mar Almirante Paulo Moreira, Dept Marine Biotecnol, BR-28930000 Rio De Janeiro, Brazil; [Coutinho, R.; Messano, L. V. R.; Naval-Xavier, L. P. D.] IEAPM UFF, Postgrad Program Marine Biotechnol, BR-28930000 Rio De Janeiro, Brazil; [de Menezes, R. G.; Gomez, A. G.; Juanes, J. A.; Valdor, P. F.] Univ Cantabria, Environm Hydraul Inst, Avda Isabel Torres,15,Parque Cient &amp; Tecnol, Santander 39011, Spain; [Bishop, M. J.] Macquarie Univ, Dept Biol Sci, N Ryde, NSW 2109, Australia</t>
  </si>
  <si>
    <t>Sydney Institute of Marine Science; University of New South Wales Sydney; University of Melbourne; University of Tasmania; University of Tasmania; University of Sydney; Auckland University of Technology; University of Plymouth; Northeastern University; University of Bologna; University of Bologna; Academia Sinica - Taiwan; Universiti Sains Malaysia; Xiamen University; Universidad de Cantabria; IHCantabria - Instituto de Hidraulica Ambiental de la Universidad de Cantabria; Macquarie University</t>
  </si>
  <si>
    <t>Strain, EMA (corresponding author), Sydney Inst Marine Sci, 19 Chowder Bay Rd, Mosman, NSW 2088, Australia.;Strain, EMA (corresponding author), Univ New South Wales, Sch Biol Earth &amp; Environm Sci, Ctr Marine Bioinnovat, Sydney, NSW 2052, Australia.;Strain, EMA (corresponding author), Univ Melbourne, Sch Biosci, Natl Ctr Coasts &amp; Climate, Parkville, Vic 3010, Australia.</t>
  </si>
  <si>
    <t>beth.strain@unimelb.edu.au</t>
  </si>
  <si>
    <t>Valdor, Paloma F/V-4650-2017; Valdor, Paloma F./N-6527-2019; Airoldi, Laura/I-3553-2019; coutinho, ricardo/AAW-2458-2020; Dong, Yunwei/C-4617-2011; Morris, Rebecca/AAB-3364-2020; Bishop, Melanie/AGA-7862-2022; SWEARER, STEPHEN/AAC-1527-2020; Swearer, Stephen/X-4882-2018; Alexander, Karen/O-7042-2017; MANCUSO, Francesco Paolo/V-1621-2017; JUANES, JOSE A/O-2578-2013; Strain, Elisabeth/U-3520-2017; Gomez, Aina G./H-3086-2015</t>
  </si>
  <si>
    <t>Valdor, Paloma F./0000-0001-9986-3890; Airoldi, Laura/0000-0001-5046-0871; coutinho, ricardo/0000-0001-5430-2176; Dong, Yunwei/0000-0003-4550-2322; SWEARER, STEPHEN/0000-0001-6381-9943; Swearer, Stephen/0000-0001-6381-9943; Steinberg, Peter/0000-0002-1781-0726; Bollard, Barbara/0000-0003-2103-8561; Alexander, Karen/0000-0001-8801-413X; Grabowski, Jonathan/0000-0003-4711-5481; Chee, Su Yin/0000-0001-5239-0563; MANCUSO, Francesco Paolo/0000-0001-7217-5131; Jarvis, Rebecca/0000-0002-6297-4906; JUANES, JOSE A/0000-0003-1825-2858; Bishop, Melanie/0000-0001-8210-6500; Strain, Elisabeth/0000-0003-2165-9544; Firth, Louise/0000-0002-6620-8512; Knights, Antony/0000-0002-0916-3469; Gomez, Aina G./0000-0003-2923-169X; Morris, Rebecca/0000-0003-0455-0811</t>
  </si>
  <si>
    <t>Ian Potter Foundation; Harding Miller Foundation; New South Wales Government Office of Science and Research; Research Coastal Node of the NSW Office of Environment and Heritage Adaptation Hub; Northeastern University; Rufford Small Grants [304.PPANTAI.650876.T128]; EAMP;O Properties Penang Sdn. Bhd. [304.PPANTAI.650827.E118]; RUI [1001.PPANTAI.811341]</t>
  </si>
  <si>
    <t>Ian Potter Foundation; Harding Miller Foundation; New South Wales Government Office of Science and Research; Research Coastal Node of the NSW Office of Environment and Heritage Adaptation Hub; Northeastern University; Rufford Small Grants; EAMP;O Properties Penang Sdn. Bhd.; RUI</t>
  </si>
  <si>
    <t>We thank The Ian Potter Foundation (Grant no: NA), the Harding Miller Foundation (Grant no: NA), the New South Wales Government Office of Science and Research, Research Coastal Node of the NSW Office of Environment and Heritage Adaptation Hub (Grant no: NA), Northeastern University (Grant no: NA), Rufford Small Grants (Grant no: 304.PPANTAI.650876.T128), E&amp;O Properties Penang Sdn. Bhd. (Grant no: 304.PPANTAI.650827.E118), and the RUI grant (Grant no: 1001.PPANTAI.811341) for their financial support. Special thanks for help with collecting survey responses, to Dominic McAfee and Stephanie Bagala in Sydney, Alicia Donnellan Barraclough in Auckland, the students and staff of the Scypher and Grabowski laboratories in Boston and Marco Abbiati, Massimo Ponti, Marina Colangelo and Francesca Costantini in Ravenna. This study was part of the World Harbour Project (http://www.worldharbourproject.org/).</t>
  </si>
  <si>
    <t>10.1016/j.scitotenv.2018.12.285</t>
  </si>
  <si>
    <t>Green Submitted, Green Accepted</t>
  </si>
  <si>
    <t>WOS:000456175700122</t>
  </si>
  <si>
    <t>Angel, JJS; Cantero, ALP</t>
  </si>
  <si>
    <t>Soto Angel, Joan J.; Pena Cantero, Alvaro L.</t>
  </si>
  <si>
    <t>Benthic hydroids (Cnidaria, Hydrozoa) from the Weddell Sea (Antarctica)</t>
  </si>
  <si>
    <t>Biodiversity; Checklist; Cnidome; Hydrozoan; New Records; Southern Ocean</t>
  </si>
  <si>
    <t>EUROPEAN ATHECATE HYDROIDS; ANTARCTOSCYPHUS PENA CANTERO; GENUS SCHIZOTRICHA ALLMAN; ISLAND SOUTHERN-OCEAN; OSWALDELLA STECHOW; MEDUSAE HYDROZOA; STAUROTHECA ALLMAN; GARCIA CARRASCOSA; R.V. POLARSTERN; RV POLARSTERN</t>
  </si>
  <si>
    <t>Hydrozoans are a conspicuous component of Antarctic benthic communitites. Recent taxonomic effort has led to a substantial increase in knowledge on the diversity of benthic hydroids from some areas of the Southern Ocean, including the Weddell Sea, the largest sea in the Antarctic region. However, the study of many hydrozoan taxa are still pending, and the diversity in this huge region is expected to be higher than currently known. In order to contribute to the knowledge of taxonomy, ecology and distribution of these cnidarians, a study of unpublished material collected by several German Antarctic expeditions aboard the RV Polarstern in the eastern sector of the Weddell Sea has been conducted. A total of 77 species belonging to 22 families and 28 genera of benthic hydroids have been inventoried, constituting the most prolific collection hitherto analyzed. Most species (81%) belong to Leptothecata, but the observed share of Anthoathecata (19%) is higher than in previous Antarctic hydrozoan studies. Symplectoscyphidae was the most speciose family with 16 representatives (22%), followed by Haleciidae with 10 (14%) and Staurothecidae with 8 (11%). The number of species known in the area was increased with 27 new records, including several species rarely documented. As a result, the Weddell Sea becomes the second Antarctic region in terms of hydrozoan diversity, with 89 species known to date. Novel data on the use of substrate, reproductive phenology, and bathymetric range are provided for the inventoried species.</t>
  </si>
  <si>
    <t>[Soto Angel, Joan J.; Pena Cantero, Alvaro L.] Univ Valencia, Cavanilles Inst Biodivers &amp; Evolutionary Biol, Dept Zool, C Dr Moliner 50, E-46100 Valencia, Spain</t>
  </si>
  <si>
    <t>Angel, JJS (corresponding author), Univ Valencia, Cavanilles Inst Biodivers &amp; Evolutionary Biol, Dept Zool, C Dr Moliner 50, E-46100 Valencia, Spain.</t>
  </si>
  <si>
    <t>Àngel, Joan J. Soto/AAS-6133-2021</t>
  </si>
  <si>
    <t>Àngel, Joan J. Soto/0000-0002-9132-4822; Pena Cantero, Alvaro/0000-0003-3056-6673</t>
  </si>
  <si>
    <t>Conselleria d'Educacio, Investigacio, Cultura i Esport, Generalitat Valenciana, Spain [ACIF/2011/062]</t>
  </si>
  <si>
    <t>Conselleria d'Educacio, Investigacio, Cultura i Esport, Generalitat Valenciana, Spain</t>
  </si>
  <si>
    <t>The authors want to express their gratitude to Dr. Pablo Lopez Gonzalez (Universidad de Sevilla, Spain) and Dr. Josep-Maria Gili (ICM-CSIC, Barcelona, Spain) for lending us the material studied. We thank Borja Mercado Casares and Ferran Palero for his assistance in the preparation of figures 1 and 8. We are grateful to Laia Fontana and Luis Martell for taking the time to carefully double-check the content of all tables. Our sincere gratitude to Dr. Fran Ramil for his valuable expertise and detailed comments which significantly contributed to improve the quality of the manuscript. The present project was supported by Conselleria d'Educacio, Investigacio, Cultura i Esport, Generalitat Valenciana, Spain (ACIF/2011/062).</t>
  </si>
  <si>
    <t>MAR 22</t>
  </si>
  <si>
    <t>10.11646/zootaxa.4570.1.1</t>
  </si>
  <si>
    <t>HP9AS</t>
  </si>
  <si>
    <t>WOS:000461984500001</t>
  </si>
  <si>
    <t>Yampolski, Y; Milikh, G; Zalizovski, A; Koloskov, A; Reznichenko, A; Nossa, E; Bernhardt, PA; Briczinski, S; Grach, SM; Shindin, A; Sergeev, E</t>
  </si>
  <si>
    <t>Yampolski, Yuri; Milikh, Gennady; Zalizovski, Andriy; Koloskov, Alexander; Reznichenko, Artem; Nossa, Eliana; Bernhardt, Paul A.; Briczinski, Stan; Grach, Savely M.; Shindin, Alexey; Sergeev, Evgeny</t>
  </si>
  <si>
    <t>Ionospheric Non-linear Effects Observed During Very-Long-Distance HF Propagation</t>
  </si>
  <si>
    <t>FRONTIERS IN ASTRONOMY AND SPACE SCIENCES</t>
  </si>
  <si>
    <t>artificial ionospheric turbulence; very-long-distance propagation; whisper gallery; ionospheric waveguide; self-scattering</t>
  </si>
  <si>
    <t>STIMULATED ELECTROMAGNETIC EMISSION; SCATTER</t>
  </si>
  <si>
    <t>A new super-long-range wave propagation technique was implemented at different High Frequency (HF) heating facilities. The HF waves radiated by a powerful heater were scattered into the ionospheric waveguide by the stimulated field aligned striations. This waveguide was formed in a valley region between the E- and F- layers of the ionosphere. The wave trapping and channeling provide super-long-range propagation of HF heater signals detected at the Ukrainian Antarctic Academik Vernadsky Station (UAS) which is many thousand kilometers away from the corresponding HF heating facility. This paper aims to study the excitation of the ionospheric waveguide due to the scattering of the HF heating wave by artificial field aligned irregularities. In addition, the probing of stimulated ionospheric irregularities can be obtained from analyses of the signals received at far distance from the HF heater. The paper uses a novel method of scattering of the HF radiation by the heating facility for diagnostics of non-linear effects at the super-long radio paths. Experiments were conducted at three different powerful HF facilities: EISCAT (Norway), HAARP (Alaska), and Arecibo (Puerto Rico) and by using different far spaced receiving sites. The key problems for super-long-range propagation regime is the feeding of ionospheric waveguide. Then the energy needs to exit from the waveguide at a specific location to be detected by the surface-based receiver. During our studies the waveguide feeding was provided by the scattering of HF waves by the artificial ionospheric turbulence (AIT) above the HF heater. An interesting opportunity for the channeling of the HF signals occurs due to the aspect scattering of radio waves by field aligned irregularities (FAI), when the scattering vector is parallel to the Earth surface. Such FAls geometry takes place over the Arecibo facility. Here FAI are oriented along the geomagnetic field line inclined by 43 degrees. Since the Arecibo HF beam is vertical, the aspect scattered waves will be oriented almost horizontally toward the South. Such geometry provides unique opportunity to channel the radio wave energy into the ionospheric waveguide and excites the whispering gallery modes.</t>
  </si>
  <si>
    <t>[Yampolski, Yuri; Zalizovski, Andriy; Koloskov, Alexander; Reznichenko, Artem] Natl Acad Sci Ukraine, Inst Radio Astron, Kharkov, Ukraine; [Milikh, Gennady] Univ Maryland, Dept Astron, College Pk, MD 20742 USA; [Koloskov, Alexander] Natl Antarctic Sci Ctr Ukraine, Kiev, Ukraine; [Nossa, Eliana; Bernhardt, Paul A.; Briczinski, Stan] Naval Res Lab, Washington, DC 20375 USA; [Nossa, Eliana] Arecibo Observ, Arecibo, PR USA; [Grach, Savely M.; Shindin, Alexey; Sergeev, Evgeny] Lobachevsky State Univ Nizhny Novgorod, Dept Radiophys, Nizhnii Novgorod, Russia</t>
  </si>
  <si>
    <t>National Academy of Sciences Ukraine; Institute of Radio Astronomy of the National Academy of Sciences of Ukraine; University System of Maryland; University of Maryland College Park; Ministry of Education &amp; Science of Ukraine; State Institution National Antarctic Scientific Center; United States Department of Defense; United States Navy; Naval Research Laboratory; National Aeronautics &amp; Space Administration (NASA); Lobachevsky State University of Nizhni Novgorod</t>
  </si>
  <si>
    <t>Milikh, G (corresponding author), Univ Maryland, Dept Astron, College Pk, MD 20742 USA.</t>
  </si>
  <si>
    <t>milikh@gmail.com</t>
  </si>
  <si>
    <t>Yampolski, Yuri/AAU-3037-2021; Shindin, Alexey/AAU-5371-2020; Zalizovski, Andriy/HII-4602-2022; Zalizovski, Andriy/ABB-4475-2020; yampolskiy, yuriy m/ABA-8387-2020; Koloskov, Oleksandr/ABB-4631-2020; Grach, Savely M/P-8537-2016; Reznychenko, Artem/ABB-3233-2020</t>
  </si>
  <si>
    <t>Shindin, Alexey/0000-0003-1242-5666; Zalizovski, Andriy/0000-0002-6271-0126; Zalizovski, Andriy/0000-0002-6271-0126; Koloskov, Oleksandr/0000-0001-8921-3851; Reznychenko, Artem/0000-0002-7619-2059; Nossa, Eliana/0000-0001-7188-1843; Yampolski, Yuri/0000-0002-6142-5753</t>
  </si>
  <si>
    <t>AFOSR [F9550-14-1-0019]; Ukrainian project Yatagan [N0116U000035]; Ukrainian project Spitsbergen [N0118U000562]; Ukrainian project Geliomaks [N0118U100280]; Partner Project EOARD-STCU [P 667]; Russian Science Foundation Grant [14-12-00706]; NRL 6.1 Base Program; Russian Science Foundation [14-12-00706] Funding Source: Russian Science Foundation</t>
  </si>
  <si>
    <t>AFOSR(United States Department of DefenseAir Force Office of Scientific Research (AFOSR)); Ukrainian project Yatagan; Ukrainian project Spitsbergen; Ukrainian project Geliomaks; Partner Project EOARD-STCU; Russian Science Foundation Grant(Russian Science Foundation (RSF)); NRL 6.1 Base Program; Russian Science Foundation(Russian Science Foundation (RSF))</t>
  </si>
  <si>
    <t>All data used to produce figures and results for this paper are available for download via FTP at: http://www.geospace.com.ua/data.html.GM gratefully acknowledges support from the AFOSR Grant No. F9550-14-1-0019. The experimental studies were sponsored by Ukrainian projects Yatagan (N0116U000035), Spitsbergen (N0118U000562), and Geliomaks (N0118U100280). They were also partially supported by Partner Project EOARD-STCU (P 667). The authors are grateful to National Antarctic Scientific Center of Ukraine, and to personnel of the Ukrainian Antarctic Station Academik Vernadsky for their help with the experiments. GM gratefully acknowledges useful discussions with Dennis Papadopoulos, SEE processing for the Arecibo experiment (SG, ES, and AS) was supported by the Russian Science Foundation Grant 14-12-00706. The research at the Naval Research Laboratory was sponsored by the NRL 6.1 Base Program. The Arecibo Observatory is a facility of the National Science Foundation operated under a cooperative agreement by University of Central Florida, Yang Enterprises, and Universidad Metropolitana de Puerto Rico. We thank Mike Sulzer and Nestor Aponte for his assistance with the analysis of the ISR data.</t>
  </si>
  <si>
    <t>2296-987X</t>
  </si>
  <si>
    <t>FRONT ASTRON SPACE</t>
  </si>
  <si>
    <t>Front. Astron. Space Sci.</t>
  </si>
  <si>
    <t>10.3389/fspas.2019.00012</t>
  </si>
  <si>
    <t>HR4VP</t>
  </si>
  <si>
    <t>WOS:000463145800001</t>
  </si>
  <si>
    <t>Collins, GE; Hogg, ID; Convey, P; Barnes, AD; McDonald, IR</t>
  </si>
  <si>
    <t>Collins, Gemma E.; Hogg, Ian D.; Convey, Peter; Barnes, Andrew D.; McDonald, Ian R.</t>
  </si>
  <si>
    <t>Spatial and Temporal Scales Matter When Assessing the Species and Genetic Diversity of Springtails (Collembola) in Antarctica</t>
  </si>
  <si>
    <t>FRONTIERS IN ECOLOGY AND EVOLUTION</t>
  </si>
  <si>
    <t>Antarctica; biogeography; collembola; dispersal; mitochondrial DNA barcodes; population genetic structure; species diversity; springtails</t>
  </si>
  <si>
    <t>GOMPHIOCEPHALUS-HODGSONI COLLEMBOLA; SOUTHERN VICTORIA LAND; GRESSITTACANTHA-TERRANOVA; GLACIAL REFUGIA; VARIABILITY; KLOVSTADI; PATTERNS; HISTORY; LIFE; DIFFERENTIATION</t>
  </si>
  <si>
    <t>Seven species of springtail (Collembola) are present in Victoria Land, Antarctica and all have now been sequenced at the DNA barcoding region of the mitochondrial cytochrome c oxidase subunit I gene (COI). Here, we review these sequence data (n = 930) from the GenBank and Barcode of Life Datasystems (BOLD) online databases and provide additional, previously unpublished sequences (n = 392) to assess the geographic distribution of COI variants across all species. Four species (Kaylathalia klovstadi, Cryptopygus cisantarcticus, Friesea grisea, and Cryptopygus terranovus) are restricted to northern Victoria Land and three (Antarcticinella monoculata, Cryptopygus nivicolus, and Gomphiocephalus hodgsoni) are found only in southern Victoria Land, the two biogeographic zones which are separated by the vicinity of the Drygalski Ice Tongue. We found highly divergent lineages within all seven species (range 1.7-14.7%) corresponding to different geographic locations. Levels of genetic divergence for the southern Victoria Land species G. hodgsoni, the most widespread species (similar to 27,000 km(2)), ranged from 5.9 to 7.3% divergence at sites located within 30 km, but separated by glaciers. We also found that the spatial patterns of genetic divergence differed between species. For example, levels of divergence were much higher for C. terranovus (&gt;10%) than for F. grisea (&lt;0.2%) that had been collected from the same sites in northern Victoria Land. Glaciers have been suggested to be major barriers to dispersal and two species (C. cisantarcticus and F. grisea) showed highly divergent (&gt;5%) populations and over 87% of the total genetic variation (based on AMOVA) on either side of a single, 16 km width glacier. Collectively, these data provide evidence for limited dispersal opportunities among populations of springtails due to geological and glaciological barriers (e.g., glaciers and ice tongues). Some locations harbored highly genetically divergent populations and these areas are highlighted from a conservation perspective such as avoidance of human-mediated transport between sites. We conclude that species-specific spatial and temporal scales need to be considered when addressing ecological and physiological questions as well as conservation strategies for Antarctic Collembola.</t>
  </si>
  <si>
    <t>[Collins, Gemma E.; Hogg, Ian D.; Barnes, Andrew D.; McDonald, Ian R.] Univ Waikato, Sch Sci, Hamilton, New Zealand; [Hogg, Ian D.] Polar Knowledge Canada, Canadian High Arctic Res Stn, Cambridge Bay, NU, Canada; [Convey, Peter] British Antarctic Survey, Cambridge, England</t>
  </si>
  <si>
    <t>University of Waikato; UK Research &amp; Innovation (UKRI); Natural Environment Research Council (NERC); NERC British Antarctic Survey</t>
  </si>
  <si>
    <t>Hogg, ID (corresponding author), Univ Waikato, Sch Sci, Hamilton, New Zealand.;Hogg, ID (corresponding author), Polar Knowledge Canada, Canadian High Arctic Res Stn, Cambridge Bay, NU, Canada.</t>
  </si>
  <si>
    <t>ian.hogg@polar.gc.ca</t>
  </si>
  <si>
    <t>Barnes, Andrew/AAQ-9592-2020; Convey, Peter/AAV-5728-2020; McDonald, Ian R/A-4851-2008; Hogg, Ian D./HNS-7393-2023</t>
  </si>
  <si>
    <t>Barnes, Andrew/0000-0002-6499-381X; Convey, Peter/0000-0001-8497-9903; McDonald, Ian R/0000-0002-4847-6492; Hogg, Ian D./0000-0002-6685-0089</t>
  </si>
  <si>
    <t>Waikato University Doctoral Scholarship; Waikato Graduate Women Merit Award for Doctoral Study; Antarctica New Zealand Postgraduate Scholarship; Polar Knowledge Canada; NERC; Genome Canada; Ontario Genomics Institute; Ontario Ministry of Economic Development and Innovation; NERC [bas0100036] Funding Source: UKRI</t>
  </si>
  <si>
    <t>Waikato University Doctoral Scholarship; Waikato Graduate Women Merit Award for Doctoral Study; Antarctica New Zealand Postgraduate Scholarship; Polar Knowledge Canada; NERC(UK Research &amp; Innovation (UKRI)Natural Environment Research Council (NERC)); Genome Canada(Genome Canada); Ontario Genomics Institute; Ontario Ministry of Economic Development and Innovation; NERC(UK Research &amp; Innovation (UKRI)Natural Environment Research Council (NERC))</t>
  </si>
  <si>
    <t>We acknowledge support from a Waikato University Doctoral Scholarship, a Waikato Graduate Women Merit Award for Doctoral Study and an Antarctica New Zealand Postgraduate Scholarship (Sir Robin Irvine) to GC. IH is grateful to Antarctica New Zealand, Craig Cary and the Korean Polar Research Institute (KOPRI) for arranging/providing logistic support for field work in NVL, and to Polar Knowledge Canada for financial support. PC was supported by NERC core funding to the British Antarctic Survey's 'Biodiversity, Evolution and Adaptation' Team. We are also grateful for support provided to the Canadian Centre for DNA Barcoding from Genome Canada and the Ontario Genomics Institute as part of the International Barcode of Life Project and thank the Ontario Ministry of Economic Development and Innovation for support of the BOLD database. This paper contributes to the 'State of the Antarctic Ecosystem' (AntEco) and the Antarctic Thresholds, Ecosystems Resilience and Adaptation (AnT-ERA) programmes of SCAR. The satellite imagery used to generate Figures 1, 2 was retrieved from GloVis, courtesy of the NASA EOSDIS Land Processes Distributed Active Archive Center (LP DAAC), USGS/Earth Resources Observation and Science (EROS) Center, Sioux Falls, South Dakota, (https://lpdaac.usgs.gov/data_access/glovis).</t>
  </si>
  <si>
    <t>2296-701X</t>
  </si>
  <si>
    <t>FRONT ECOL EVOL</t>
  </si>
  <si>
    <t>Front. Ecol. Evol.</t>
  </si>
  <si>
    <t>10.3389/fevo.2019.00076</t>
  </si>
  <si>
    <t>HX4ZG</t>
  </si>
  <si>
    <t>WOS:000467409400001</t>
  </si>
  <si>
    <t>Thorpe, SE; Tarling, GA; Murphy, EJ</t>
  </si>
  <si>
    <t>Thorpe, Sally E.; Tarling, Geraint A.; Murphy, Eugene J.</t>
  </si>
  <si>
    <t>Circumpolar patterns in Antarctic krill larval recruitment: an environmentally driven model</t>
  </si>
  <si>
    <t>Antarctic hill; Euphausia superba; Southern Ocean; Sea ice; Larval ecology; Larval mortality; Recruitment; Individual-based model</t>
  </si>
  <si>
    <t>EUPHAUSIA-SUPERBA DANA; SEA-SURFACE TEMPERATURE; MARGINAL ICE-ZONE; SCOTIA SEA; MEGANYCTIPHANES-NORVEGICA; TEMPORAL VARIABILITY; FIELD OBSERVATIONS; NORTHERN KRILL; LIFE-HISTORY; PACK-ICE</t>
  </si>
  <si>
    <t>Larval recruitment in Antarctic krill is known to be episodic and regional. We consider the importance of a range of recruitment factors using an environmentally driven model of larval development from spawning to post-larvae. Our model examines the timing of spawning, interaction with bathymetry, susceptibility to cold temperatures, temperature-driven development and the seasonal cycle of sea ice to identify those factors with the greatest impact. The model predicts that the seasonal location of sea ice is the main limiting factor for successful larval recruitment. Spawning in January leads to the greatest area of viable larval recruitment habitat. Dense sea ice cover, which we assume that adult krill do not spawn under, prevents spawning in large areas early in the breeding season (December). Nevertheless, later spawning in February, when sea ice is at a minimum, means there is often insufficient time for the larvae to reach a viable developmental stage before the sea ice advances. Meanwhile, although spawning is possible in more northerly areas throughout the breeding season, these are generally remote from winter sea ice, which is assumed to be necessary for larvae to overwinter. Interaction with bathymetry before hatching further limits suitable habitat. Over a 12 yr period, the model predicted larval recruitment from January spawning in all years in the Cooperation, Ross and Weddell Seas, with episodic larval recruitment in the Bransfield Strait in 9 of the 12 years. Additional understanding of the overwintering requirements of larvae, together with regional studies at higher spatial resolution, particularly in shelf regions, will better constrain the uncertainties in the model.</t>
  </si>
  <si>
    <t>[Thorpe, Sally E.; Tarling, Geraint A.; Murphy, Eugene J.] British Antarctic Survey, Nat Environm Res Council, Cambridge CB3 0ET, England</t>
  </si>
  <si>
    <t>Thorpe, SE (corresponding author), British Antarctic Survey, Nat Environm Res Council, Cambridge CB3 0ET, England.</t>
  </si>
  <si>
    <t>seth@bas.ac.uk</t>
  </si>
  <si>
    <t>murphy, eugene/GZL-1620-2022</t>
  </si>
  <si>
    <t>Thorpe, Sally/0000-0002-5193-6955</t>
  </si>
  <si>
    <t>NSF XSEDE resource grant [OCE130007]; NERC [bas0100035] Funding Source: UKRI</t>
  </si>
  <si>
    <t>NSF XSEDE resource grant; NERC(UK Research &amp; Innovation (UKRI)Natural Environment Research Council (NERC))</t>
  </si>
  <si>
    <t>Computational resources for the Sou thern Ocean State Estimate (SOSE) were provided by NSF XSEDE resource grant OCE130007. We are grateful to M. Mazloff for guidance on using SOSE output which was obtained from http://sose.ucsd.edu/sose_stateestimation_data.html (iter59). The Operational Sea Surface Temperature and Sea Ice Analysis (OSTIA) system is run by the UK Met Office, and data were provided by EU Copernicus Marine Service Information (http://marine.copernicus.eu).We thank the editor and 3 reviewers for their constructive comments that improved this manuscript. This work was carried out as part of the Ecosystems programme at the British Antarctic Survey and Natural Environment Research Council, part of UK Research and Innovation.</t>
  </si>
  <si>
    <t>MAR 21</t>
  </si>
  <si>
    <t>10.3354/meps12887</t>
  </si>
  <si>
    <t>HT4FO</t>
  </si>
  <si>
    <t>Bronze, Green Accepted</t>
  </si>
  <si>
    <t>WOS:000464519600005</t>
  </si>
  <si>
    <t>Dortmans, B; Langford, WF; Willms, AR</t>
  </si>
  <si>
    <t>Dortmans, Brady; Langford, William F.; Willms, Allan R.</t>
  </si>
  <si>
    <t>An energy balance model for paleoclimate transitions</t>
  </si>
  <si>
    <t>ATMOSPHERIC CARBON-DIOXIDE; MERIDIONAL OVERTURNING CIRCULATION; PERMANENT EL-NINO; MID-PLIOCENE; SURFACE TEMPERATURES; CLIMATE SENSITIVITY; EXPERIMENTAL-DESIGN; CRITICAL THRESHOLDS; GLOBAL CLIMATE; WARM PERIOD</t>
  </si>
  <si>
    <t>A new energy balance model (EBM) is presented and is used to study paleoclimate transitions. While most previous EBMs only dealt with the globally averaged climate, this new EBM has three variants: Arctic, Antarctic and tropical climates. The EBM incorporates the greenhouse warming effects of both carbon dioxide and water vapour, and also includes ice-albedo feedback and evapotranspiration. The main conclusion to be inferred from this EBM is that the climate system may possess multiple equilibrium states, both warm and frozen, which coexist mathematically. While the actual climate can exist in only one of these states at any given time, the EBM suggests that climate can undergo transitions between the states via mathematical saddle-node bifurcations. This paper proposes that such bifurcations have actually occurred in Paleoclimate transitions. The EBM is applied to the study of the Pliocene paradox, the glaciation of Antarctica and the so-called warm, equable climate problem of both the mid-Cretaceous Period and the Eocene Epoch. In all cases, the EBM is in qualitative agreement with the geological record.</t>
  </si>
  <si>
    <t>[Dortmans, Brady; Langford, William F.; Willms, Allan R.] Univ Guelph, Dept Math &amp; Stat, 50 Stone Rd West, Guelph, ON N1G 2W1, Canada</t>
  </si>
  <si>
    <t>University of Guelph</t>
  </si>
  <si>
    <t>Langford, WF (corresponding author), Univ Guelph, Dept Math &amp; Stat, 50 Stone Rd West, Guelph, ON N1G 2W1, Canada.</t>
  </si>
  <si>
    <t>wlangfor@uoguelph.ca</t>
  </si>
  <si>
    <t>Willms, Allan/0000-0003-3502-5163</t>
  </si>
  <si>
    <t>Natural Sciences and Engineering Research Council of Canada</t>
  </si>
  <si>
    <t>Natural Sciences and Engineering Research Council of Canada(Natural Sciences and Engineering Research Council of Canada (NSERC)CGIAR)</t>
  </si>
  <si>
    <t>The authors acknowledge financial support of this work by the Natural Sciences and Engineering Research Council of Canada, and thank two anonymous referees for many valuable suggestions that greatly improved the quality of the paper. The authors thank Kolja Kypke for his contributions to the final revisions of the manuscript. William F. Langford gratefully acknowledges very helpful discussions with James F. Basinger and David R. Greenwood in the early stages of this work.</t>
  </si>
  <si>
    <t>10.5194/cp-15-493-2019</t>
  </si>
  <si>
    <t>HP9DH</t>
  </si>
  <si>
    <t>WOS:000461991900001</t>
  </si>
  <si>
    <t>Schiaparelli, S; Aliani, S</t>
  </si>
  <si>
    <t>Schiaparelli, Stefano; Aliani, Stefano</t>
  </si>
  <si>
    <t>Oceanographic moorings as year-round laboratories for investigating growth performance and settlement dynamics in the Antarctic scallop Adamussium colbecki (E. A. Smith, 1902)</t>
  </si>
  <si>
    <t>PEERJ</t>
  </si>
  <si>
    <t>Settlement; Time-series; Monitoring; Caging; Adamussium colbecki; Mooring; Growth; Ross sea; Antarctica</t>
  </si>
  <si>
    <t>TERRA-NOVA BAY; VICTORIA LAND COAST; ROSS SEA; MYTILUS-GALLOPROVINCIALIS; HYDRACTINIA-ANGUSTA; SEASONAL-VARIATION; LARVAL DEVELOPMENT; ICE; ECHINODERMATA; TEMPERATURE</t>
  </si>
  <si>
    <t>Background: Oceanographic moorings (OMs) are standard marine platforms composed of wires, buoys, weights and instruments, and are used as in situ observatories to record water column properties. However, OMs are also comprised of hard substrates on which a variety of invertebrates can settle when they encounter these structures along their dispersal routes. In this contribution, we studied the fouling communities found on two OMs deployed in the Ross Sea (Antarctica). Furthermore, a cage containing the Antarctic scallop Adamussium colbecki (E. A. Smith, 1902) was incorporated in the OM. The growth of the caged A. colbecki were evaluated after 1 year and their shells used as biological proxy for seawater temperature and salinity. Methods: A variety of settlers were collected from two different OMs deployed in the Ross Sea (Antarctica) and species identified using a combination of morphological and genetic (mainly through DNA barcoding) characteristics. Caged scallops were individually marked with permanent tags and their growth studied in terms of size-increment data (SID). Cages were specifically designed to prevent damage to individuals due to water drag during OM deployment and retrieval. Growth parameters from the caged individuals were applied to the A. colbecki juveniles that had settled on the mooring, to trace the likely settlement period. Results: The growth performance of caged A. colbecki was similar to that from previous growth studies of this species. The remarkable survival rate of caged specimens (96.6%) supports the feasibility of caging experiments, even for a species with a fragile shell such as the Antarctic scallop. Some of the new recruits found on the mooring were A. colbecki, the same species we put into special cages fixed to it. The settlement of the A. colbecki juveniles started during the Austral spring with a peak in summer months and, remarkably, coincided with seasonal changes in water temperature and flow direction, which were recorded by the mooring's instruments. Genetic data from other settlers provided new information about their larval ecology and connectivity. Discussion: Oceanographic moorings are expensive and complex experimental platforms that, at present, are strictly used for the acquisition of physical and biogeochemical data. Their use for in situ ecological experiments on model organisms suitable for caging and to study fouling species has yet to be fully explored. We present the outcomes of a study, which represents a baseline for the characterization of Antarctic fouling biodiversity. We hope that in the near future an internationally coordinated systematic study of settlers could be initiated around the Antarctic continent. This could utilize new generation OMs equipped with standardized settlement structures and agreed sampling protocols for the study of fouling communities.</t>
  </si>
  <si>
    <t>[Schiaparelli, Stefano] Univ Genoa, DISTAV, Genoa, Italy; [Schiaparelli, Stefano] Univ Genoa, Sect Genoa, Italian Natl Antarctic Museum, MNA, Genoa, Italy; [Aliani, Stefano] CNR, Italian Natl Res Council, Ist Sci Marine, La Spezia, Italy</t>
  </si>
  <si>
    <t>University of Genoa; University of Genoa; Consiglio Nazionale delle Ricerche (CNR); Istituto di Scienze Marine (ISMAR-CNR)</t>
  </si>
  <si>
    <t>Schiaparelli, S (corresponding author), Univ Genoa, DISTAV, Genoa, Italy.;Schiaparelli, S (corresponding author), Univ Genoa, Sect Genoa, Italian Natl Antarctic Museum, MNA, Genoa, Italy.</t>
  </si>
  <si>
    <t>stefano.schiaparelli@unige.it</t>
  </si>
  <si>
    <t>Aliani, Stefano/B-5854-2012; Schiaparelli, Stefano/AAI-4024-2020</t>
  </si>
  <si>
    <t>Aliani, Stefano/0000-0002-2555-4398; Schiaparelli, Stefano/0000-0002-0137-3605</t>
  </si>
  <si>
    <t>Italian National Scientific Commission for Antarctic Research (CSNA)</t>
  </si>
  <si>
    <t>Participation of Stefano Schiaparelli to the SOOS Ross Sea working group meeting has been funded by the Italian National Scientific Commission for Antarctic Research (CSNA). The funders had no role in study design, data collection and analysis, decision to publish, or preparation of the manuscript.</t>
  </si>
  <si>
    <t>PEERJ INC</t>
  </si>
  <si>
    <t>341-345 OLD ST, THIRD FLR, LONDON, EC1V 9LL, ENGLAND</t>
  </si>
  <si>
    <t>2167-8359</t>
  </si>
  <si>
    <t>PeerJ</t>
  </si>
  <si>
    <t>e6373</t>
  </si>
  <si>
    <t>10.7717/peerj.6373</t>
  </si>
  <si>
    <t>HP7DM</t>
  </si>
  <si>
    <t>WOS:000461847800002</t>
  </si>
  <si>
    <t>Cao, SN; He, JF; Zhang, F; Lin, L; Gao, Y; Zhou, QM</t>
  </si>
  <si>
    <t>Cao, Shunan; He, Jianfeng; Zhang, Fang; Lin, Ling; Gao, Yuan; Zhou, Qiming</t>
  </si>
  <si>
    <t>Diversity and community structure of bacterioplankton in surface waters off the northern tip of the Antarctic Peninsula</t>
  </si>
  <si>
    <t>Bacteria; dominant genera; environmental factors; interpopulation interactions; pyrosequencing</t>
  </si>
  <si>
    <t>DIMETHYL SULFIDE; SEA-ICE; COASTAL WATERS; CLIMATE-CHANGE; SUMMER BACTERIOPLANKTON; BACTERIAL COMMUNITIES; MARINE BACTERIAL; AMUNDSEN SEA; WEST; DYNAMICS</t>
  </si>
  <si>
    <t>Global climate change is significantly affecting marine life off the northern tip of the Antarctic Peninsula, but little is known about microbial ecology in this area. The main goal of this study was to investigate the bacterioplankton community structure in surface waters using pyrosequencing and to determine factors influencing this community. Pelagibacterales and Rhodobacterales (Alphaproteobacteria), Oceanospirillales and Alteromonadales (Gammaproteobacteria), and Flavobacteriales (Bacteroidetes) were the core taxa in our samples, and the five most relatively abundant genera were Pelagibacter, Polaribacter, Octadecabacter, group HTCC2207 and Sulfitobacter. Although nutrients and chlorophyll a (chl a) contributed more to bacterioplankton community structure than water masses or depth, only 30.39% of the variance could be explained by the investigated environmental factors, as revealed by RDA and pRDA. No significant difference with respect to nutrients and chl a was observed among water masses or depth, as indicated by ANOVA. Furthermore, significant correlations among the dominant bacterial genera were more common than correlations between dominant genera and environmental factors, as revealed by Spearman analysis. We conclude that nutrients and chl a become homogeneous and that interpopulation interactions may have a central role in influencing the bacterial community structure in surface waters off the northern tip of the Antarctic Peninsula during the summer.</t>
  </si>
  <si>
    <t>[Cao, Shunan; He, Jianfeng; Zhang, Fang; Lin, Ling; Gao, Yuan] State Ocean Adm, Key Lab Polar Sci, Polar Res Inst China, 451 Jinqiao Rd, Shanghai 200136, Peoples R China; [Gao, Yuan] Xiamen Univ, Coll Ocean &amp; Earth Sci, Xiamen, Fujian, Peoples R China; [Zhou, Qiming] Harbin Inst Technol, Sch Life Sci &amp; Technol, Harbin, Heilongjiang, Peoples R China; [Zhou, Qiming] ChosenMed Technol Beijing Co Ltd, Beijing, Peoples R China</t>
  </si>
  <si>
    <t>Polar Research Institute of China; Xiamen University; Harbin Institute of Technology</t>
  </si>
  <si>
    <t>He, JF (corresponding author), State Ocean Adm, Key Lab Polar Sci, Polar Res Inst China, 451 Jinqiao Rd, Shanghai 200136, Peoples R China.</t>
  </si>
  <si>
    <t>hejianfeng@pric.org.cn</t>
  </si>
  <si>
    <t>zhou, qi/JEF-7253-2023; GAO, YUAN/HMP-5961-2023; Gao, Yuanhao/KFS-3943-2024; Zhou, Qi/JTT-3417-2023; Gao, yuan/HLH-1794-2023</t>
  </si>
  <si>
    <t>zhou, qi ming/0000-0002-2892-6329</t>
  </si>
  <si>
    <t>Chinese Polar Environment Comprehensive Investigation &amp; Assessment Programs [CHINARE-2011-2015]; international cooperation programme of the Chinese National Arctic and Antarctic Research Expedition [IC201514]; National Natural Science Foundation of China [41206189, 41476168]</t>
  </si>
  <si>
    <t>Chinese Polar Environment Comprehensive Investigation &amp; Assessment Programs; international cooperation programme of the Chinese National Arctic and Antarctic Research Expedition; National Natural Science Foundation of China(National Natural Science Foundation of China (NSFC))</t>
  </si>
  <si>
    <t>This work was supported by the Chinese Polar Environment Comprehensive Investigation &amp; Assessment Programs (CHINARE-2011-2015), an international cooperation programme of the Chinese National Arctic and Antarctic Research Expedition (IC201514) and the National Natural Science Foundation of China (grant nos. 41206189 and 41476168).</t>
  </si>
  <si>
    <t>10.33265/polar.v38.3491</t>
  </si>
  <si>
    <t>IH1DD</t>
  </si>
  <si>
    <t>WOS:000474230600001</t>
  </si>
  <si>
    <t>Seijo-Ellis, G; Lindo-Atichati, D; Salmun, H</t>
  </si>
  <si>
    <t>Seijo-Ellis, Giovanni; Lindo-Atichati, David; Salmun, Haydee</t>
  </si>
  <si>
    <t>Vertical Structure of the Water Column at the Virgin Islands Shelf Break and Trough</t>
  </si>
  <si>
    <t>JOURNAL OF MARINE SCIENCE AND ENGINEERING</t>
  </si>
  <si>
    <t>Northeast Caribbean Sea; Virgin Islands shelf break 2; Virgin Islands Trough; water structure; stratification; water masses; shelf-slope exchanges</t>
  </si>
  <si>
    <t>WESTERN BOUNDARY CURRENT; OCEAN; FEATURES; SEA</t>
  </si>
  <si>
    <t>The steep US Virgin Islands Shelf Break (VISB) and the Virgin Islands Trough (VIT) at the Northeastern Caribbean Sea comprise a dynamic region of the Atlantic Ocean. In situ oceanographic data collected in the region during April 2017 were used to examine the spatial variability in temperature, density, salinity, and relative Chlorophyll-a. Analysis of data from the upper 300 m of the water column, that include deep and shallow water stations in the shelf break region, shows strong stratification of the water column. Stations shallower than 800 m along the shelf break are more variable in temperature, density, and salinity than those that are deeper than 800 m along the trough. For shallow stations, the mixed layer depth deepens along-shelf from West to East while at the deep stations the opposite occurs. Salinity maxima exhibit more variability in depth and range of values in the shallow stations compared to deep stations. Six different types of water masses that contribute to the strong stratification in the region were identified in our study: Caribbean Surface Water, Subtropical Underwater, Sargasso Sea Water, Tropical Atlantic Central Water, Antarctic Intermediate Water, and North Atlantic Deep Water. The upper level Caribbean Surface Water, Subtropical Underwater, and Sargasso Sea Water are present in shallow stations, indicating potential meridional intrusions from the VIT to the VISB which may not be resolved by current ocean circulation models and are not captured in satellite data. The analysis presented here indicates that competing physical processes may be controlling the vertical structure of the water column in the region and merit further examination.</t>
  </si>
  <si>
    <t>[Seijo-Ellis, Giovanni; Lindo-Atichati, David; Salmun, Haydee] CUNY, Grad Ctr, Earth &amp; Environm Sci, 365 5th Ave, New York, NY 10016 USA; [Lindo-Atichati, David] CUNY Coll Staten Isl, Dept Engn Sci &amp; Phys, 2800 Victory Blvd, Staten Isl, NY 10314 USA; [Lindo-Atichati, David] Amer Museum Nat Hist, Dept Earth &amp; Planetary Sci, New York, NY 10024 USA; [Salmun, Haydee] CUNY Hunter Coll, Dept Geog, 695 Pk Ave, New York, NY 10065 USA</t>
  </si>
  <si>
    <t>City University of New York (CUNY) System; City University of New York (CUNY) System; College of Staten Island (CUNY); American Museum of Natural History (AMNH); City University of New York (CUNY) System; Hunter College (CUNY)</t>
  </si>
  <si>
    <t>Seijo-Ellis, G (corresponding author), CUNY, Grad Ctr, Earth &amp; Environm Sci, 365 5th Ave, New York, NY 10016 USA.</t>
  </si>
  <si>
    <t>gseijo1@gradcenter.cuny.edu; dlindo@gc.cuny.edu; hsalmun@hunter.cuny.edu</t>
  </si>
  <si>
    <t>Lindo-Atichati, David/O-1594-2019</t>
  </si>
  <si>
    <t>Lindo-Atichati, David/0000-0003-4299-1589; Seijo-Ellis, Giovanni/0000-0001-5626-9170</t>
  </si>
  <si>
    <t>CUNY Science Fellowship; PSC-CUNY Research Foundation [61687-00 49]</t>
  </si>
  <si>
    <t>CUNY Science Fellowship; PSC-CUNY Research Foundation</t>
  </si>
  <si>
    <t>Partial support for G.S.E. was provided by a CUNY Science Fellowship. This research was partially funded by the PSC-CUNY Research Foundation Award 61687-00 49 to H.S. and D.L.A. The APC was also funded by PSC-CUNY Research Foundation Award 61687-00 49.</t>
  </si>
  <si>
    <t>2077-1312</t>
  </si>
  <si>
    <t>J MAR SCI ENG</t>
  </si>
  <si>
    <t>J. Mar. Sci. Eng.</t>
  </si>
  <si>
    <t>MAR 20</t>
  </si>
  <si>
    <t>10.3390/jmse7030074</t>
  </si>
  <si>
    <t>Engineering, Marine; Engineering, Ocean; Oceanography</t>
  </si>
  <si>
    <t>Engineering; Oceanography</t>
  </si>
  <si>
    <t>HT2QB</t>
  </si>
  <si>
    <t>WOS:000464406300002</t>
  </si>
  <si>
    <t>Rontani, JF; Smik, L; Belt, ST; Vaultier, F; Armbrecht, L; Leventer, A; Armand, LK</t>
  </si>
  <si>
    <t>Rontani, Jean-Francois; Smik, Lukas; Belt, Simon T.; Vaultier, Frederic; Armbrecht, Linda; Leventer, Amy; Armand, Leanne K.</t>
  </si>
  <si>
    <t>Abiotic degradation of highly branched isoprenoid alkenes and other lipids in the water column off East Antarctica</t>
  </si>
  <si>
    <t>East Antarctica; Suspended particulate matter; Near-surface sediments; Lipids; Photo and autoxidation; Alteration of IPSO25/HBI III ratio; Paleoceanographic implications</t>
  </si>
  <si>
    <t>SEA-ICE PROXY; SOUTHERN-OCEAN SEDIMENTS; MAJOR DIATOM TAXA; INSTRUMENTAL PERIOD; PARTICULATE MATTER; MARINE-SEDIMENTS; FOOD QUALITY; ADELIE LAND; FATTY-ACIDS; BIOMARKERS</t>
  </si>
  <si>
    <t>In some previous studies, the ratio between a di-unsaturated highly branched isoprenoid (HBI) lipid termed IPSO25 and a structurally related tri-unsaturated counterpart (HBI III) (viz. IPSO25/HBI III) has been used as a proxy measure of variable sea ice cover in the Antarctic owing to their production by certain sea ice algae and open water diatoms, respectively. To investigate this further, we quantified selected lipids and their photo- and autoxidation products in samples of suspended particulate matter (SPM) collected at different water depths in the polynya region west of the Dalton Iceberg Tongue (East Antarctica). The results obtained confirm the high efficiency of photo- and autoxidation processes in diatoms from the region. The systematic increase of the ratio IPSO25/HBI III with water depth in the current samples appeared to be dependent on the sampling site and was due to both (i) a relatively higher contribution of ice algae to the deeper samples resulting from their increased aggregation and therefore higher sinking rate, or (ii) a stronger abiotic degradation of HBI III during settling through the water column. Analyses of samples taken from the water-sediment interface and some underlying near-surface sediments revealed a further increase of the ratio IPSO25/HBI III, indicative of further differential oxidation of the more unsaturated HBI. Unfortunately, specific oxidation products of HBI III could not be detected in the strongly oxidized SPM and sediment samples, likely due to their lability towards further oxidation. In contrast, oxidation products of HBI HI were detected in weakly oxidized samples of phytoplanktonic cells collected from Commonwealth Bay (also East Antarctica), thus providing more direct evidence for the involvement of photo- and/or autoxidation of HBI III in the region. This oxidative alteration of the ratio IPSO25/HBI III between their source and sedimentary environments might need to be considered more carefully when using this parameter for palaeo sea ice reconstruction purposes in the Antarctic.</t>
  </si>
  <si>
    <t>[Rontani, Jean-Francois; Vaultier, Frederic] Univ Toulon &amp; Var, Aix Marseille Univ, MIO, INSU,IRD,CNRS,UM 110, F-13288 Marseille, France; [Smik, Lukas; Belt, Simon T.] Univ Plymouth, Sch Geog Earth &amp; Environm Sci, Biogeochem Res Ctr, Plymouth PL4 8AA, Devon, England; [Armbrecht, Linda] Univ Adelaide, Fac Sci, Sch Biol Sci, Australian Ctr Ancient DNA, Adelaide, SA 5005, Australia; [Leventer, Amy] Colgate Univ, Dept Geol, Hamilton, NY 13346 USA; [Armand, Leanne K.] Australian Natl Univ, Res Sch Earth Sci, Acton, ACT 2601, Australia</t>
  </si>
  <si>
    <t>Centre National de la Recherche Scientifique (CNRS); CNRS - National Institute for Earth Sciences &amp; Astronomy (INSU); Aix-Marseille Universite; Institut de Recherche pour le Developpement (IRD); Universite de Toulon; University of Plymouth; University of Adelaide; Colgate University; Australian National University</t>
  </si>
  <si>
    <t>Rontani, JF (corresponding author), Univ Toulon &amp; Var, Aix Marseille Univ, MIO, INSU,IRD,CNRS,UM 110, F-13288 Marseille, France.</t>
  </si>
  <si>
    <t>jean-francois.rontani@mio.osupytheas.fr</t>
  </si>
  <si>
    <t>Armbrecht, Linda/GZB-0547-2022; Armand, Leanne K/C-9004-2009</t>
  </si>
  <si>
    <t>Leventer, Amy/0000-0001-9401-0987; Armand, Leanne/0000-0003-3995-308X; Smik, Lukas/0000-0003-2280-7342</t>
  </si>
  <si>
    <t>FEDER OCEANOMED [N 1166-39417]; NSF [ANT - 1143836]; IPEV [1010-ICELIPIDS]; ANR (CLIMICE program)</t>
  </si>
  <si>
    <t>FEDER OCEANOMED; NSF(National Science Foundation (NSF)); IPEV; ANR (CLIMICE program)(Agence Nationale de la Recherche (ANR))</t>
  </si>
  <si>
    <t>The FEDER OCEANOMED (N 1166-39417) is acknowledged for the funding of the apparatus employed. Thanks are due to the scientific party and crew of cruise NBP1402; the project (P.I. A. Leventer) was funded by NSF ANT - 1143836. We also thank G. Masse for the donation of the phytoplankton samples collected in the Commonwealth Bay during the IPEV-COCA2012 cruise funded by IPEV (1010-ICELIPIDS program) and ANR (CLIMICE program). We are especially grateful to Rani Amiraux for his assistance in producing Figure 7. We thank two anonymous referees and the associated editor for their useful and constructive comments.</t>
  </si>
  <si>
    <t>10.1016/j.marchem.2019.02.004</t>
  </si>
  <si>
    <t>HR7CP</t>
  </si>
  <si>
    <t>hybrid, Green Published, Green Submitted</t>
  </si>
  <si>
    <t>WOS:000463309800004</t>
  </si>
  <si>
    <t>Pyle, KM; Hendry, KR; Sherrell, RM; Legge, O; Hind, AJ; Bakker, D; Venables, H; Meredith, MP</t>
  </si>
  <si>
    <t>Pyle, Kimberley M.; Hendry, Katharine R.; Sherrell, Robert M.; Legge, Oliver; Hind, Andrew J.; Bakker, Dorothee; Venables, Hugh; Meredith, Michael P.</t>
  </si>
  <si>
    <t>Oceanic fronts control the distribution of dissolved barium in the Southern Ocean (vol 204, pg 95, 2018)</t>
  </si>
  <si>
    <t>Correction</t>
  </si>
  <si>
    <t>[Pyle, Kimberley M.; Hendry, Katharine R.] Univ Bristol, Sch Earth Sci, Wills Mem Bldg,Queens Rd, Bristol BS8 1RJ, Avon, England; [Sherrell, Robert M.] Rutgers State Univ, Dept Earth &amp; Planetary Sci, Dept Marine &amp; Coastal Sci, New Brunswick, NJ USA; [Legge, Oliver; Hind, Andrew J.; Bakker, Dorothee] Univ East Anglia, Sch Environm Sci, Ctr Ocean &amp; Atmospher Sci, Norwich NR4 7TJ, Norfolk, England; [Venables, Hugh; Meredith, Michael P.] British Antarctic Survey, Madingley Rd, Cambridge CB3 0ET, England</t>
  </si>
  <si>
    <t>University of Bristol; Rutgers University System; Rutgers University New Brunswick; University of East Anglia; UK Research &amp; Innovation (UKRI); Natural Environment Research Council (NERC); NERC British Antarctic Survey</t>
  </si>
  <si>
    <t>Hendry, KR (corresponding author), Univ Bristol, Sch Earth Sci, Wills Mem Bldg,Queens Rd, Bristol BS8 1RJ, Avon, England.</t>
  </si>
  <si>
    <t>Hendry, Katharine R/E-4793-2011</t>
  </si>
  <si>
    <t>10.1016/j.marchem.2018.09.004</t>
  </si>
  <si>
    <t>WOS:000463309800007</t>
  </si>
  <si>
    <t>Wang, K; Li, YY; Dai, YF; Han, LH; Zhu, YJ; Xue, CH; Wang, P; Wang, JF</t>
  </si>
  <si>
    <t>Wang, Kai; Li, Yuanyuan; Dai, Yufeng; Han, Lihau; Zhu, Yujie; Xue, Changhu; Wang, Peng; Wang, Jingfeng</t>
  </si>
  <si>
    <t>Peptides from Antarctic Krill (Euphausia superba) Improve Osteoarthritis via Inhibiting HIF-2α-Mediated Death Receptor Apoptosis and Metabolism Regulation in Osteoarthritic Mice</t>
  </si>
  <si>
    <t>JOURNAL OF AGRICULTURAL AND FOOD CHEMISTRY</t>
  </si>
  <si>
    <t>osteoarthritis; peptides from Antarctic krill; cartilage metabolism; HIF-2 alpha; death receptor apoptosis</t>
  </si>
  <si>
    <t>HYPOXIA-INDUCIBLE FACTOR-2-ALPHA; TNF-LIKE LIGAND; CARTILAGE DEGENERATION; AMINO-ACID; IN-VITRO; EXPRESSION; PATHWAY; INFLAMMATION; COLLAGEN; MODEL</t>
  </si>
  <si>
    <t>Osteoarthritis (OA) is a prevalent debilitating disease which is predominantly characterized by cartilage degeneration. In the current study, destabilization of the medial meniscus (DMM) mouse model was used to investigate the effects of Antarctic krill peptides (AKP) on cartilage protection. As observed, AKP clearly ameliorate cartilage degeneration as evidenced by increased cartilage thickness and cartilage area and decreased histological Osteoarthritis Research Society International (OARSI) scores. Toluidine blue staining showed that AKO remarkably inhibited the loss of cartilage matrix in mice with OA. Hypoxia-inducible factor-2 alpha (HIF-2 alpha) has a key role in catabolic regulation and inflammation cascades which are the main causes of OA. AKP can down-regulate the expression of HIF-2 alpha and its downstream genes such as MMP-13, Adamts-S, IL-1 beta, iNOS, CXCL-1, and NOS2. Consistent with this, anabolic genes such as Acan and Col2 alpha 1 were restored after treatment with AKP. Chondrocyte apoptosis and the reduction in cartilage cell viability are also involved in the process of OA. The HIF-2 alpha-mediated death receptor apoptosis signaling pathway has been involved in the regulation of chondrocyte apoptosis. AKP can reduce the expressions of key pro-apoptosis genes in Fas-FasL and DR3-DR3L signaling pathways such as Fas, FasL, FADD, caspase8, caspase3, DR3, DR3L, RIP, and NF-kappa B. In addition, expressions of antiapoptosis genes such as c-AIP and c-FLIP were increased significantly. These findings indicate that AKP can be used as a new functional factor in the development of functional foods and chondroprotective drugs.</t>
  </si>
  <si>
    <t>[Wang, Kai; Li, Yuanyuan; Dai, Yufeng; Han, Lihau; Zhu, Yujie; Xue, Changhu; Wang, Peng; Wang, Jingfeng] Ocean Univ China, Coll Food Sci &amp; Engn, Qingdao 266003, Shandong, Peoples R China</t>
  </si>
  <si>
    <t>Wang, P; Wang, JF (corresponding author), Ocean Univ China, Coll Food Sci &amp; Engn, Qingdao 266003, Shandong, Peoples R China.</t>
  </si>
  <si>
    <t>pengwang@ouc.edu.cn; jfwang@ouc.edu.cn</t>
  </si>
  <si>
    <t>zhu, yujie/KBC-4009-2024; Dai, Yufeng/KBX-4156-2024; wang, jing/HJA-5384-2022; wang, jing/GRS-7509-2022; Wang, Kai/HTS-5222-2023</t>
  </si>
  <si>
    <t>Wang, Kai/0000-0001-5447-8710</t>
  </si>
  <si>
    <t>National Key R&amp;D Program of China [2018YFC0311203]</t>
  </si>
  <si>
    <t>National Key R&amp;D Program of China</t>
  </si>
  <si>
    <t>This study was supported by National Key R&amp;D Program of China (no. 2018YFC0311203).</t>
  </si>
  <si>
    <t>0021-8561</t>
  </si>
  <si>
    <t>1520-5118</t>
  </si>
  <si>
    <t>J AGR FOOD CHEM</t>
  </si>
  <si>
    <t>J. Agric. Food Chem.</t>
  </si>
  <si>
    <t>10.1021/acs.jafc.8b05841</t>
  </si>
  <si>
    <t>Agriculture, Multidisciplinary; Chemistry, Applied; Food Science &amp; Technology</t>
  </si>
  <si>
    <t>Agriculture; Chemistry; Food Science &amp; Technology</t>
  </si>
  <si>
    <t>HQ2VT</t>
  </si>
  <si>
    <t>WOS:000462260500007</t>
  </si>
  <si>
    <t>Vollmer, MK; Bernard, F; Mitrevski, B; Steele, LP; Trudinger, CM; Reimann, S; Langenfelds, RL; Krummel, PB; Fraser, PJ; Etheridge, DM; Curran, MAJ; Burkholder, JB</t>
  </si>
  <si>
    <t>Vollmer, Martin K.; Bernard, Francois; Mitrevski, Blagoj; Steele, L. Paul; Trudinger, Cathy M.; Reimann, Stefan; Langenfelds, Ray L.; Krummel, Paul B.; Fraser, Paul J.; Etheridge, David M.; Curran, Mark A. J.; Burkholder, James B.</t>
  </si>
  <si>
    <t>Abundances, emissions, and loss processes of the long-lived and potent greenhouse gas octafluorooxolane (octafluorotetrahydrofuran, c-C4F8O) in the atmosphere</t>
  </si>
  <si>
    <t>INFRARED-ABSORPTION SPECTRA; GLOBAL EMISSIONS; C4F8O; HISTORIES; FIRN</t>
  </si>
  <si>
    <t>The first atmospheric observations of octafluo-rooxolane (octafluorotetrahydrofuran, c-C4F8O), a persistent greenhouse gas, are reported. In addition, a complementary laboratory study of its most likely atmospheric loss processes, its infrared absorption spectrum, and global warming potential (GWP) are reported. First atmospheric measurements of c-C4F8O are provided from the Cape Grim Air Archive (41 degrees S, Tasmania, Australia, 1978-present), supplemented by two firn air samples from Antarctica, in situ measurements of ambient air at Aspendale, Victoria (38 degrees S), and a few archived air samples from the Northern Hemisphere. The atmospheric abundance in the Southern Hemisphere has monotonically grown over the past decades and leveled at 74 ppq (parts per quadrillion, femtomole per mole in dry air) by 2015-2018. The growth rate of c-C4F8O has decreased from a maximum in 2004 of 4.0 to &lt; 0 : 25 ppq yr(-1) in 2017 and 2018. Using a 12-box atmospheric transport model, globally averaged yearly emissions and abundances of c-C4F8O are calculated for 1951-2018. Emissions, which we speculate to derive predominantly from usage of c-C4F8O as a solvent in the semiconductor industry, peaked at 0.15 (+/- 0:04, 2 sigma) kt yr(-1) in 2004 and have since declined to &lt; 0 : 015 kt yr(-1) in 2017 and 2018. Cumulative emissions over the full range of our record amount to 2.8 (2.4-3.3) kt, which correspond to 34 Mt of CO2-equivalent emissions. Infrared and ultraviolet absorption spectra for c-C4F8O as well as the reactive channel rate coefficient for the O(D-1)+c-C4F8O reaction were determined from laboratory studies. On the basis of these experiments, a radiative efficiency of 0.430Wm(-2) ppb(-1) (parts per billion, nanomol mol(-1)) was determined, which is one of the largest found for synthetic greenhouse gases. The global annually averaged atmospheric lifetime, including mesospheric loss, is estimated to be &gt; 3000 years. GWPs of 8975, 12 000, and 16 000 are estimated for the 20-, 100-, and 500-year time horizons, respectively.</t>
  </si>
  <si>
    <t>[Vollmer, Martin K.; Reimann, Stefan] Empa, Swiss Fed Labs Mat Sci &amp; Technol, Lab Air Pollut &amp; Environm Technol, Dubendorf, Switzerland; [Bernard, Francois; Burkholder, James B.] NOAA, Earth Syst Res Lab, Boulder, CO USA; [Bernard, Francois] Univ Colorado, Cooperat Inst Res Environm Sci, Boulder, CO 80309 USA; [Mitrevski, Blagoj; Steele, L. Paul; Trudinger, Cathy M.; Langenfelds, Ray L.; Krummel, Paul B.; Fraser, Paul J.; Etheridge, David M.] CSIRO Oceans &amp; Atmosphere, Climate Sci Ctr, Aspendale, Vic, Australia; [Curran, Mark A. J.] Australian Antarctic Div, Kingston, Tas, Australia; [Curran, Mark A. J.] Antarctic Climate &amp; Ecosyst Cooperat Res Ctr, Hobart, Tas, Australia; [Bernard, Francois] Inst Combust Aerotherm Reactivite &amp; Environm, Observ Sci Univers Reg Ctr, CNRS, Orleans, France</t>
  </si>
  <si>
    <t>Swiss Federal Institutes of Technology Domain; Swiss Federal Laboratories for Materials Science &amp; Technology (EMPA); National Oceanic Atmospheric Admin (NOAA) - USA; University of Colorado System; University of Colorado Boulder; Commonwealth Scientific &amp; Industrial Research Organisation (CSIRO); Australian Antarctic Division; Antarctic Climate &amp; Ecosystems Cooperative Research Centre (ACE CRC); Centre National de la Recherche Scientifique (CNRS)</t>
  </si>
  <si>
    <t>Vollmer, MK (corresponding author), Empa, Swiss Fed Labs Mat Sci &amp; Technol, Lab Air Pollut &amp; Environm Technol, Dubendorf, Switzerland.</t>
  </si>
  <si>
    <t>martin.vollmer@empa.ch</t>
  </si>
  <si>
    <t>Mitrevski, Blagoj/JAT-7514-2023; Burkholder, James B/H-4914-2013; BERNARD, François/F-2864-2014; Fraser, Paul J. B./D-1755-2012; Etheridge, David M/B-7334-2013; Trudinger, Cathy/A-2532-2008; Steele, Paul/B-3185-2009; Krummel, Paul B/A-4293-2013; Reimann, Stefan/A-2327-2009; Langenfelds, Ray/B-5381-2012</t>
  </si>
  <si>
    <t>BERNARD, François/0000-0002-6116-3167; Krummel, Paul B/0000-0002-4884-3678; Reimann, Stefan/0000-0002-9885-7138; Etheridge, David/0000-0001-7970-2002; Langenfelds, Ray/0000-0003-4890-2049; Trudinger, Cathy/0000-0002-4844-2153</t>
  </si>
  <si>
    <t>CSIRO; Bureau of Meteorology; Australian government Department of Environment and Energy; Refrigerant Reclaim Australia; Swiss Federal Office for the Environment (FOEN) within the Swiss National Program HALCLIM; Swiss Federal Office for the Environment (FOEN) within the Swiss National Program CLIMGAS-CH; Empa; Swiss National Science Foundation (SNSF); NOAA Climate Office's Atmospheric Chemistry, Carbon Cycle, and Climate Program</t>
  </si>
  <si>
    <t>CSIRO(Commonwealth Scientific &amp; Industrial Research Organisation (CSIRO)); Bureau of Meteorology(Bureau of Meteorology - Australia); Australian government Department of Environment and Energy(Australian Government); Refrigerant Reclaim Australia; Swiss Federal Office for the Environment (FOEN) within the Swiss National Program HALCLIM; Swiss Federal Office for the Environment (FOEN) within the Swiss National Program CLIMGAS-CH; Empa; Swiss National Science Foundation (SNSF)(Swiss National Science Foundation (SNSF)); NOAA Climate Office's Atmospheric Chemistry, Carbon Cycle, and Climate Program</t>
  </si>
  <si>
    <t>We acknowledge the station personnel at Cape Grim for flask sampling for the Cape Grim Air Archive (CGAA) project, which is jointly operated by CSIRO and the Australian government Bureau of Meteorology. CSIRO research at Cape Grim is supported by CSIRO, Bureau of Meteorology, the Australian government Department of Environment and Energy, and Refrigerant Reclaim Australia. We gratefully acknowledge the field team and the national research programs that supported the Aurora Basin North drilling project. Martin K. Vollmer acknowledges support from the Swiss Federal Office for the Environment (FOEN) within the Swiss National Programs HALCLIM and CLIMGAS-CH, and 2016 grants from Empa and the Swiss National Science Foundation (SNSF) for technical development and archived air and firn air measurements at CSIRO Aspendale. The work at NOAA was supported in part by the NOAA Climate Office's Atmospheric Chemistry, Carbon Cycle, and Climate Program. General instrument support is provided by members of the Advanced Global Atmospheric Gases Experiment (AGAGE). We acknowledge the contribution by Peter Salameh, who developed and supports GCWerks, a software control system used in the Medusa-GCMS measurements of air samples described here. Deborah Ottinger is acknowledged for her clarifications related to the USA GHG reporting regulations, and Matt Rigby for his contributions to the AGAGE 12-box model. We acknowledge two anonymous reviewers for their detailed and thorough comments on the manuscript.</t>
  </si>
  <si>
    <t>10.5194/acp-19-3481-2019</t>
  </si>
  <si>
    <t>HP6GP</t>
  </si>
  <si>
    <t>Green Submitted, Green Accepted, gold</t>
  </si>
  <si>
    <t>WOS:000461782400001</t>
  </si>
  <si>
    <t>Sancho, LG; Pintado, A; Green, TGA</t>
  </si>
  <si>
    <t>Sancho, Leopoldo G.; Pintado, Ana; Allan Green, T. G.</t>
  </si>
  <si>
    <t>Antarctic Studies Show Lichens to be Excellent Biomonitors of Climate Change</t>
  </si>
  <si>
    <t>DIVERSITY-BASEL</t>
  </si>
  <si>
    <t>Antarctica; biomonitoring; lichens; growth rate; diversity; temperature; precipitation; climate change</t>
  </si>
  <si>
    <t>BIOLOGICAL SOIL CRUSTS; ROSS SEA REGION; AIR-POLLUTION; TERRESTRIAL VEGETATION; USNEA-ANTARCTICA; VASCULAR PLANTS; GROWTH-RATES; RESPONSES; RANGE; COMMUNITIES</t>
  </si>
  <si>
    <t>Lichens have been used as biomonitors for multiple purposes. They are well-known as air pollution indicators around urban and industrial centers. More recently, several attempts have been made to use lichens as monitors of climate change especially in alpine and polar regions. In this paper, we review the value of saxicolous lichens for monitoring environmental changes in Antarctic regions. The pristine Antarctica offers a unique opportunity to study the effects of climate change along a latitudinal gradient that extends between 62 degrees and 87 degrees S. Both lichen species diversity and thallus growth rate seem to show significant correlations to mean annual temperature for gradients across the continent as well as to short time climate oscillation in the Antarctic Peninsula. Competition interactions appear to be small so that individual thalli develop in balance with environmental conditions and, as a result, can indicate the trends in productivity for discrete time intervals over long periods of time.</t>
  </si>
  <si>
    <t>[Sancho, Leopoldo G.; Pintado, Ana; Allan Green, T. G.] Univ Complutense, Dept Farmacol Farmacognosia &amp; Bot, Fac Farm, E-28040 Madrid, Spain; [Allan Green, T. G.] Waikato Univ, Biol Sci, Hamilton 3240, New Zealand</t>
  </si>
  <si>
    <t>Complutense University of Madrid; University of Waikato</t>
  </si>
  <si>
    <t>Sancho, LG (corresponding author), Univ Complutense, Dept Farmacol Farmacognosia &amp; Bot, Fac Farm, E-28040 Madrid, Spain.</t>
  </si>
  <si>
    <t>sancholg@ucm.es; apintado@ucm.es; greentga@waikato.ac.nz</t>
  </si>
  <si>
    <t>Pintado, Ana/G-9881-2015; SANCHO, LEOPOLDO/G-9120-2015</t>
  </si>
  <si>
    <t>PINTADO, ANA/0000-0003-3007-1486; SANCHO, LEOPOLDO/0000-0002-4751-7475</t>
  </si>
  <si>
    <t>Ministerio de Ciencia, Innovacion y Universidades [CTM-2015-64728-C2-1]</t>
  </si>
  <si>
    <t>Ministerio de Ciencia, Innovacion y Universidades</t>
  </si>
  <si>
    <t>This research was funded by Ministerio de Ciencia, Innovacion y Universidades CTM-2015-64728-C2-1.</t>
  </si>
  <si>
    <t>1424-2818</t>
  </si>
  <si>
    <t>Diversity-Basel</t>
  </si>
  <si>
    <t>MAR 19</t>
  </si>
  <si>
    <t>10.3390/d11030042</t>
  </si>
  <si>
    <t>HT2GP</t>
  </si>
  <si>
    <t>WOS:000464381500002</t>
  </si>
  <si>
    <t>Reimann, R</t>
  </si>
  <si>
    <t>Reimann, Rene</t>
  </si>
  <si>
    <t>IceCube Collaboration</t>
  </si>
  <si>
    <t>Monitoring and Multi-Messenger Astronomy with IceCube</t>
  </si>
  <si>
    <t>GALAXIES</t>
  </si>
  <si>
    <t>neutrino; monitoring; multi-messenger</t>
  </si>
  <si>
    <t>PERFORMANCE; SYSTEM</t>
  </si>
  <si>
    <t>IceCube currently is the largest neutrino observatory with an instrumented detection volume of 1 km(3) buried in the ice-sheet close to the antarctic South Pole station. With a 4 pi field of view and an up-time of &gt;99%, it is continuously monitoring the full sky to detect astrophysical neutrinos. With the detection of an astrophysical neutrino flux in 2013, IceCube opened a new observation window to the non-thermal Universe. The IceCube collaboration has a large program to search for astrophysical neutrinos, including measurements of the energy spectrum of the diffuse astrophysical flux, auto- and cross-correlation studies with other multi-messenger particles, and a real-time alert and follow-up system. On 22 September 2017, the IceCube online system sent out an alert reporting a high-energy neutrino event. This alert triggered a series of multi-wavelength follow-up observations that revealed a spatially-coincident blazar TXS 0506+056, which was also in an active flaring state. This correlation was estimated at a 3 sigma level. Further observations confirmed the flaring emission in the very-high-energy gamma-ray band. In addition, IceCube found an independent 3.5 sigma excess of a time-variable neutrino flux in the direction of TXS 0506+056 two years prior to the alert by examining 9.5 years of archival neutrino data. These are the first multi-messenger observations of an extra-galactic astrophysical source including neutrinos since the observation of the supernova SN1987A. This review summarizes the different detection and analysis channels for astrophysical neutrinos in IceCube, focusing on the multi-messenger program of IceCube and its major scientific results.</t>
  </si>
  <si>
    <t>[Reimann, Rene; IceCube Collaboration] Rhein Westfal TH Aachen, Phys Inst 3, D-52056 D- Aachen, Germany</t>
  </si>
  <si>
    <t>RWTH Aachen University</t>
  </si>
  <si>
    <t>Reimann, R (corresponding author), Rhein Westfal TH Aachen, Phys Inst 3, D-52056 D- Aachen, Germany.</t>
  </si>
  <si>
    <t>reimann@physik.rwth-aachen.de</t>
  </si>
  <si>
    <t>Sánchez, Juan Antonio Aguilar/H-4467-2015; Reimann, René/AAS-8239-2020</t>
  </si>
  <si>
    <t>Reimann, René/0000-0002-1983-8271</t>
  </si>
  <si>
    <t>Bundesministerium fur Bildung und Forschung (BMBF)</t>
  </si>
  <si>
    <t>Bundesministerium fur Bildung und Forschung (BMBF)(Federal Ministry of Education &amp; Research (BMBF))</t>
  </si>
  <si>
    <t>This research received funding from Bundesministerium fur Bildung und Forschung (BMBF).</t>
  </si>
  <si>
    <t>2075-4434</t>
  </si>
  <si>
    <t>Galaxies</t>
  </si>
  <si>
    <t>10.3390/galaxies7010040</t>
  </si>
  <si>
    <t>HS7YE</t>
  </si>
  <si>
    <t>WOS:000464084400001</t>
  </si>
  <si>
    <t>Kim, J; Lee, W; Karanovic, I</t>
  </si>
  <si>
    <t>Kim, Jeongho; Lee, Wonchoel; Karanovic, Ivana</t>
  </si>
  <si>
    <t>A new interstitial species of the genus Caecianiropsis Menzies &amp; Pettit, 1956 (Isopoda, Asellota) from Korea</t>
  </si>
  <si>
    <t>ZOOKEYS</t>
  </si>
  <si>
    <t>East Asia; Janiridae; marine benthos; taxonomic key</t>
  </si>
  <si>
    <t>GRAIN-SIZE; FAUNA</t>
  </si>
  <si>
    <t>A new interstitial species, Caecianiropsis goseongensis sp. n. is described from littoral off the east coast of Korea (Sea of Japan). The species can be distinguished from its congeners by the number of antennular articles, shape of the male appendix masculina, setation of pereopods, and length ratio of the uropodal rami. To aid species identification a taxonomic key to all species of Caecianiropsis Menzies &amp; Pettit, 1956 is also provided as well as a partial 16S mitochondrial ribosome RNA of the new species, which is the first genetic information for the genus.</t>
  </si>
  <si>
    <t>[Kim, Jeongho; Lee, Wonchoel; Karanovic, Ivana] Hanyang Univ, Dept Life Sci, 222 Wangsipriro, Seoul, South Korea; [Karanovic, Ivana] Univ Tasmania, Inst Marine &amp; Antarctic Studies, Hobart, Tas 7001, Australia</t>
  </si>
  <si>
    <t>Hanyang University; University of Tasmania</t>
  </si>
  <si>
    <t>Lee, W (corresponding author), Hanyang Univ, Dept Life Sci, 222 Wangsipriro, Seoul, South Korea.</t>
  </si>
  <si>
    <t>wlee@hanyang.ac.kr</t>
  </si>
  <si>
    <t>Lee, Wonchoel/L-9822-2018</t>
  </si>
  <si>
    <t>Lee, Wonchoel/0000-0002-9873-1033</t>
  </si>
  <si>
    <t>BK21 Plus Program - Ministry of Education (MOE, Korea) [22A20130012352]; 2018 Graduate Program of Undiscovered Taxa from the National Institute of Biological Resources (NIBR); Ministry of Environment (MOE) of the Republic of Korea [NIBR201839201]; National Research Foundation of Korea (NRF) [2016R1D1A1B01009806]</t>
  </si>
  <si>
    <t>BK21 Plus Program - Ministry of Education (MOE, Korea); 2018 Graduate Program of Undiscovered Taxa from the National Institute of Biological Resources (NIBR); Ministry of Environment (MOE) of the Republic of Korea; National Research Foundation of Korea (NRF)(National Research Foundation of Korea)</t>
  </si>
  <si>
    <t>The study was supported by three grants: BK21 Plus Program (Eco-Bio Fusion Research Team, 22A20130012352) funded by the Ministry of Education (MOE, Korea), 2018 Graduate Program of Undiscovered Taxa from the National Institute of Biological Resources (NIBR), funded by the Ministry of Environment (MOE) of the Republic of Korea (NIBR201839201), and National Research Foundation of Korea (NRF) grant (2016R1D1A1B01009806).</t>
  </si>
  <si>
    <t>PENSOFT PUBLISHERS</t>
  </si>
  <si>
    <t>SOFIA</t>
  </si>
  <si>
    <t>12 PROF GEORGI ZLATARSKI ST, SOFIA, 1700, BULGARIA</t>
  </si>
  <si>
    <t>1313-2989</t>
  </si>
  <si>
    <t>1313-2970</t>
  </si>
  <si>
    <t>ZooKeys</t>
  </si>
  <si>
    <t>10.3897/zookeys.832.30241</t>
  </si>
  <si>
    <t>HP4HK</t>
  </si>
  <si>
    <t>WOS:000461636800002</t>
  </si>
  <si>
    <t>Corbari, L; Frutos, I; Sorbe, JC</t>
  </si>
  <si>
    <t>Corbari, Laure; Frutos, Inmaculada; Sorbe, Jean Claude</t>
  </si>
  <si>
    <t>Dorotea gen. nov., a new bathyal genus (Amphipoda, Eusiridae) from the Solomon Sea (Papua New Guinea)</t>
  </si>
  <si>
    <t>Amphipoda; Eusiridae; Dorotea; new species; deep-sea; benthos; Papua New Guinea</t>
  </si>
  <si>
    <t>SUPRABENTHIC ASSEMBLAGES; CRUSTACEA; BAY; EXPLORATION; COMMUNITY; AREA</t>
  </si>
  <si>
    <t>A new species ascribed to a new genus of Eusiridae, Dorotea papuana gen. nov., sp. nov. is described from bathyal bottoms of the Solomon Sea (Papua New Guinea). Closely related to the genus Cleonardo, this new genus can be distinguished from most other known eusirid genera by the presence of a telson distally cleft and distinctly bilobate, of a distal spiniform process on uropod 1 peduncle and of a simple, stout and medium length dactylus on pereopods 5-7. The combination of all these characters can be considered relevant for the affiliation of this species to a new genus within Eusiridae. Due to its very close morphological affinity to Dorotea gen. nov., the bathyal sub-Antarctic species Eusiroides aberrantis Bellan-Santini &amp; Ledoyer, 1987 cannot be maintained in the family Pontogeneiidae and it should be transferred to the family Eusiridae.</t>
  </si>
  <si>
    <t>[Corbari, Laure; Sorbe, Jean Claude] UPMC, MNHN, EPHE, Inst Systemat Evolut Biodiversite ISYEB UMR CNRS, 57 Rue Cuvier,CP 26, F-75005 Paris, France; [Frutos, Inmaculada] Univ Lodz, Dept Invertebrate Zool &amp; Hydrobiol, Lab Polar Biol &amp; Oceanobiol, Banacha 12-16, PL-90237 Lodz, Poland; [Frutos, Inmaculada] Univ Alcala, Dept Ciencias Vida, EU US Marine Biodivers Grp, Alcala De Henares 28871, Spain</t>
  </si>
  <si>
    <t>Museum National d'Histoire Naturelle (MNHN); Universite PSL; Ecole Pratique des Hautes Etudes (EPHE); Sorbonne Universite; University of Lodz; Universidad de Alcala</t>
  </si>
  <si>
    <t>Corbari, L (corresponding author), UPMC, MNHN, EPHE, Inst Systemat Evolut Biodiversite ISYEB UMR CNRS, 57 Rue Cuvier,CP 26, F-75005 Paris, France.</t>
  </si>
  <si>
    <t>corbari@mnhn.fr</t>
  </si>
  <si>
    <t>Frutos, Inmaculada/0000-0003-0428-5261</t>
  </si>
  <si>
    <t>French-Taiwanese project TF-DeepEvo - ANR; NSC [ANR 12-ISV7-0005-01]</t>
  </si>
  <si>
    <t>French-Taiwanese project TF-DeepEvo - ANR(Agence Nationale de la Recherche (ANR)); NSC(Ministry of Science and Technology, Taiwan)</t>
  </si>
  <si>
    <t>The specimen herein studied was collected during the MADEEP cruise (PIs Corbari L., Samadi S., Olu K.; DOI: 10.17600/14004000) on board RV Alis, organized by the Museum National d'Histoire Naturelle and the Institut de Recherche pour le Developpement within the framework of the Tropical Deep Sea Benthos program. The authors would like to thank the crew of the RV Alis for helpful assistance at sea during samplings. This project was supported by the French-Taiwanese project TF-DeepEvo funded by ANR and NSC (ANR 12-ISV7-0005-01).</t>
  </si>
  <si>
    <t>10.11646/zootaxa.4568.1.4</t>
  </si>
  <si>
    <t>HP1UJ</t>
  </si>
  <si>
    <t>WOS:000461453200004</t>
  </si>
  <si>
    <t>Lemonnier, F; Madeleine, JB; Claud, C; Genthon, C; Durán-Alarcón, C; Palerme, C; Berne, A; Souverijns, N; van Lipzig, N; Gorodetskaya, IV; L'Ecuyer, T; Wood, N</t>
  </si>
  <si>
    <t>Lemonnier, Florentin; Madeleine, Jean-Baptiste; Claud, Chantal; Genthon, Christophe; Duran-Alarcon, Claudio; Palerme, Cyril; Berne, Alexis; Souverijns, Niels; van Lipzig, Nicole; Gorodetskaya, Irma, V; L'Ecuyer, Tristan; Wood, Norman</t>
  </si>
  <si>
    <t>Evaluation of CloudSat snowfall rate profiles by a comparison with in situ micro-rain radar observations in East Antarctica</t>
  </si>
  <si>
    <t>PRECIPITATION; ACCUMULATION; REFLECTIVITY; LAND</t>
  </si>
  <si>
    <t>The Antarctic continent is a vast desert and is the coldest and the most unknown area on Earth. It contains the Antarctic ice sheet, the largest continental water reservoir on Earth that could be affected by the current global warming, leading to sea level rise. The only significant supply of ice is through precipitation, which can be observed from the surface and from space. Remote-sensing observations of the coastal regions and the inner continent using CloudSat radar give an estimated rate of snowfall but with uncertainties twice as large as each single measured value, whereas climate models give a range from half to twice the space-time-averaged observations. The aim of this study is the evaluation of the vertical precipitation rate profiles of CloudSat radar by comparison with two surface-based micro-rain radars (MRRs), located at the coastal French Dumont d'Urville station and at the Belgian Princess Elisabeth station located in the Dronning Maud Land escarpment zone. This in turn leads to a better understanding and reassessment of CloudSat uncertainties. We compared a total of four precipitation events, two per station, when CloudSat overpassed within 10 km of the station and we compared these two different datasets at each vertical level. The correlation between both datasets is near-perfect, even though climatic and geographic conditions are different for the two stations. Using different CloudSat and MRR vertical levels, we obtain 10 km space-scale and short-timescale (a few seconds) CloudSat uncertainties from -13 % up to +22 %. This confirms the robustness of the CloudSat retrievals of snowfall over Antarctica above the blind zone and justifies further analyses of this dataset.</t>
  </si>
  <si>
    <t>[Lemonnier, Florentin; Madeleine, Jean-Baptiste; Claud, Chantal; Genthon, Christophe] Sorbonne Univ, Lab Meteorol Dynam, Ecole Normale Super, PSL Res Univ,Ecole Polytech,CNRS,LMD IPSL, F-75005 Paris, France; [Duran-Alarcon, Claudio] Univ Grenoble Alpes, CNRS, Inst Geosci Environm, Grenoble, France; [Palerme, Cyril] Norwegian Meteorol Inst, Dev Ctr Weather Forecasting, Oslo, Norway; [Berne, Alexis] Ecole Polytech Fed Lausanne, Environm Engn Inst, Environm Remote Sensing Lab, Sch Architecture Civil &amp; Environm Engn, Lausanne, Switzerland; [Souverijns, Niels; van Lipzig, Nicole] Univ Leuven, Dept Earth &amp; Environm Sci, KU Leuven, Heverlee, Belgium; [Gorodetskaya, Irma, V] Univ Wisconsin, Dept Atmospher &amp; Ocean Sci, Madison, WI USA; [L'Ecuyer, Tristan; Wood, Norman] Univ Aveiro, Ctr Environm &amp; Marine Studies, Dept Phys, Aveiro, Portugal</t>
  </si>
  <si>
    <t>Universite PSL; Ecole Normale Superieure (ENS); Ecole des Ponts ParisTech; Sorbonne Universite; Centre National de la Recherche Scientifique (CNRS); Communaute Universite Grenoble Alpes; Universite Grenoble Alpes (UGA); Centre National de la Recherche Scientifique (CNRS); Norwegian Meteorological Institute; Swiss Federal Institutes of Technology Domain; Ecole Polytechnique Federale de Lausanne; KU Leuven; University of Wisconsin System; University of Wisconsin Madison; Universidade de Aveiro</t>
  </si>
  <si>
    <t>Lemonnier, F (corresponding author), Sorbonne Univ, Lab Meteorol Dynam, Ecole Normale Super, PSL Res Univ,Ecole Polytech,CNRS,LMD IPSL, F-75005 Paris, France.</t>
  </si>
  <si>
    <t>flemonnier@lmd.jussieu.fr</t>
  </si>
  <si>
    <t>van Lipzig, Nicole/ABF-2964-2021; Durán-Alarcón, Claudio/AAU-3888-2020; Souverijns, Niels/AAB-2142-2019; L'Ecuyer, Tristan S/E-5607-2012; Gorodetskaya, Irina/K-1987-2015</t>
  </si>
  <si>
    <t>van Lipzig, Nicole/0000-0003-2899-4046; Souverijns, Niels/0000-0003-4695-9754; L'Ecuyer, Tristan S/0000-0002-7584-4836; Gorodetskaya, Irina/0000-0002-2294-7823; Duran-Alarcon, Claudio/0000-0001-9559-8161; Wood, Norman/0000-0001-8228-3910; Lemonnier, Florentin/0000-0002-3209-1256; Palerme, Cyril/0000-0003-1475-7496; Berne, Alexis/0000-0003-4977-1204</t>
  </si>
  <si>
    <t>French National Research Agency [ANR-15-CE01-0003]; Belgian Science Policy Office (BELSPO) [BR/143/A2/AEROCLOUD]; Research Foundation Flanders (FWO) [G0C2215N]; CESAM [UID/AMB/50017/2019]; FCT/MEC; FEDER (PT2020 Partnership Agreement); FEDER (Compete 2020); Agence Nationale de la Recherche (ANR) [ANR-15-CE01-0003] Funding Source: Agence Nationale de la Recherche (ANR)</t>
  </si>
  <si>
    <t>French National Research Agency(Agence Nationale de la Recherche (ANR)); Belgian Science Policy Office (BELSPO)(Belgian Federal Science Policy Office); Research Foundation Flanders (FWO)(FWO); CESAM; FCT/MEC(Fundacao para a Ciencia e a Tecnologia (FCT)); FEDER (PT2020 Partnership Agreement); FEDER (Compete 2020); Agence Nationale de la Recherche (ANR)(Agence Nationale de la Recherche (ANR))</t>
  </si>
  <si>
    <t>This work was supported by the French National Research Agency (grant number: ANR-15-CE01-0003). This work was supported by the Belgian Science Policy Office (BELSPO; grant number BR/143/A2/AEROCLOUD) and the Research Foundation Flanders (FWO; grant number G0C2215N). Irina V. Gorodetskaya thanks the following for financial support: CESAM (UID/AMB/50017/2019), the FCT/MEC (through national funds) and co-funding by FEDER (within the PT2020 Partnership Agreement and Compete 2020). The authors thank Jacopo Grazioli for his help and advice during the review period and Anna-Lea Albright as well as Max Popp for their proofreading.</t>
  </si>
  <si>
    <t>10.5194/tc-13-943-2019</t>
  </si>
  <si>
    <t>HP4EB</t>
  </si>
  <si>
    <t>WOS:000461628100001</t>
  </si>
  <si>
    <t>Nishitani, N; Ruohoniemi, JM; Lester, M; Baker, JBH; Koustov, AV; Shepherd, SG; Chisham, G; Hori, T; Thomas, EG; Makarevich, RA; Marchaudon, A; Ponomarenko, P; Wild, JA; Milan, SE; Bristow, WA; Devlin, J; Miller, E; Greenwald, RA; Ogawa, T; Kikuchi, T</t>
  </si>
  <si>
    <t>Nishitani, Nozomu; Ruohoniemi, John Michael; Lester, Mark; Baker, Joseph Benjamin Harold; Koustov, Alexandre Vasilyevich; Shepherd, Simon G.; Chisham, Gareth; Hori, Tomoaki; Thomas, Evan G.; Makarevich, Roman A.; Marchaudon, Aurelie; Ponomarenko, Pavlo; Wild, James A.; Milan, Stephen E.; Bristow, William A.; Devlin, John; Miller, Ethan; Greenwald, Raymond A.; Ogawa, Tadahiko; Kikuchi, Takashi</t>
  </si>
  <si>
    <t>Review of the accomplishments of mid-latitude Super Dual Auroral Radar Network (SuperDARN) HF radars</t>
  </si>
  <si>
    <t>Mid-latitude SuperDARN; Ionosphere; Magnetosphere; Convection; Ionospheric irregularities; HF propagation analysis; Ion-neutral interactions; MHD waves</t>
  </si>
  <si>
    <t>TRAVELING IONOSPHERIC DISTURBANCES; SUBAURORAL POLARIZATION STREAM; ATMOSPHERIC GRAVITY-WAVES; MESOSPHERE SUMMER ECHOES; FLUX-TRANSFER EVENTS; TEMPERATURE-GRADIENT INSTABILITY; INTERPLANETARY MAGNETIC-FIELD; GEOMAGNETIC REFERENCE FIELD; HIGH-LATITUDE CONVECTION; E-REGION</t>
  </si>
  <si>
    <t>The Super Dual Auroral Radar Network (SuperDARN) is a network of high-frequency (HF) radars located in the high- and mid-latitude regions of both hemispheres that is operated under international cooperation. The network was originally designed for monitoring the dynamics of the ionosphere and upper atmosphere in the high-latitude regions. However, over the last approximately 15years, SuperDARN has expanded into the mid-latitude regions. With radar coverage that now extends continuously from auroral to sub-auroral and mid-latitudes, a wide variety of new scientific findings have been obtained. In this paper, the background of mid-latitude SuperDARN is presented at first. Then, the accomplishments made with mid-latitude SuperDARN radars are reviewed in five specified scientific and technical areas: convection, ionospheric irregularities, HF propagation analysis, ion-neutral interactions, and magnetohydrodynamic (MHD) waves. Finally, the present status of mid-latitude SuperDARN is updated and directions for future research are discussed.</t>
  </si>
  <si>
    <t>[Nishitani, Nozomu; Hori, Tomoaki; Kikuchi, Takashi] Nagoya Univ, Inst Space Earth Environm Res, Nagoya, Aichi 4648601, Japan; [Ruohoniemi, John Michael; Baker, Joseph Benjamin Harold; Greenwald, Raymond A.] Virginia Tech, Dept Elect &amp; Comp Engn, Blacksburg, VA USA; [Lester, Mark; Milan, Stephen E.] Univ Leicester, Leicester, Leics, England; [Koustov, Alexandre Vasilyevich; Ponomarenko, Pavlo] Univ Saskatchewan, Saskatoon, SK, Canada; [Shepherd, Simon G.; Thomas, Evan G.] Dartmouth Coll, Thayer Sch Engn, Hanover, NH 03755 USA; [Chisham, Gareth] British Antarctic Survey, Cambridge, England; [Makarevich, Roman A.; Bristow, William A.] Univ Alaska Fairbanks, Fairbanks, AK USA; [Marchaudon, Aurelie] Univ Toulouse, CNRS, Inst Rech Astrophys &amp; Planetol, CNES, Toulouse, France; [Wild, James A.] Univ Lancaster, Lancaster, England; [Devlin, John] La Trobe Univ, Melbourne, Vic, Australia; [Miller, Ethan] Johns Hopkins Univ, Appl Phys Lab, Baltimore, MD 21218 USA; [Ogawa, Tadahiko] Natl Inst Informat &amp; Commun Technol, Tokyo, Japan</t>
  </si>
  <si>
    <t>Nagoya University; Virginia Polytechnic Institute &amp; State University; University of Leicester; University of Saskatchewan; Dartmouth College; UK Research &amp; Innovation (UKRI); Natural Environment Research Council (NERC); NERC British Antarctic Survey; University of Alaska System; University of Alaska Fairbanks; Universite de Toulouse; Universite Toulouse III - Paul Sabatier; Centre National de la Recherche Scientifique (CNRS); Lancaster University; La Trobe University; Johns Hopkins University; Johns Hopkins University Applied Physics Laboratory; National Institute of Information &amp; Communications Technology (NICT) - Japan</t>
  </si>
  <si>
    <t>Nishitani, N (corresponding author), Nagoya Univ, Inst Space Earth Environm Res, Nagoya, Aichi 4648601, Japan.</t>
  </si>
  <si>
    <t>nisitani@isee.nagoya-u.ac.jp</t>
  </si>
  <si>
    <t>Nishitani, Nozomu/R-8831-2019; Ponomarenko, Pasha/IUQ-8133-2023; Lester, Mark/C-9657-2016; Wild, James Anderson/HKN-7736-2023; Thomas, Evan/B-3921-2017</t>
  </si>
  <si>
    <t>Nishitani, Nozomu/0000-0001-9842-5119; Ponomarenko, Pasha/0000-0001-8407-0193; Wild, James Anderson/0000-0001-8025-8869; Thomas, Evan/0000-0001-8036-8793; Hori, Tomoaki/0000-0001-8451-6941; shepherd, simon/0000-0003-1992-4118; Marchaudon, Aurelie/0000-0002-1625-3462; Baker, Joseph/0000-0001-6255-3039</t>
  </si>
  <si>
    <t>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United Kingdom; national scientific funding agency of United States of America; Japan Society for the Promotion of Science (JSPS) [16H06286]; JSPS [18KK0099]; NERC [bas0100031] Funding Source: UKRI; STFC [ST/N000749/1] Funding Source: UKRI; Grants-in-Aid for Scientific Research [18KK0099] Funding Source: KAKEN</t>
  </si>
  <si>
    <t>national scientific funding agency of Australia; national scientific funding agency of Canada; national scientific funding agency of China; national scientific funding agency of France; national scientific funding agency of Italy; national scientific funding agency of Japan; national scientific funding agency of Norway; national scientific funding agency of South Africa; national scientific funding agency of United Kingdom; national scientific funding agency of United States of America; Japan Society for the Promotion of Science (JSPS)(Ministry of Education, Culture, Sports, Science and Technology, Japan (MEXT)Japan Society for the Promotion of Science); JSPS(Ministry of Education, Culture, Sports, Science and Technology, Japan (MEXT)Japan Society for the Promotion of Science); NERC(UK Research &amp; Innovation (UKRI)Natural Environment Research Council (NERC)); STFC(UK Research &amp; Innovation (UKRI)Science &amp; Technology Facilities Council (STFC)); Grants-in-Aid for Scientific Research(Ministry of Education, Culture, Sports, Science and Technology, Japan (MEXT)Japan Society for the Promotion of ScienceGrants-in-Aid for Scientific Research (KAKENHI))</t>
  </si>
  <si>
    <t>SuperDARN is a collection of radars funded by national scientific funding agencies of Australia, Canada, China, France, Italy, Japan, Norway, South Africa, United Kingdom and the United States of America. Organization of the workshops for writing up the present review paper was supported by Japan Society for the Promotion of Science (JSPS) (Grant-in-Aid for Specially Promoted Research): Study of dynamical variation of particles and waves in the inner magnetosphere using ground-based network observations (PWING), Project Number: 16H06286. Completion of the present review paper was partly supported by JSPS (Grand-in-Aid for Scientific Research), Project Number: 18KK0099. Part of the work of TH was done at the ERG-Science Center operated by ISAS/JAXA and Institute for Space-Earth Environmental Research (ISEE)/Nagoya University.</t>
  </si>
  <si>
    <t>MAR 18</t>
  </si>
  <si>
    <t>10.1186/s40645-019-0270-5</t>
  </si>
  <si>
    <t>HP8PX</t>
  </si>
  <si>
    <t>Green Published, Green Accepted, gold</t>
  </si>
  <si>
    <t>WOS:000461956400001</t>
  </si>
  <si>
    <t>Shibuya, R; Sato, K</t>
  </si>
  <si>
    <t>Shibuya, Ryosuke; Sato, Kaoru</t>
  </si>
  <si>
    <t>A study of the dynamical characteristics of inertia-gravity waves in the Antarctic mesosphere combining the PANSY radar and a non-hydrostatic general circulation model</t>
  </si>
  <si>
    <t>PERIOD PLANETARY-WAVES; MOMENTUM FLUX; SATELLITE-OBSERVATIONS; DRAG PARAMETERIZATION; LOWER STRATOSPHERE; SEASONAL-VARIATION; LOWER THERMOSPHERE; UPPER-ATMOSPHERE; SYOWA STATION; MIDDLE</t>
  </si>
  <si>
    <t>This study aims to examine the dynamical characteristics of gravity waves with relatively low frequency in the Antarctic mesosphere via the first long-term simulation using a high-top high-resolution non-hydrostatic general circulation model (NICAM). Successive runs lasting 7 days are performed using initial conditions from the MERRA reanalysis data with an overlap of 2 days between consecutive runs in the period from April to August in 2016. The data for the analyses were compiled from the last 5 days of each run. The simulated wind fields were closely compared to the MERRA reanalysis data and to the observational data collected by a complete PANSY (Program of the Antarctic Syowa MST/IS radar) radar system installed at Syowa Station (39.6 degrees E, 69.0 degrees S). It is shown that the NICAM mesospheric wind fields are realistic, even though the amplitudes of the wind disturbances appear to be larger than those from the radar observations. The power spectrum of the meridional wind fluctuations at a height of 70 km has an isolated and broad peak at frequencies slightly lower than the inertial frequency, f , for latitudes from 30 to 75 degrees S, while another isolated peak is observed at frequencies of approximately 27/8 h at latitudes from 78 to 90 degrees S. The spectrum of the vertical fluxes of the zonal momentum also has an isolated peak at frequencies slightly lower than f at latitudes from 30 to 75 degrees S at a height of 70 km. It is shown that these isolated peaks are primarily composed of gravity waves with horizontal wavelengths of more than 1000 km. The latitude-height structure of the momentum fluxes indicates that the isolated peaks at frequencies slightly lower than f originate from two branches of gravity wave propagation paths. It is thought that one branch originates from 75 degrees S due to topographic gravity waves generated over the Antarctic Peninsula and its coast, while more than 80 % of the other branch originates from 45 degrees S and includes contributions by non-orographic gravity waves. The existence of isolated peaks in the high-latitude region in the mesosphere is likely explained by the poleward propagation of quasi-inertia-gravity waves and by the accumulation of wave energies near the inertial frequency at each latitude.</t>
  </si>
  <si>
    <t>[Shibuya, Ryosuke] Japan Agcy Marine Earth Sci &amp; Technol, Yokohama, Kanagawa, Japan; [Sato, Kaoru] Univ Tokyo, Dept Earth &amp; Planetary Sci, Tokyo, Japan</t>
  </si>
  <si>
    <t>Japan Agency for Marine-Earth Science &amp; Technology (JAMSTEC); University of Tokyo</t>
  </si>
  <si>
    <t>Shibuya, R (corresponding author), Japan Agcy Marine Earth Sci &amp; Technol, Yokohama, Kanagawa, Japan.</t>
  </si>
  <si>
    <t>shibuyar@jamstec.go.jp</t>
  </si>
  <si>
    <t>Sato, Kaoru/E-1693-2012</t>
  </si>
  <si>
    <t>Sato, Kaoru/0000-0002-6225-6066</t>
  </si>
  <si>
    <t>FLAGSHIP2020, MEXT; Program for Leading Graduate Schools, MEXT, Japan; Japan Society for the Promotion of Science (JSPS) [25247075]; JST CREST [JPMJCRI663]</t>
  </si>
  <si>
    <t>FLAGSHIP2020, MEXT; Program for Leading Graduate Schools, MEXT, Japan; Japan Society for the Promotion of Science (JSPS)(Ministry of Education, Culture, Sports, Science and Technology, Japan (MEXT)Japan Society for the Promotion of Science); JST CREST(Japan Science &amp; Technology Agency (JST)Core Research for Evolutional Science and Technology (CREST))</t>
  </si>
  <si>
    <t>This work is supported by FLAGSHIP2020, MEXT with the priority study4 (Advancement of meteorological and global environmental predictions utilizing observational Big Data). This study was also supported by the Program for Leading Graduate Schools, MEXT, Japan (RS), partly by the Japan Society for the Promotion of Science (JSPS) Grant-in-Aid Scientific Research (A) 25247075, and partly by JST CREST JPMJCRI663 KS).</t>
  </si>
  <si>
    <t>10.5194/acp-19-3395-2019</t>
  </si>
  <si>
    <t>HP3MP</t>
  </si>
  <si>
    <t>WOS:000461581300001</t>
  </si>
  <si>
    <t>Haase, S; Matthes, K</t>
  </si>
  <si>
    <t>Haase, Sabine; Matthes, Katja</t>
  </si>
  <si>
    <t>The importance of interactive chemistry for stratosphere-troposphere coupling</t>
  </si>
  <si>
    <t>ANTARCTIC OZONE HOLE; POLAR VORTEX; CLIMATE SENSITIVITY; SURFACE CLIMATE; ARCTIC OZONE; MODEL; IMPACT; DEPLETION; FEEDBACK; SYSTEM</t>
  </si>
  <si>
    <t>Recent observational and modeling studies suggest that stratospheric ozone depletion not only influences the surface climate in the Southern Hemisphere (SH), but also impacts Northern Hemisphere (NH) spring, which implies a strong interaction between dynamics and chemistry. Here, we systematically analyze the importance of interactive chemistry with respect to the representation of stratosphere-troposphere coupling and in particular the effects on NH surface climate during the recent past. We use the interactive and specified chemistry version of NCAR's Whole Atmosphere Community Climate Model coupled to an ocean model to investigate differences in the mean state of the NH stratosphere as well as in stratospheric extreme events, namely sudden stratospheric warmings (SSWs), and their surface impacts. To be able to focus on differences that arise from two-way interactions between chemistry and dynamics in the model, the specified chemistry model version uses a time-evolving, model-consistent ozone field generated by the interactive chemistry model version. We also test the effects of zonally symmetric versus asymmetric prescribed ozone, evaluating the importance of ozone waves in the representation of stratospheric mean state and variability. The interactive chemistry simulation is characterized by a significantly stronger and colder polar night jet (PNJ) during spring when ozone depletion becomes important. We identify a negative feedback between lower stratospheric ozone and atmospheric dynamics during the breakdown of the stratospheric polar vortex in the NH, which contributes to the different characteristics of the PNJ between the simulations. Not only the mean state, but also stratospheric variability is better represented in the interactive chemistry simulation, which shows a more realistic distribution of SSWs as well as a more persistent surface impact afterwards compared with the simulation where the feedback between chemistry and dynamics is switched off. We hypothesize that this is also related to the feedback between ozone and dynamics via the intrusion of ozone-rich air into polar latitudes during SSWs. The results from the zonally asymmetric ozone simulation are closer to the interactive chemistry simulations, implying that under a model-consistent ozone forcing, a three-dimensional (3-D) representation of the prescribed ozone field is desirable. This suggests that a 3-D ozone forcing, as recommended for the upcoming CMIP6 simulations, has the potential to improve the representation of stratospheric dynamics and chemistry. Our findings underline the importance of the representation of interactive chemistry and its feedback on the stratospheric mean state and variability not only in the SH but also in the NH during the recent past.</t>
  </si>
  <si>
    <t>[Haase, Sabine; Matthes, Katja] GEOMAR Helmholtz Ctr Ocean Res Kiel, Kiel, Germany; [Matthes, Katja] Christian Albrechts Univ Kiel, Fac Math &amp; Nat Sci, Kiel, Germany</t>
  </si>
  <si>
    <t>Helmholtz Association; GEOMAR Helmholtz Center for Ocean Research Kiel; University of Kiel</t>
  </si>
  <si>
    <t>Haase, S (corresponding author), GEOMAR Helmholtz Ctr Ocean Res Kiel, Kiel, Germany.</t>
  </si>
  <si>
    <t>shaase@geomar.de</t>
  </si>
  <si>
    <t>; Matthes, Katja/F-7361-2014</t>
  </si>
  <si>
    <t>Bischof, Sabine/0000-0002-7035-5224; Matthes, Katja/0000-0003-1801-3072</t>
  </si>
  <si>
    <t>Christian-Albrechts-University in Kiel</t>
  </si>
  <si>
    <t>We want to thank the two anonymous reviewers for their constructive comments that helped to improve the paper. We thank the computing center at Christian-Albrechts-University in Kiel for support and computer time.</t>
  </si>
  <si>
    <t>10.5194/acp-19-3417-2019</t>
  </si>
  <si>
    <t>WOS:000461581300002</t>
  </si>
  <si>
    <t>Rodríguez, A; Arcos, JM; Bretagnolle, V; Dias, MP; Holmes, ND; Louzao, M; Provencher, J; Raine, AF; Ramírez, F; Rodríguez, B; Ronconi, RA; Taylor, RS; Bonnaud, E; Borrelle, SB; Cortés, V; Descamps, S; Friesen, VL; Genoyart, M; Hedd, A; Hodum, P; Humphries, GRW; Le Corre, M; Lebarbenchon, C; Martin, R; Melvin, EF; Monteyecchi, WA; Pinet, P; Pollet, IL; Ramos, R; Russell, JC; Ryan, PG; Sanz-Aguilar, A; Spatz, DR; Travers, M; Votier, SC; Wanless, RM; Woehler, E; Chiaradia, A</t>
  </si>
  <si>
    <t>Rodriguez, Airam; Arcos, Jose M.; Bretagnolle, Vincent; Dias, Maria P.; Holmes, Nick D.; Louzao, Maite; Provencher, Jennifer; Raine, Andre F.; Ramirez, Francisco; Rodriguez, Beneharo; Ronconi, Robert A.; Taylor, Rebecca S.; Bonnaud, Elsa; Borrelle, Stephanie B.; Cortes, Veronica; Descamps, Sebastien; Friesen, Vicki L.; Genoyart, Meritxell; Hedd, April; Hodum, Peter; Humphries, Grant R. W.; Le Corre, Matthieu; Lebarbenchon, Camille; Martin, Rob; Melvin, Edward F.; Monteyecchi, William A.; Pinet, Patrick; Pollet, Ingrid L.; Ramos, Raul; Russell, James C.; Ryan, Peter G.; Sanz-Aguilar, Ana; Spatz, Dena R.; Travers, Marc; Votier, Stephen C.; Wanless, Ross M.; Woehler, Eric; Chiaradia, Andre</t>
  </si>
  <si>
    <t>Future Directions in Conservation Research on Petrels and Shearwaters</t>
  </si>
  <si>
    <t>management; marine environment; marine predator; population dynamics; Procellariiformes; research priorities; seabird conservation; threats</t>
  </si>
  <si>
    <t>PELAGIC LONGLINE FISHERIES; LIGHT-INDUCED MORTALITY; ENDANGERED BALEARIC SHEARWATER; PTERODROMA-MACROPTERA-GOULDI; REDUCES REPRODUCTIVE SUCCESS; SEA-SURFACE TEMPERATURE; MONTEIROS STORM-PETREL; GREY-FACED PETREL; SEABIRD BYCATCH; CALONECTRIS-DIOMEDEA</t>
  </si>
  <si>
    <t>Shearwaters and petrels (hereafter petrels) are highly adapted seabirds that occur across all the world's oceans. Petrels are a threatened seabird group comprising 124 species. They have bet-hedging life histories typified by extended chick rearing periods, low fecundity, high adult survival, strong philopatry, monogamy and long-term mate fidelity and are thus vulnerable to change. Anthropogenic alterations on land and at sea have led to a poor conservation status of many petrels with 52 (42%) threatened species based on IUCN criteria and 65 (52%) suffering population declines. Some species are well-studied, even being used as bioindicators of ocean health, yet for others there are major knowledge gaps regarding their breeding grounds, migratory areas or other key aspects of their biology and ecology. We assembled 38 petrel conservation researchers to summarize information regarding the most important threats according to the IUCN Red List of threatened species to identify knowledge gaps that must be filled to improve conservation and management of petrels. We highlight research advances on the main threats for petrels (invasive species at breeding grounds, bycatch, overfishing, light pollution, climate change, and pollution). We propose an ambitious goal to reverse at least some of these six main threats, through active efforts such as restoring island habitats (e.g., invasive species removal, control and prevention), improving policies and regulations at global and regional levels, and engaging local communities in conservation efforts.</t>
  </si>
  <si>
    <t>[Rodriguez, Airam] CSIC, Estn Biol Donana, Dept Evolutionary Ecol, Seville, Spain; [Arcos, Jose M.; Cortes, Veronica] SEO BirdLife, Marine Programme, Barcelona, Spain; [Bretagnolle, Vincent] CNRS, Ctr Etud Biol Chize, Chize, France; [Bretagnolle, Vincent] Univ La Rochelle, Chize, France; [Dias, Maria P.; Martin, Rob] BirdLife Int, Cambridge, England; [Dias, Maria P.] ISPA Inst Univ, Marine &amp; Environm Sci Ctr MARE, Lisbon, Portugal; [Holmes, Nick D.; Spatz, Dena R.] Isl Conservat, Santa Cruz, CA USA; [Louzao, Maite] AZTI, Pasaia, Spain; [Provencher, Jennifer; Pollet, Ingrid L.] Acadia Univ, Dept Biol, Wolfville, NS, Canada; [Raine, Andre F.; Travers, Marc] Kauai Endangered Seabird Recovery Project, Hanapepe, HI USA; [Ramirez, Francisco; Ramos, Raul] Univ Barcelona, Dept Biol Evolut Ecol &amp; Ciencies Ambientals, Fac Biol, Barcelona, Spain; [Rodriguez, Beneharo] Canary Isl Omithol &amp; Nat Hist Grp GOHNIC, Buenavista Del Norte, Spain; [Ronconi, Robert A.] Environm &amp; Climate Change Canada, Canadian Wildlife Serv, Dartmouth, NS, Canada; [Taylor, Rebecca S.; Friesen, Vicki L.] Queens Univ, Biol Dept, Kingston, ON, Canada; [Taylor, Rebecca S.] Trent Univ, Biol Dept, Peterborough, ON, Canada; [Bonnaud, Elsa] Univ Paris Saclay, Univ Paris Sud, AgroParisTech, CNRS,Ecol Systemat &amp; Evolut, Orsay, France; [Borrelle, Stephanie B.] Soc Conservat Biol, David H Smith Conservat Res Program, Washington, DC USA; [Descamps, Sebastien] Norwegian Polar Res Inst, Fram Ctr, Tromso, Norway; [Genoyart, Meritxell] CSIC, Theoret &amp; Computat Ecol Lab, Ctr Estudis Avancats Blanes, Blanes, Spain; [Hedd, April] Environm &amp; Climate Change Canada, Wildlife Res Div, Mount Pearl, NB, Canada; [Hodum, Peter] Oikonos Ecosyst Knowledge, Tacoma, WA USA; [Humphries, Grant R. W.] Black Bawks Data Sci, Fort Augustus, Scotland; [Le Corre, Matthieu] Univ Reunion, UMR ENTROPIE, St Denis, Reunion, France; [Lebarbenchon, Camille] Univ Reunion, UMR Proc Infectieux Milieu Insulaire Trop, St Denis, Reunion, France; [Melvin, Edward F.] Univ Washington, Washington Sea Grant, Seattle, WA 98195 USA; [Monteyecchi, William A.] Mem Univ Newfoundland, Psychol Dept, St John, NB, Canada; [Pinet, Patrick] LIFE Petrels, Parc Natl Reunion, St Denis, Reunion, France; [Russell, James C.] Univ Auckland, Sch Biol Sci, Auckland, New Zealand; [Ryan, Peter G.; Wanless, Ross M.] Univ Cape Town, FitzPatrick Inst African Ornithol, Cape Town, South Africa; [Sanz-Aguilar, Ana] UIB CSIC, Inst Mediterraneo Estudios Avanzados, Anim Ecol &amp; Demog Grp, Esporles, Spain; [Votier, Stephen C.] Univ Exeter, Environm &amp; Sustainabil Inst, Exeter, Cornwall, England; [Wanless, Ross M.] BirdLife South Africa, Seabird Conservat Programme, Cape Town, South Africa; [Woehler, Eric] Univ Tasmania, Inst Marine &amp; Antarctic Studies, Hobart, Tas, Australia; [Chiaradia, Andre] Phillip Isl Nat Pk, Conservat Dept, Cowes, Vic, Australia; [Chiaradia, Andre] Monash Univ, Sch Biol Sci, Clayton, Vic, Australia</t>
  </si>
  <si>
    <t>Consejo Superior de Investigaciones Cientificas (CSIC); CSIC - Estacion Biologica de Donana (EBD); Centre National de la Recherche Scientifique (CNRS); La Rochelle Universite; BirdLife International; Instituto Superior Psicologia Aplicada (ISPA); AZTI; Acadia University; University of Barcelona; Environment &amp; Climate Change Canada; Canadian Wildlife Service; Queens University - Canada; Trent University; Centre National de la Recherche Scientifique (CNRS); Universite Paris Cite; AgroParisTech; Universite Paris Saclay; Norwegian Polar Institute; Consejo Superior de Investigaciones Cientificas (CSIC); CSIC - Centre d'Estudis Avancats de Blanes (CEAB); Environment &amp; Climate Change Canada; Canadian Wildlife Service; Wildlife Research Division - Environment Canada; University of La Reunion; University of La Reunion; University of Washington; University of Washington Seattle; Memorial University Newfoundland; University of Auckland; University of Cape Town; Universitat de les Illes Balears; Consejo Superior de Investigaciones Cientificas (CSIC); University of Exeter; University of Tasmania; Monash University</t>
  </si>
  <si>
    <t>Rodríguez, A (corresponding author), CSIC, Estn Biol Donana, Dept Evolutionary Ecol, Seville, Spain.;Chiaradia, A (corresponding author), Phillip Isl Nat Pk, Conservat Dept, Cowes, Vic, Australia.;Chiaradia, A (corresponding author), Monash Univ, Sch Biol Sci, Clayton, Vic, Australia.</t>
  </si>
  <si>
    <t>airamrguez@ebd.csic.es; achiaradia@penguins.org.au</t>
  </si>
  <si>
    <t>Ramos, Raül/S-3112-2016; Arcos, Jose Manuel Pep/GRJ-0631-2022; Votier, Stephen/IUO-0154-2023; Lebarbenchon, Camille/GLQ-7287-2022; Pollet, Ingrid Louise/O-5031-2019; Chiaradia, Andre/AAG-4928-2022; Ramírez, Francisco/I-3553-2014; Louzao, Maite/N-5379-2014; Sanz-Aguilar, Ana/D-3778-2014; Martin, Rob/JNS-5628-2023; Rodríguez, Airam/D-5110-2011; Provencher, Jennifer F/J-2839-2016; Chiaradia, Andre/AFK-6634-2022; Dias, Maria P./D-1331-2012; Borrelle, Steph/Q-3658-2019; bonnaud, elsa/N-7875-2018</t>
  </si>
  <si>
    <t>Ramos, Raül/0000-0002-0551-8605; Arcos, Jose Manuel Pep/0000-0001-7486-4475; Votier, Stephen/0000-0002-0976-0167; Lebarbenchon, Camille/0000-0002-0922-7573; Pollet, Ingrid Louise/0000-0001-7207-8294; Chiaradia, Andre/0000-0002-6178-4211; Ramírez, Francisco/0000-0001-9670-486X; Sanz-Aguilar, Ana/0000-0002-4177-9749; Martin, Rob/0000-0002-5886-2581; Rodríguez, Airam/0000-0001-7882-135X; Chiaradia, Andre/0000-0002-6178-4211; Dias, Maria P./0000-0002-7281-4391; Borrelle, Steph/0000-0002-1802-7354; Woehler, Eric/0000-0002-1125-0748; Travers, Marc Simon/0000-0002-5214-8782; Rodriguez, Beneharo/0000-0002-9946-3421; Louzao, Maite/0000-0002-9997-5144; bonnaud, elsa/0000-0003-3987-3899; Hedd, April/0000-0003-2222-2627</t>
  </si>
  <si>
    <t>Juan de la Cierva programme, Spanish Ministry of Economy, Industry and Competitiveness [IJCI-2015-23913, IJCI-2015-24531]; Ramon y Cajal programme, Spanish Ministry of Economy, Industry and Competitiveness [RYC-2012-09897]; NSERC; European Union (MINOUW Project) [H2020-634495]; ZEPAMED Project; Pleamar programme; Fundacion Biodiversidad; Spanish Ministry of Ecological Transition; Phillip Island Nature Parks; CSIC Open Access Publication Support Initiative through its Unit of Information Resources for Research (URICI)</t>
  </si>
  <si>
    <t>Juan de la Cierva programme, Spanish Ministry of Economy, Industry and Competitiveness; Ramon y Cajal programme, Spanish Ministry of Economy, Industry and Competitiveness; NSERC(Natural Sciences and Engineering Research Council of Canada (NSERC)); European Union (MINOUW Project)(European Union (EU)); ZEPAMED Project; Pleamar programme; Fundacion Biodiversidad; Spanish Ministry of Ecological Transition; Phillip Island Nature Parks; CSIC Open Access Publication Support Initiative through its Unit of Information Resources for Research (URICI)</t>
  </si>
  <si>
    <t>AR and FR were supported by Juan de la Cierva programme, Spanish Ministry of Economy, Industry and Competitiveness (IJCI-2015-23913 and IJCI-2015-24531). ML was funded by the Ramon y Cajal programme (RYC-2012-09897), Spanish Ministry of Economy, Industry and Competitiveness. WM was supported by an NSERC Discovery grant. MG was partially supported by the European Union (MINOUW Project, H2020-634495). JMA and VC were supported by ZEPAMED Project, Pleamar programme, Fundacion Biodiversidad, Spanish Ministry of Ecological Transition. We are grateful for the logistic support and funding from the Phillip Island Nature Parks and the CSIC Open Access Publication Support Initiative through its Unit of Information Resources for Research (URICI).</t>
  </si>
  <si>
    <t>10.3389/fmars.2019.00094</t>
  </si>
  <si>
    <t>HQ9DH</t>
  </si>
  <si>
    <t>WOS:000462726300001</t>
  </si>
  <si>
    <t>Romero-Wolf, A; Wissel, SA; Schoorlemmer, H; Carvalho, WR; Alvarez-Muñiz, J; Zas, E; Allison, P; Banerjee, O; Batten, L; Beatty, JJ; Bechtol, K; Belov, K; Besson, DZ; Binns, WR; Bugaev, V; Cao, P; Chen, CC; Chen, CH; Chen, P; Clem, JM; Connolly, A; Cremonesi, L; Dailey, B; Deaconu, C; Dowkontt, PF; Fox, BD; Gordon, JWH; Gorham, PW; Hast, C; Hill, B; Hsu, SY; Huang, JJ; Hughes, K; Hupe, R; Israel, MH; Liewer, KM; Liu, TC; Ludwig, AB; Macchiarulo, L; Matsuno, S; Miki, C; Mulrey, K; Nam, J; Naudet, CC; Nichol, RJ; Novikov, A; Oberla, E; Prohira, S; Rauch, BF; Roberts, JM; Rotter, B; Russell, JW; Saltzberg, D; Seckel, D; Shiao, J; Stafford, S; Stockham, J; Stockham, M; Strutt, B; Sutherland, MS; Varner, GS; Vieregg, AG; Wang, SH</t>
  </si>
  <si>
    <t>Romero-Wolf, A.; Wissel, S. A.; Schoorlemmer, H.; Carvalho Jr, W. R.; Alvarez-Muniz, J.; Zas, E.; Allison, P.; Banerjee, O.; Batten, L.; Beatty, J. J.; Bechtol, K.; Belov, K.; Besson, D. Z.; Binns, W. R.; Bugaev, V; Cao, P.; Chen, C. C.; Chen, C. H.; Chen, P.; Clem, J. M.; Connolly, A.; Cremonesi, L.; Dailey, B.; Deaconu, C.; Dowkontt, P. F.; Fox, B. D.; Gordon, J. W. H.; Gorham, P. W.; Hast, C.; Hill, B.; Hsu, S. Y.; Huang, J. J.; Hughes, K.; Hupe, R.; Israel, M. H.; Liewer, K. M.; Liu, T. C.; Ludwig, A. B.; Macchiarulo, L.; Matsuno, S.; Miki, C.; Mulrey, K.; Nam, J.; Naudet, C. C.; Nichol, R. J.; Novikov, A.; Oberla, E.; Prohira, S.; Rauch, B. F.; Roberts, J. M.; Rotter, B.; Russell, J. W.; Saltzberg, D.; Seckel, D.; Shiao, J.; Stafford, S.; Stockham, J.; Stockham, M.; Strutt, B.; Sutherland, M. S.; Varner, G. S.; Vieregg, A. G.; Wang, S. H.</t>
  </si>
  <si>
    <t>Comprehensive analysis of anomalous ANITA events disfavors a diffuse tau-neutrino flux origin</t>
  </si>
  <si>
    <t>PHYSICAL REVIEW D</t>
  </si>
  <si>
    <t>ATMOSPHERIC SHOWERS; RADIO PULSES; ENERGY; SIMULATIONS</t>
  </si>
  <si>
    <t>Recently, the ANITA collaboration reported on two upward-going extensive air shower events consistent with a primary particle that emerges from the surface of the Antarctic ice sheet. These events may be of nu(tau) origin, in which the neutrino interacts within the Earth to produce a tau lepton that emerges from the Earth, decays in the atmosphere, and initiates an extensive air shower. In this paper we estimate an upper bound on the ANITA acceptance to a diffuse nu(tau) flux detected via tau-lepton-induced air showers within the bounds of standard model uncertainties. By comparing this estimate with the acceptance of Pierre Auger Observatory and IceCube and assuming standard model interactions, we conclude that a nu(tau) origin of these events would imply a neutrino flux at least two orders of magnitude above current bounds.</t>
  </si>
  <si>
    <t>[Romero-Wolf, A.; Belov, K.; Liewer, K. M.; Naudet, C. C.] CALTECH, Jet Prop Lab, 4800 Oak Grove Dr, Pasadena, CA 91109 USA; [Wissel, S. A.] Calif Polytech State Univ San Luis Obispo, San Luis Obispo, CA 93407 USA; [Schoorlemmer, H.] Max Planck Inst Kernphys, D-69117 Heidelberg, Germany; [Carvalho Jr, W. R.] Univ Sao Paulo, Dept Fis, BR-05508090 Sao Paulo, Brazil; [Carvalho Jr, W. R.; Alvarez-Muniz, J.; Zas, E.] Univ Santiago de Compostela, Dept Fis Particulas, Santiago De Compostela 15782, Spain; [Carvalho Jr, W. R.; Alvarez-Muniz, J.; Zas, E.] Univ Santiago de Compostela, Inst Galego Fis Altos Enerxias, Santiago De Compostela 15782, Spain; [Allison, P.; Banerjee, O.; Beatty, J. J.; Connolly, A.; Dailey, B.; Gordon, J. W. H.; Hughes, K.; Hupe, R.; Stafford, S.; Sutherland, M. S.] Ohio State Univ, Dept Phys, Ctr Cosmol &amp; AstroParticle Phys, 174 W 18th Ave, Columbus, OH 43210 USA; [Batten, L.; Cremonesi, L.; Nichol, R. J.] UCL, Dept Phys &amp; Astron, London WC1E 6BT, England; [Bechtol, K.; Deaconu, C.; Hughes, K.; Ludwig, A. B.; Oberla, E.; Vieregg, A. G.] Univ Chicago, Enrico Fermi Inst, Dept Phys, Kavli Inst Cosmol Phys, Chicago, IL 60637 USA; [Bechtol, K.] Univ Wisconsin, Dept Phys, Madison, WI 53706 USA; [Besson, D. Z.; Novikov, A.; Prohira, S.; Stockham, J.; Stockham, M.] Univ Kansas, Dept Phys &amp; Astron, Lawrence, KS 66045 USA; [Besson, D. Z.; Novikov, A.] Moscow Engn Phys Inst, Moscow 115409, Russia; [Binns, W. R.; Bugaev, V; Dowkontt, P. F.; Israel, M. H.; Rauch, B. F.] Washington Univ, Dept Phys, McDonnell Ctr Space Sci, St Louis, MO 63130 USA; [Cao, P.; Clem, J. M.; Mulrey, K.; Seckel, D.] Univ Delaware, Dept Phys, Newark, DE 19716 USA; [Chen, C. C.; Chen, C. H.; Chen, P.; Hsu, S. Y.; Huang, J. J.; Liu, T. C.; Nam, J.; Shiao, J.; Wang, S. H.] Natl Taiwan Univ, Dept Phys, Grad Inst Astrophys, Taipei 10617, Taiwan; [Chen, C. C.; Chen, C. H.; Chen, P.; Hsu, S. Y.; Huang, J. J.; Liu, T. C.; Nam, J.; Shiao, J.; Wang, S. H.] Natl Taiwan Univ, Leung Ctr Cosmol &amp; Particle Astrophys, Taipei 10617, Taiwan; [Fox, B. D.; Gorham, P. W.; Hill, B.; Macchiarulo, L.; Matsuno, S.; Miki, C.; Roberts, J. M.; Rotter, B.; Russell, J. W.; Varner, G. S.] Univ Hawaii Manoa, Dept Phys &amp; Astron, Honolulu, HI 96822 USA; [Hast, C.] SLAC Natl Accelerator Lab, Menlo Pk, CA 94025 USA; [Mulrey, K.] Vrije Univ Brussel, Astrophys Inst, Pl Laan 2, B-1050 Brussels, Belgium; [Roberts, J. M.] Univ Calif San Diego, Ctr Astrophys &amp; Space Sci, La Jolla, CA 92093 USA; [Saltzberg, D.; Strutt, B.] Univ Calif Los Angeles, Dept Phys &amp; Astron, Los Angeles, CA 90095 USA</t>
  </si>
  <si>
    <t>National Aeronautics &amp; Space Administration (NASA); NASA Jet Propulsion Laboratory (JPL); California Institute of Technology; California State University System; California Polytechnic State University San Luis Obispo; Max Planck Society; Universidade de Sao Paulo; Universidade de Santiago de Compostela; Universidade de Santiago de Compostela; University System of Ohio; Ohio State University; University of London; University College London; University of Chicago; University of Wisconsin System; University of Wisconsin Madison; University of Kansas; National Research Nuclear University MEPhI (Moscow Engineering Physics Institute); Washington University (WUSTL); University of Delaware; National Taiwan University; National Taiwan University; University of Hawaii System; University of Hawaii Manoa; Stanford University; United States Department of Energy (DOE); SLAC National Accelerator Laboratory; Vrije Universiteit Brussel; University of California System; University of California San Diego; University of California System; University of California Los Angeles</t>
  </si>
  <si>
    <t>Romero-Wolf, A (corresponding author), CALTECH, Jet Prop Lab, 4800 Oak Grove Dr, Pasadena, CA 91109 USA.</t>
  </si>
  <si>
    <t>Alvarez-Muniz, Jaime/H-1857-2015; zas, enrique/I-5556-2015; Beatty, James/D-9310-2011; Huang, Jian Jang/L-9953-2016; Nichol, Ryan/C-1645-2008; Belov, Konstantin V/D-2520-2013; Schoorlemmer, Harm/AAA-5604-2020; Novikov, Alexander S/L-7538-2016; Chen, Pisin/IAO-8769-2023</t>
  </si>
  <si>
    <t>Alvarez-Muniz, Jaime/0000-0002-2367-0803; Beatty, James/0000-0003-0481-4952; Nichol, Ryan/0000-0003-0557-0443; Belov, Konstantin V/0000-0002-8861-110X; Schoorlemmer, Harm/0000-0002-8999-9249; Chen, Pisin/0000-0001-5251-7210; Novikov, Alexander/0000-0002-1086-7252; Cremonesi, Linda/0000-0003-0711-1056; Deaconu, Cosmin/0000-0002-4953-6397; Wissel, Stephanie/0000-0003-0569-6978; Mulrey, Katharine/0000-0001-8026-8020; Macchiarulo, Luca/0009-0004-1141-0344; Hughes, Kaeli/0000-0002-4551-9581; Romero-Wolf, Andrew/0000-0002-4992-4162; Allison, Patrick/0000-0001-8141-2653; Gorham, Peter/0000-0002-0923-9363</t>
  </si>
  <si>
    <t>National Aeronautics and Space Administration; NASA; U.S. Department of Energy, High Energy Physics Division; National Science Foundation [1752922]; Ministerio de Economia, Industria y Competitividad [FPA 2017-85114-P]; Xunta de Galicia [ED431C 2017/07]; Feder Funds; RENATA Red Nacional Tematica de Astroparticulas [FPA 2015-68783-REDT]; Maria de Maeztu Unit of Excellence [MDM-2016-0692]; Sao Paulo Research Foundation (FAPESP) [2015/15735-1]; STFC [PP/E006876/1, ST/N000285/1] Funding Source: UKRI</t>
  </si>
  <si>
    <t>National Aeronautics and Space Administration(National Aeronautics &amp; Space Administration (NASA)); NASA(National Aeronautics &amp; Space Administration (NASA)); U.S. Department of Energy, High Energy Physics Division(United States Department of Energy (DOE)); National Science Foundation(National Science Foundation (NSF)); Ministerio de Economia, Industria y Competitividad(Spanish Government); Xunta de Galicia(Xunta de Galicia); Feder Funds(European Union (EU)); RENATA Red Nacional Tematica de Astroparticulas; Maria de Maeztu Unit of Excellence; Sao Paulo Research Foundation (FAPESP)(Fundacao de Amparo a Pesquisa do Estado de Sao Paulo (FAPESP)); STFC(UK Research &amp; Innovation (UKRI)Science &amp; Technology Facilities Council (STFC))</t>
  </si>
  <si>
    <t>Part of this work was carried out at the Jet Propulsion Laboratory, California Institute of Technology, under a contract with the National Aeronautics and Space Administration. We thank NASA for their generous support of ANITA, the Columbia Scientific Balloon Facility for their excellent field support, and the National Science Foundation for their Antarctic operations support. This work was also supported by the U.S. Department of Energy, High Energy Physics Division. S. A. W. thanks the National Science Foundation for support through Grant No. 1752922. J. A-M and E. Z. thank Ministerio de Economia, Industria y Competitividad (FPA 2017-85114-P), Xunta de Galicia (ED431C 2017/07), Feder Funds, RENATA Red Nacional Tematica de Astroparticulas (FPA 2015-68783-REDT) and Maria de Maeztu Unit of Excellence (MDM-2016-0692). W. C. thanks Grant No. 2015/15735-1, Sao Paulo Research Foundation (FAPESP). We thank N. Armesto and G. Parente for fruitful discussions on the neutrino cross section and tau lepton energy-loss models. (c) 2019. All rights reserved.</t>
  </si>
  <si>
    <t>AMER PHYSICAL SOC</t>
  </si>
  <si>
    <t>COLLEGE PK</t>
  </si>
  <si>
    <t>ONE PHYSICS ELLIPSE, COLLEGE PK, MD 20740-3844 USA</t>
  </si>
  <si>
    <t>2470-0010</t>
  </si>
  <si>
    <t>2470-0029</t>
  </si>
  <si>
    <t>PHYS REV D</t>
  </si>
  <si>
    <t>Phys. Rev. D</t>
  </si>
  <si>
    <t>10.1103/PhysRevD.99.063011</t>
  </si>
  <si>
    <t>Astronomy &amp; Astrophysics; Physics, Particles &amp; Fields</t>
  </si>
  <si>
    <t>Astronomy &amp; Astrophysics; Physics</t>
  </si>
  <si>
    <t>HP7ZR</t>
  </si>
  <si>
    <t>WOS:000461909600003</t>
  </si>
  <si>
    <t>Gao, CC; Lu, Y; Zhang, ZZ; Shi, HL</t>
  </si>
  <si>
    <t>Gao, Chunchun; Lu, Yang; Zhang, Zizhan; Shi, Hongling</t>
  </si>
  <si>
    <t>A Joint Inversion Estimate of Antarctic Ice Sheet Mass Balance Using Multi-Geodetic Data Sets</t>
  </si>
  <si>
    <t>Antarctic ice sheet; mass balance; glacial isostatic adjustment (GIA); joint inversion estimate; Gravity Recovery and Climate Experiment (GRACE); Ice; Cloud and land Elevation Satellite (ICESat); Global Positioning System (GPS)</t>
  </si>
  <si>
    <t>GLACIAL-ISOSTATIC-ADJUSTMENT; SEA-LEVEL RISE; SATELLITE-GRAVIMETRY; RECONCILED ESTIMATE; ELEVATION CHANGES; GRACE; GREENLAND; GRAVITY; SURFACE; GPS</t>
  </si>
  <si>
    <t>Many recent mass balance estimates using the Gravity Recovery and Climate Experiment (GRACE) and satellite altimetry (including two kinds of sensors of radar and laser) show that the ice mass of the Antarctic ice sheet (AIS) is in overall decline. However, there are still large differences among previously published estimates of the total mass change, even in the same observed periods. The considerable error sources mainly arise from the forward models (e.g., glacial isostatic adjustment [GIA] and firn compaction) that may be uncertain but indispensable to simulate some processes not directly measured or obtained by these observations. To minimize the use of these forward models, we estimate the mass change of ice sheet and present-day GIA using multi-geodetic observations, including GRACE and Ice, Cloud and land Elevation Satellite (ICESat), as well as Global Positioning System (GPS), by an improved method of joint inversion estimate (JIE), which enables us to solve simultaneously for the Antarctic GIA and ice mass trends. The GIA uplift rates generated from our JIE method show a good agreement with the elastic-corrected GPS uplift rates, and the total GIA-induced mass change estimate for the AIS is 54 +/- 27 Gt/yr, which is in line with many recent GPS calibrated GIA estimates. Our GIA result displays the presence of significant uplift rates in the Amundsen Sea Embayment of West Antarctica, where strong uplift has been observed by GPS. Over the period February 2003 to October 2009, the entire AIS changed in mass by -84 +/- 31 Gt/yr (West Antarctica: -69 +/- 24, East Antarctica: 12 +/- 16 and the Antarctic Peninsula: -27 +/- 8), greater than the GRACE-only estimates obtained from three Mascon solutions (CSR: -50 +/- 30, JPL: -71 +/- 30, and GSFC: -51 +/- 33 Gt/yr) for the same period. This may imply that single GRACE data tend to underestimate ice mass loss due to the signal leakage and attenuation errors of ice discharge are often worse than that of surface mass balance over the AIS.</t>
  </si>
  <si>
    <t>[Gao, Chunchun] Nanyang Normal Univ, Dept Environm Sci &amp; Tourism, Nanyang 473061, Peoples R China; [Gao, Chunchun] Acad Sinica, Inst Earth Sci, Taipei 11529, Taiwan; [Lu, Yang; Zhang, Zizhan; Shi, Hongling] Chinese Acad Sci, Inst Geodesy &amp; Geophys, State Key Lab Geodesy &amp; Earths Dynam, Wuhan 430077, Hubei, Peoples R China; [Lu, Yang] Univ Chinese Acad Sci, Beijing 100049, Peoples R China</t>
  </si>
  <si>
    <t>Nanyang Normal College; Academia Sinica - Taiwan; Chinese Academy of Sciences; Innovation Academy for Precision Measurement Science &amp; Technology, CAS; Chinese Academy of Sciences; University of Chinese Academy of Sciences, CAS</t>
  </si>
  <si>
    <t>Gao, CC (corresponding author), Nanyang Normal Univ, Dept Environm Sci &amp; Tourism, Nanyang 473061, Peoples R China.;Gao, CC (corresponding author), Acad Sinica, Inst Earth Sci, Taipei 11529, Taiwan.</t>
  </si>
  <si>
    <t>gaocc@nynu.edu.cn; luyang@whigg.ac.cn; zzhang@asch.whigg.ac.cn; hlshi@asch.whigg.ac.cn</t>
  </si>
  <si>
    <t>Zhang, Zizhan/F-5705-2016; Gao, Chunchun/AAD-9621-2019; SHI, HL/HHC-5506-2022</t>
  </si>
  <si>
    <t>SHI, HL/0000-0003-2045-7115</t>
  </si>
  <si>
    <t>National Natural Science Foundation of China [41604009, 41674085, 41874098]; Taiwan Ministry of Science and Technology [106-2116-M-001-013]; Scientific Research Foundation for Advanced Talents of Nanyang Normal University [ZX201722]</t>
  </si>
  <si>
    <t>National Natural Science Foundation of China(National Natural Science Foundation of China (NSFC)); Taiwan Ministry of Science and Technology; Scientific Research Foundation for Advanced Talents of Nanyang Normal University</t>
  </si>
  <si>
    <t>This research was funded by the National Natural Science Foundation of China (41604009, 41674085, and 41874098), Taiwan Ministry of Science and Technology via grant 106-2116-M-001-013, and Scientific Research Foundation for Advanced Talents of Nanyang Normal University (ZX201722).</t>
  </si>
  <si>
    <t>MAR 17</t>
  </si>
  <si>
    <t>10.3390/rs11060653</t>
  </si>
  <si>
    <t>HT4TJ</t>
  </si>
  <si>
    <t>WOS:000464555900002</t>
  </si>
  <si>
    <t>Hartley, DP; Kletzing, CA; Chen, L; Horne, RB; Santolík, O</t>
  </si>
  <si>
    <t>Hartley, D. P.; Kletzing, C. A.; Chen, L.; Horne, R. B.; Santolik, O.</t>
  </si>
  <si>
    <t>Van Allen Probes Observations of Chorus Wave Vector Orientations: Implications for the Chorus-to-Hiss Mechanism</t>
  </si>
  <si>
    <t>Van Allen Probes; EMFISIS; chorus waves; plasmaspheric hiss; plasmaspheric plumes; wave normal angle</t>
  </si>
  <si>
    <t>RADIATION BELT ELECTRONS; WHISTLER-MODE WAVES; PLASMASPHERIC HISS; STATISTICAL-ANALYSIS; SHEATH IMPEDANCE; ORIGIN; PROPAGATION; GENERATION; SCATTERING; EVOLUTION</t>
  </si>
  <si>
    <t>Using observations from the Van Allen Probes EMFISIS instrument, coupled with ray tracing simulations, we determine the fraction of chorus wave power with the conditions required to access the plasmasphere and evolve into plasmaspheric hiss. It is found that only an extremely small fraction of chorus occurs with the required wave vector orientation, carrying only a small fraction of the total chorus wave power. The exception is on the edge of plasmaspheric plumes, where strong azimuthal density gradients are present. In these cases, up to 94% of chorus wave power exists with the conditions required to access the plasmasphere. As such, we conclude that strong azimuthal density gradients are actually a requirement if a significant fraction of chorus wave power is to enter the plasmasphere and be a source of plasmaspheric hiss. This result suggests it is unlikely that chorus directly contributes a significant fraction of plasmaspheric hiss wave power. Plain Language Summary Plasmaspheric hiss waves are typically observed inside a high-density region of geospace known as the plasmasphere. Chorus waves are typically observed at higher altitudes, beyond the plasmasphere region, where the density is substantially lower. Despite the differences between these two wave types, it has been proposed that chorus waves may propagate in such a way that they enter the plasmasphere, where they become a source of plasmaspheric hiss. However, this mechanism can only occur if chorus waves have a specific set of initial conditions. In this study, we find that chorus waves are rarely observed with these required conditions. Only in a spatially limited region close to the edge of plasmaspheric plume structures, where chorus wave power is typically weaker, do we observe a significant fraction of chorus waves that exist with the conditions required to propagate into the plasmasphere. This result qualitatively indicates that chorus waves may not be a substantial source of plasmaspheric hiss.</t>
  </si>
  <si>
    <t>[Hartley, D. P.; Kletzing, C. A.] Univ Iowa, Dept Phys &amp; Astron, Iowa City, IA 52242 USA; [Chen, L.] Univ Texas Dallas, Dept Phys, Richardson, TX 75083 USA; [Horne, R. B.] British Antarctic Survey, Cambridge, England; [Santolik, O.] Inst Atmospher Phys, Dept Space Phys, Prague, Czech Republic; [Santolik, O.] Charles Univ Prague, Fac Math &amp; Phys, Prague, Czech Republic</t>
  </si>
  <si>
    <t>University of Iowa; University of Texas System; University of Texas Dallas; UK Research &amp; Innovation (UKRI); Natural Environment Research Council (NERC); NERC British Antarctic Survey; Czech Academy of Sciences; Institute of Atmospheric Physics of the Czech Academy of Sciences; Charles University Prague</t>
  </si>
  <si>
    <t>Hartley, DP (corresponding author), Univ Iowa, Dept Phys &amp; Astron, Iowa City, IA 52242 USA.</t>
  </si>
  <si>
    <t>david-hartley@uiowa.edu</t>
  </si>
  <si>
    <t>Santolik, Ondrej/F-7766-2014; Horne, Richard B/U-3764-2019; Chen, Lunjin/L-1250-2013</t>
  </si>
  <si>
    <t>Horne, Richard B/0000-0002-0412-6407; Hartley, David/0000-0001-8630-8054; Chen, Lunjin/0000-0003-2489-3571; Kletzing, Craig/0000-0002-4136-3348</t>
  </si>
  <si>
    <t>JHU/APL contract [921647]; NASA Prime contract [NAS5-01072]; Natural Environment Research Council (NERC) Highlight Topic Grant [NE/P01738X/1]; Praemium Academiae award; [LTAUSA17070]; [GACR17-07027S]; NERC [NE/P01738X/1, bas0100031] Funding Source: UKRI</t>
  </si>
  <si>
    <t>JHU/APL contract; NASA Prime contract; Natural Environment Research Council (NERC) Highlight Topic Grant(UK Research &amp; Innovation (UKRI)Natural Environment Research Council (NERC)); Praemium Academiae award; ; ; NERC(UK Research &amp; Innovation (UKRI)Natural Environment Research Council (NERC))</t>
  </si>
  <si>
    <t>This work was performed under the support of JHU/APL contract 921647 under NASA Prime contract NAS5-01072. EMFISIS data may be obtained from the website (http://emfisis.physics.uiowa.edu/data/index). R. B. H. acknowledges the Natural Environment Research Council (NERC) Highlight Topic Grant NE/P01738X/1 (Rad-Sat). O. S. acknowledges support from grants LTAUSA17070 and GACR17-07027S and from the Praemium Academiae award.</t>
  </si>
  <si>
    <t>MAR 16</t>
  </si>
  <si>
    <t>10.1029/2019GL082111</t>
  </si>
  <si>
    <t>HQ7PK</t>
  </si>
  <si>
    <t>WOS:000462612900002</t>
  </si>
  <si>
    <t>Liu, HX; Tsutsumi, M; Liu, HL</t>
  </si>
  <si>
    <t>Liu, Huixin; Tsutsumi, Masaki; Liu, Hanli</t>
  </si>
  <si>
    <t>Vertical Structure of Terdiurnal Tides in the Antarctic MLT Region: 15-Year Observation Over Syowa (69°S, 39°E)</t>
  </si>
  <si>
    <t>atmospheric terdiurnal tides; mesospheric dynamics in Antarctica; Joule heating; atmosphere vertical coupling</t>
  </si>
  <si>
    <t>LOWER THERMOSPHERE; GRAVITY-WAVES; MESOSPHERE</t>
  </si>
  <si>
    <t>The terdiurnal tide (TDT) in the Antarctic mesosphere and lower thermosphere region is poorly known. This study examines TDT using neutral wind observations at Syowa during years of 2004-2018. TDT is found to be a significant tidal component with distinct vertical structures and seasonal evolution. (1) It shows a prominent height-dependent seasonal variation with phase reversal at 94 km. (2) The vertical wavelength in summer is similar to 40 km shorter than in winter. These features differ largely from those in the Arctic, indicating hemispheric asymmetry. The phase structure reveals a dominant upward propagating mode in local summer but superposition of more than one mode in other seasons. A downward propagating mode above 94 km in winter suggests Joule heating/ion drag as additional tidal sources to lower atmosphere ones. These results provide new constrains and benchmarks for model simulations that seek to understand terdiurnal tidal forcing mechanisms in polar regions. Plain Language Summary Terdiurnal tides in the Antarctica mesosphere and lower thermosphere region are poorly known. In this study, we examine its characteristics using long-term neutral wind observations at Syowa (69 degrees S, 39 degrees E) between January 2004 and July 2018. The analysis reveals terdiurnal tide being a significant tidal component in the Antarctica around solstices with distinct vertical structures. (1) Tides above 94 km has opposite climatological variation to that below 94 km. (2) The zonal and meridional wind components are 90 degrees phase shifted, with similar amplitude in most seasons. (3) The vertical wavelength is shorter in summer than in winter. Most of these features differ from those reported in the Arctic, indicating hemispheric asymmetry. Furthermore, the phase structure reveals a dominant upward propagating mode in local summer but superposition of more than one mode in other seasons. A downward propagating mode in winter above 95 km suggests Joule heating/ion drag as likely tidal sources from above, in addition to those from lower atmosphere. The nearly 15-year Syowa observations provide new constrains and benchmark for models that seek to understand terdiurnal tidal forcing mechanisms in polar regions.</t>
  </si>
  <si>
    <t>[Liu, Huixin] Kyushu Univ, Dept Earth &amp; Planetary Sci, Fukuoka, Fukuoka, Japan; [Tsutsumi, Masaki] Natl Inst Polar Res, Tokyo, Japan; [Liu, Hanli] Natl Ctr Atmospher Res, POB 3000, Boulder, CO 80307 USA</t>
  </si>
  <si>
    <t>Kyushu University; Research Organization of Information &amp; Systems (ROIS); National Institute of Polar Research (NIPR) - Japan; National Center Atmospheric Research (NCAR) - USA</t>
  </si>
  <si>
    <t>Liu, HX (corresponding author), Kyushu Univ, Dept Earth &amp; Planetary Sci, Fukuoka, Fukuoka, Japan.</t>
  </si>
  <si>
    <t>liu.huixin.295@m.kyushu-u.ac.jp</t>
  </si>
  <si>
    <t>Liu, Han/HMD-9231-2023; Liu, Huixin/AAO-9622-2020; Liu, Han-Li/A-9549-2008</t>
  </si>
  <si>
    <t>Liu, Han/0000-0002-5269-8477; Liu, Han-Li/0000-0002-6370-0704</t>
  </si>
  <si>
    <t>JSPS KAKENHI [18H01270, 18H04446, 17KK0095]; Grants-in-Aid for Scientific Research [18H01270, 17KK0095, 18H04446]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</si>
  <si>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</si>
  <si>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A. Smith and A. Richmond for helpful comments and discussions. This work is supported by JSPS KAKENHI grants 18H01270, 18H04446, and 17KK0095. The data used in this study are publicly available at the Zenodo website (https://doi.org/10.5281/zenodo.2574994).</t>
  </si>
  <si>
    <t>10.1029/2019GL082155</t>
  </si>
  <si>
    <t>WOS:000462612900005</t>
  </si>
  <si>
    <t>Johnson, GC; Purkey, SG; Zilberman, NV; Roemmich, D</t>
  </si>
  <si>
    <t>Johnson, Gregory C.; Purkey, Sarah G.; Zilberman, Nathalie V.; Roemmich, Dean</t>
  </si>
  <si>
    <t>Deep Argo Quantifies Bottom Water Warming Rates in the Southwest Pacific Basin</t>
  </si>
  <si>
    <t>Deep Argo; Antarctic Bottom Water; abyssal warming</t>
  </si>
  <si>
    <t>SEA-LEVEL RISE; OCEAN WATERS; GLOBAL HEAT; LAND COAST; CIRCULATION; VENTILATION; ABYSSAL</t>
  </si>
  <si>
    <t>Data reported from mid-2014 to late 2018 by a regional pilot array of Deep Argo floats in the Southwest Pacific Basin are used to estimate regional temperature anomalies from a long-term climatology as well as regional trends over the 4.4years of float data as a function of pressure. The data show warm anomalies that increase with increasing pressure from effectively 0 near 2,000 dbar to over 10 (+/- 1)m degrees C by 4,800 dbar, uncertainties estimated at 5-95%. The 4.4-year trend estimate shows warming at an average rate of 3 (+/- 1)m degrees C/year from 5,000 to 5,600dbar, in the near-homogeneous layer of cold, dense bottom water of Antarctic origin. These results suggest acceleration of previously reported long-term warming trends in the abyssal waters in this region. They also demonstrate the ability of Deep Argo to quantify changes in the deep ocean in near real-time over short periods with high accuracy. Plain Language Summary The coldest waters that fill much of the deep ocean worldwide originate near Antarctica. Temperature data collected from oceanographic cruises around the world at roughly 10-year intervals show that these near-bottom waters have been warming on average since the 1990s, absorbing a substantial amount of heat. Data from an array of robotic profiling Deep Argo floats deployed in the Southwest Pacific Ocean starting in mid-2014 reveal that near-bottom waters there have continued to warm over the past 4.4years. Furthermore, these new data suggest an acceleration of that warming rate. These data show that Deep Argo floats are capable of accurately measuring regional changes in the deep ocean. The ocean is the largest sink of heat on our warming planet. A global array of Deep Argo floats would provide data on how much Earth's climate system is warming and possibly improve predictions of future warming.</t>
  </si>
  <si>
    <t>[Johnson, Gregory C.] NOAA, Pacific Marine Environm Lab, 7600 Sand Point Way Ne, Seattle, WA 98115 USA; [Purkey, Sarah G.; Zilberman, Nathalie V.; Roemmich, Dean] Univ Calif San Diego, Scripps Inst Oceanog, La Jolla, CA 92093 USA</t>
  </si>
  <si>
    <t>National Oceanic Atmospheric Admin (NOAA) - USA; University of California System; University of California San Diego; Scripps Institution of Oceanography</t>
  </si>
  <si>
    <t>Johnson, GC (corresponding author), NOAA, Pacific Marine Environm Lab, 7600 Sand Point Way Ne, Seattle, WA 98115 USA.</t>
  </si>
  <si>
    <t>gregory.c.johnson@noaa.gov</t>
  </si>
  <si>
    <t>Purkey, Sarah G/K-1983-2012; Johnson, Gregory C/I-6559-2012</t>
  </si>
  <si>
    <t>Johnson, Gregory C/0000-0002-8023-4020; Purkey, Sarah/0000-0002-1893-6224; Zilberman, Nathalie/0000-0002-5855-1994</t>
  </si>
  <si>
    <t>Global Ocean Monitoring and Observing program; National Oceanic and Atmospheric Administration (NOAA); U.S. Department of Commerce and NOAA Research; SIO CIMEC Argo (NOAA grant) [NA15OAR4320071]; NOAA [NA18OAR0110434]</t>
  </si>
  <si>
    <t>Global Ocean Monitoring and Observing program; National Oceanic and Atmospheric Administration (NOAA)(National Oceanic Atmospheric Admin (NOAA) - USA); U.S. Department of Commerce and NOAA Research; SIO CIMEC Argo (NOAA grant); NOAA(National Oceanic Atmospheric Admin (NOAA) - USA)</t>
  </si>
  <si>
    <t>G. C. J. is supported by the Global Ocean Monitoring and Observing program, National Oceanic and Atmospheric Administration (NOAA), and U.S. Department of Commerce and NOAA Research. Participation by N. Z. was supported by SIO CIMEC Argo (NOAA grant NA15OAR4320071) and NOAA (NA18OAR0110434). We are grateful for the hard work of the engineers and scientists who developed the Deep Argo floats; the scientists, officers, and crew of all the cruises on which they were deployed; and those who pilot the floats, make their data publically available, and quality control them. Two anonymous reviewers provided constructive suggestions that improved the manuscript. PMEL contribution 4897. The WOA climatology was downloaded from https://www.nodc.noaa.gov/OC5/woa18/, and the Deep Argo data were downloaded from https://www.usgodae.org/argo/argo.html on 20 November 2018.</t>
  </si>
  <si>
    <t>10.1029/2018GL081685</t>
  </si>
  <si>
    <t>WOS:000462612900037</t>
  </si>
  <si>
    <t>Zeppetello, LRV; Donohoe, A; Battisti, DS</t>
  </si>
  <si>
    <t>Zeppetello, L. R. Vargas; Donohoe, A.; Battisti, D. S.</t>
  </si>
  <si>
    <t>Does Surface Temperature Respond to or Determine Downwelling Longwave Radiation?</t>
  </si>
  <si>
    <t>climate change; surface-atmosphere interaction; radiation; climate feedbacks</t>
  </si>
  <si>
    <t>CLIMATE FEEDBACKS</t>
  </si>
  <si>
    <t>Downward longwave radiation (DLR) is often assumed to be an independent forcing on the surface energy budget in analyses of Arctic warming and land-atmosphere interaction. We use radiative kernels to show that the DLR response to forcing is largely determined by surface temperature perturbations. We develop a method by which vertically integrated versions of the radiative kernels are combined with surface temperature and specific humidity to estimate the surface DLR response to greenhouse forcing. Through a decomposition of the DLR response, we estimate that changes in surface temperature produce at least 63% of the clear-sky DLR response in greenhouse forcing, while the changes associated with clouds account for only 11% of the full-sky DLR response. Our results suggest that surface DLR is tightly coupled to surface temperature; therefore, it cannot be considered an independent component of the surface energy budget. Plain Language Summary Longwave radiation, often referred to as thermal or infrared radiation, emitted downward by Earth's atmosphere is a primary contributor to the surface energy budget. Numerous studies have invoked longwave radiation as a driver of surface warming. This paper shows that this line of reasoning fails to account for the strong control surface temperature exerts on longwave radiation. Using radiative kernels, matrices that quantify the longwave radiation response to a climate perturbation (like global warming), we argue that any surface temperature anomaly will generate a downward longwave radiation response. This constitutes a feedback between the Earth's surface and its atmosphere. The kernels show large longwave responses to perturbations in the lowest part of the atmosphere and almost no response to perturbations at high levels; by vertically integrating the kernels, we can ignore the vertical structure of climate perturbations. Using this modification, we predict the longwave radiation response to a warming world using only the surface changes. Our prediction agrees with climate model output, suggesting that the longwave radiation response is determined primarily by surface temperature. Further, the cloud contribution to changes in longwave radiation is small. These results provide clarity on how changes in the surface energy budget should be analyzed.</t>
  </si>
  <si>
    <t>[Zeppetello, L. R. Vargas; Battisti, D. S.] Univ Washington, Dept Atmospher Sci, Seattle, WA 98195 USA; [Donohoe, A.] Univ Washington, Appl Phys Lab, Polar Sci Ctr, Seattle, WA 98105 USA</t>
  </si>
  <si>
    <t>University of Washington; University of Washington Seattle; University of Washington; University of Washington Seattle</t>
  </si>
  <si>
    <t>Zeppetello, LRV (corresponding author), Univ Washington, Dept Atmospher Sci, Seattle, WA 98195 USA.</t>
  </si>
  <si>
    <t>lvz7@uw.edu</t>
  </si>
  <si>
    <t>; Battisti, David/A-3340-2013</t>
  </si>
  <si>
    <t>Vargas Zeppetello, Lucas/0000-0002-4983-0510; Battisti, David/0000-0003-4871-1293</t>
  </si>
  <si>
    <t>NSF GRFP; NSF Antarctic Program [PLR 1643436]; Tamaki Foundation</t>
  </si>
  <si>
    <t>NSF GRFP(National Science Foundation (NSF)NSF - Office of the Director (OD)); NSF Antarctic Program; Tamaki Foundation</t>
  </si>
  <si>
    <t>All climate model data were downloaded from the Earth System Grid Federation (ESGF) node hosted by Lawrence Livermore National Laboratory. The authors are grateful to all those who made the RCP8.5 modeling data open for public access, and to all the modeling groups who participated in the CMIP5 project. L.R.V.Z. was funded by NSF GRFP; A.D. was funded by NSF Antarctic Program Grant PLR 1643436; D.S.B. was funded by the Tamaki Foundation. The authors thank one anonymous reviewer for helpful comments.</t>
  </si>
  <si>
    <t>10.1029/2019GL082220</t>
  </si>
  <si>
    <t>WOS:000462612900050</t>
  </si>
  <si>
    <t>Abalos, M; Polvani, L; Calvo, N; Kinnison, D; Ploeger, F; Randel, W; Solomon, S</t>
  </si>
  <si>
    <t>Abalos, Marta; Polvani, Lorenzo; Calvo, Natalia; Kinnison, Douglas; Ploeger, Felix; Randel, William; Solomon, Susan</t>
  </si>
  <si>
    <t>New Insights on the Impact of Ozone-Depleting Substances on the Brewer-Dobson Circulation</t>
  </si>
  <si>
    <t>Brewer-Dobson circulation; ozone-depleting substances; trends; residual circulation; isentropic mixing; age of air</t>
  </si>
  <si>
    <t>CHEMISTRY-CLIMATE MODEL; STRATOSPHERIC AIR; MEAN AGE; PAST CHANGES; TRENDS; VARIABILITY; REANALYSES; INCREASE</t>
  </si>
  <si>
    <t>It has recently been recognized that, in addition to greenhouse gases, anthropogenic emissions of ozone-depleting substances (ODS) can induce long-term trends in the Brewer-Dobson circulation (BDC). Several studies have shown that a substantial fraction of the residual circulation acceleration over the last decades of the twentieth century can be attributed to increasing ODS. Here the mechanisms of this influence are examined, comparing model runs to reanalysis data and evaluating separately the residual circulation and mixing contributions to the mean age of air trends. The effects of ozone depletion in the Antarctic lower stratosphere are found to dominate the ODS impact on the BDC, while the direct radiative impact of these substances is negligible over the period of study. We find qualitative agreement in austral summer BDC trends between model and reanalysis data and show that ODS are the main driver of both residual circulation and isentropic mixing trends over the last decades of the twentieth century. Moreover, aging by isentropic mixing is shown to play a key role on ODS-driven age of air trends.</t>
  </si>
  <si>
    <t>[Abalos, Marta; Calvo, Natalia] Univ Complutense Madrid, Dept Earth Phys &amp; Astrophys, Madrid, Spain; [Polvani, Lorenzo] Columbia Univ, Dept Appl Phys &amp; Appl Math, New York, NY USA; [Kinnison, Douglas; Randel, William] Natl Ctr Atmospher Res, POB 3000, Boulder, CO 80307 USA; [Ploeger, Felix] Forschungszentrum Julich, Julich, Germany; [Ploeger, Felix] Univ Wuppertal, Inst Atmospher &amp; Environm Res, Wuppertal, Germany; [Solomon, Susan] MIT, Earth Atmospher &amp; Planetary Sci, 77 Massachusetts Ave, Cambridge, MA 02139 USA</t>
  </si>
  <si>
    <t>Complutense University of Madrid; Columbia University; National Center Atmospheric Research (NCAR) - USA; Helmholtz Association; Research Center Julich; University of Wuppertal; Massachusetts Institute of Technology (MIT)</t>
  </si>
  <si>
    <t>Abalos, M (corresponding author), Univ Complutense Madrid, Dept Earth Phys &amp; Astrophys, Madrid, Spain.</t>
  </si>
  <si>
    <t>mabalosa@ucm.es</t>
  </si>
  <si>
    <t>Polvani, Lorenzo M/E-5949-2011; Ploeger, Felix/A-1393-2013; Randel, William/K-3267-2016; Abalos, Marta/J-8455-2016</t>
  </si>
  <si>
    <t>Randel, William/0000-0002-5999-7162; Kinnison, Douglas/0000-0002-3418-0834; Ploeger, Felix/0000-0002-3427-6991; CALVO FERNANDEZ, NATALIA/0000-0001-6213-1864; Abalos, Marta/0000-0002-1267-5115</t>
  </si>
  <si>
    <t>Program Atraccion de Talento de la Comunidad de Madrid [2016-T2/AMB-1405]; Spanish National Projects STEADY [CGL2017-83198-R]; PALEOSTRAT [CGL2015-69699]; EU [603557]; Helmholtz Association [VH-NG-1128]; NSF [133814]</t>
  </si>
  <si>
    <t>Program Atraccion de Talento de la Comunidad de Madrid; Spanish National Projects STEADY; PALEOSTRAT; EU(European Union (EU)); Helmholtz Association(Helmholtz Association); NSF(National Science Foundation (NSF))</t>
  </si>
  <si>
    <t>We are thankful to Hella Garny for kindly providing the code to compute the RCTTs. M. A. acknowledges funding from the Program Atraccion de Talento de la Comunidad de Madrid (2016-T2/AMB-1405), the Spanish National Projects STEADY (CGL2017-83198-R) and N. C. acknowledges PALEOSTRAT (CGL2015-69699), and the EU 7th framework Program under grant 603557 (StratoClim). This work has been carried out using the high performance computing and storage facilities provided by CISL/NCAR. F. P. was funded by the Helmholtz Association under grant VH-NG-1128 (Helmholtz Young Investigators Group A-SPECi). S. S. is partly supported by grant 133814 from the NSF. TheWACCM data used here is available upon request to the authors. JRA-55 data are available at https://rda.ucar.edu/, and ERA-Interim data are available at http://apps.ecmwf.int/datasets/.</t>
  </si>
  <si>
    <t>10.1029/2018JD029301</t>
  </si>
  <si>
    <t>HQ1EC</t>
  </si>
  <si>
    <t>WOS:000462139800004</t>
  </si>
  <si>
    <t>Sinclair, VA; Dacre, HF</t>
  </si>
  <si>
    <t>Sinclair, V. A.; Dacre, H. F.</t>
  </si>
  <si>
    <t>Which Extratropical Cyclones Contribute Most to the Transport of Moisture in the Southern Hemisphere?</t>
  </si>
  <si>
    <t>extratropical cyclones; meridional moisture transport; Antarctica; precipitation; Southern Hemisphere</t>
  </si>
  <si>
    <t>DRONNING MAUD LAND; SNOW ACCUMULATION; CLIMATE; OCEAN; PRECIPITATION; TRACKING; SIGNALS; ORIGIN; ERA-40; TRENDS</t>
  </si>
  <si>
    <t>Predicted changes in Southern Hemisphere (SH) precipitation and Antarctic ice mass correspond to variations in the meridional moisture flux (MMF). Thirty-five years of ERA-Interim reanalysis data are combined with an extratropical cyclone (ETC) identification and tracking algorithm to investigate factors controlling SH MMF variability in the midlatitudes and near Antarctica. ETC characteristics which exert the strongest control on ETC MMF are determined thus identifying which ETCs contribute most to SH moisture transport. ETC poleward propagation speed exerts the strongest control on the ETC MMF across the Antarctic coastline. In SH winter, ETCs with the largest poleward propagation speeds transport 2.5 times more moisture than an average ETC. In the midlatitudes, ETC genesis latitude and poleward propagation speed have a similar influence on ETC MMF. Surprisingly, ETC maximum vorticity has little control on ETC MMF. Cyclone compositing is used to determine the reasons for these statistical relationships. ETCs generally exhibit a dipole of poleward and equatorward MMF downstream and upstream of the cyclone center, respectively. However, ETCs with the largest poleward propagation speeds resemble open frontal waves with strong poleward moisture transport downstream of the cyclone center only and thus result in the largest MMF. These results suggest that inhomogeneous trends and predicted changes in precipitation over Antarctica may be due to changes in cyclone track orientation, associated with changes to the large-scale background flow, in addition to changes in cyclone number or intensity.</t>
  </si>
  <si>
    <t>[Sinclair, V. A.] Univ Helsinki, Fac Sci, Inst Atmospher &amp; Earth Syst Research Phys, Helsinki, Finland; [Dacre, H. F.] Univ Reading, Dept Meteorol, Reading, Berks, England</t>
  </si>
  <si>
    <t>University of Helsinki; University of Reading</t>
  </si>
  <si>
    <t>Sinclair, VA (corresponding author), Univ Helsinki, Fac Sci, Inst Atmospher &amp; Earth Syst Research Phys, Helsinki, Finland.</t>
  </si>
  <si>
    <t>Victoria.Sinclair@helsinki.fi</t>
  </si>
  <si>
    <t>Sinclair, Victoria A/H-2943-2012</t>
  </si>
  <si>
    <t>Sinclair, Victoria A/0000-0002-2125-4726; Dacre, Helen/0000-0003-4328-9126</t>
  </si>
  <si>
    <t>Academy of Finland [307331]; Vaisala Foundation; Academy of Finland (AKA) [307331] Funding Source: Academy of Finland (AKA)</t>
  </si>
  <si>
    <t>Academy of Finland(Research Council of Finland); Vaisala Foundation; Academy of Finland (AKA)(Research Council of Finland)</t>
  </si>
  <si>
    <t>The ERA-Interim data were obtained freely online (http://apps.ecmwf.int/datasets/).Information on how to obtain the cyclone identification and tracking algorithm can be found online (http://www.nerc-essc.ac.uk/similar to kih/TRACK/Track.html).The cyclone tracks obtained from TRACK and used in this study are available from Zenodo data repository (http://doi.org/10.5281/zenodo.2559459).We thank Kevin Hodges for providing his ETC tracking code, Matt Hawcroft for providing his ETC mask code. We acknowledge ECMWF for making the ERA-Interim reanalysis data available and CSC - IT Center for Science Ltd. for the allocation of computational resources. V.A.S. is funded by the Academy of Finland (project 307331). The Vaisala Foundation is acknowledged for funding HFD trips to Helsinki. We also thank two anonymous reviewers for their comments which helped improve this paper.</t>
  </si>
  <si>
    <t>10.1029/2018JD028766</t>
  </si>
  <si>
    <t>WOS:000462139800009</t>
  </si>
  <si>
    <t>Noh, YJ; Miller, SD; Heidinger, AK; Mace, GG; Protat, A; Alexander, SP</t>
  </si>
  <si>
    <t>Noh, Yoo-Jeong; Miller, Steven D.; Heidinger, Andrew K.; Mace, Gerald G.; Protat, Alain; Alexander, Simon P.</t>
  </si>
  <si>
    <t>Satellite-Based Detection of Daytime Supercooled Liquid-Topped Mixed-Phase Clouds Over the Southern Ocean Using the Advanced Himawari Imager</t>
  </si>
  <si>
    <t>cloud phase; satellite algorithm; supercooled liquid water</t>
  </si>
  <si>
    <t>GENERAL-CIRCULATION MODEL; PART II; ATTENUATED BACKSCATTER; R/V INVESTIGATOR; CARBON-DIOXIDE; CALIPSO LIDAR; ERA-INTERIM; A-TRAIN; CLIMATE; FEEDBACKS</t>
  </si>
  <si>
    <t>Inaccurate mixed-phase cloud parameterizations over the Southern Ocean remain one of the largest sources of disagreement among global models in determining shortwave cloud radiative feedbacks. Suitable global observations supporting model improvements are currently unavailable. The conventional satellite cloud phase retrieval from passive radiometers is strongly biased toward cloud top without further information on the subcloud phase. Mixed-phase clouds with the liquid-top mixed-phase (LTMP) structures are often classified simply as supercooled liquid. This paper presents a daytime multispectral detection algorithm for LTMP clouds, based on differential absorption between liquid and ice in shortwave infrared bands (1.61 and 2.25 mu m). The LTMP algorithm, previously developed for polar-orbiting sensors, is applied to Himawari-8 Advanced Himawari Imager (the first of the next-generation geostationary satellites) to probe subcloud phase for mixed-phase clouds over the Southern Ocean. The results are compared with spaceborne active sensor data from CloudSat and CALIPSO. Ship-based field experiment measurements are examined for selected cases to provide a more direct assessment of algorithm performance. The results show that applying the LTMP algorithm to geostationary satellites has potential to provide advanced time-resolved observations for mixed-phase clouds globally with improved sublayer cloud phase information that can support enhancement and validation of global models.</t>
  </si>
  <si>
    <t>[Noh, Yoo-Jeong; Miller, Steven D.] Colorado State Univ, Cooperat Inst Res Atmosphere, Ft Collins, CO 80523 USA; [Heidinger, Andrew K.] Univ Wisconsin, NOAA, Natl Environm Satellite Data &amp; Informat Serv, Ctr Satellite Applicat &amp; Res,Adv Satellite Prod B, Madison, WI USA; [Mace, Gerald G.] Univ Utah, Dept Atmospher Sci, Salt Lake City, UT USA; [Protat, Alain] Bur Meteorol, Melbourne, Vic, Australia; [Alexander, Simon P.] Australian Antarctic Div, Kingston, Tas, Australia; [Alexander, Simon P.] Univ Tasmania, Antarctic Climate &amp; Ecosyst Cooperat Res Ctr, Hobart, Tas, Australia</t>
  </si>
  <si>
    <t>Colorado State University; National Oceanic Atmospheric Admin (NOAA) - USA; University of Wisconsin System; University of Wisconsin Madison; Utah System of Higher Education; University of Utah; Bureau of Meteorology - Australia; Australian Antarctic Division; Antarctic Climate &amp; Ecosystems Cooperative Research Centre (ACE CRC); University of Tasmania</t>
  </si>
  <si>
    <t>Noh, YJ (corresponding author), Colorado State Univ, Cooperat Inst Res Atmosphere, Ft Collins, CO 80523 USA.</t>
  </si>
  <si>
    <t>yoo-jeong.noh@colostate.edu</t>
  </si>
  <si>
    <t>Heidinger, Andrew/F-5591-2010</t>
  </si>
  <si>
    <t>Alexander, Simon/0000-0001-6823-8857; NOH, YOO-JEONG/0000-0002-1280-5258</t>
  </si>
  <si>
    <t>National Oceanic and Atmospheric Administration (NOAA) GOES-R Program [NA14OAR4320125]; Office of Naval Research through Naval Research Laboratory [BAA N00173-17-1-G015, PE-0603207-N]</t>
  </si>
  <si>
    <t>National Oceanic and Atmospheric Administration (NOAA) GOES-R Program(National Oceanic Atmospheric Admin (NOAA) - USA); Office of Naval Research through Naval Research Laboratory(Office of Naval Research)</t>
  </si>
  <si>
    <t>This work was funded by the National Oceanic and Atmospheric Administration (NOAA) GOES-R Program (NA14OAR4320125) and also supported by the Office of Naval Research through Naval Research Laboratory BAA N00173-17-1-G015 and PE-0603207-N. The CloudSat data can be obtained from the CloudSat Data Processing Center (http://www.cloudsat.cira.colostate.edu/), and the CALIPSO data are available through the Atmospheric Science Data Center (ASDC) at NASA Langley Research Center (https://eosweb.larc.nasa.gov/). Himawari-8 AHI data are distributed by the Japan Meteorological Administration for registered National Meteorological and Hydrological Services (NMHSs) users and also sold by Japan Meteorological Business Support Center (http://www.jma-net.go.jp/msc/en/). The CLAVR-x system can be obtained from the NOAA STAR Center for Satellite Applications and Research (http://cimss.ssec.wisc.edu/clavrx/) as part of the Community Satellite Processing Package (CSP). The CAPRICORN field experiment data are available upon request to Alain Protat(alain.protat@bom.gov.au) or publicly available from the CSIRO Data Access Portal (https://data.csiro.au/dap/).The information for radiative transfer model simulations in this paper is properly cited and referred to in the reference list. The views, opinions, and findings contained in this article are those of the authors and should not be construed as an official NOAA or U.S. Government position, policy, or decision.</t>
  </si>
  <si>
    <t>10.1029/2018JD029524</t>
  </si>
  <si>
    <t>WOS:000462139800018</t>
  </si>
  <si>
    <t>Tripathi, R; Rai, PK; Rai, A; Singh, S</t>
  </si>
  <si>
    <t>Tripathi, Ranjana; Rai, Pradeep Kumar; Rai, Anuradha; Singh, Surendra</t>
  </si>
  <si>
    <t>Changes in Water Soluble Protein Profile of Antarctic Cyanobacterium Nostoc Commune under Temperature Downshift from 25° to 5 °C</t>
  </si>
  <si>
    <t>GEOMICROBIOLOGY JOURNAL</t>
  </si>
  <si>
    <t>Cold shock and acclimation; cold stress proteins; cyanobacteria; LMWPs; psychrotrophic</t>
  </si>
  <si>
    <t>COLD SHOCK PROTEINS; RNA-BINDING PROTEIN; ACCLIMATION PROTEINS; BACTERIUM; IDENTIFICATION; EXPRESSION; INDUCTION</t>
  </si>
  <si>
    <t>The cyanobacterium Nostoc commune (Nostocales) is an isolate from the Schirmacher Oasis Antarctica. The cyanobacterium is psychrotropic in nature; and maintained in laboratory at 25 degrees C temperature, in unialgal form. Here, we studied the change in protein profile of water soluble proteins from exponentially growing N. commune upon downshift from its optimum growth temperature (25 degrees C) to a low temperature (5 degrees C). Experimental set up used to analyze the proteome were- a sudden shift to low temperature (i.e., cold shock), after short- (8 days) and long-term acclimation (7 weeks) to low temperature (5 degrees C). Cold-shock resulted in an increase in Low molecular weight proteins (LMWPs) with clouding of diffused proteins. Further increase in the duration of incubation period (short- and long-term acclimation) caused dissociation of proteins, indicated by NaCl (50-600mM) induced dissociation of proteins. That is, high molecular weight proteins (HMWPs) dissociated into LMWPs resulting in an increased number of protein bands. This was further confirmed by addition of LMWPs (&lt;= 10KDa) resulting in re-association of proteins into HMWPs. Hence, we report that the cold-induced synthesis of LMWPs (&lt;= 10kDa) is a strategy adopted by the N. commune to survive at low temperature of Antarctica.</t>
  </si>
  <si>
    <t>[Tripathi, Ranjana; Rai, Pradeep Kumar; Rai, Anuradha; Singh, Surendra] Banaras Hindu Univ, Ctr Adv Study Bot, Inst Sci, Varanasi, Uttar Pradesh, India</t>
  </si>
  <si>
    <t>Banaras Hindu University (BHU)</t>
  </si>
  <si>
    <t>Singh, S (corresponding author), Banaras Hindu Univ, Ctr Adv Study Bot, Varanasi 221005, Uttar Pradesh, India.</t>
  </si>
  <si>
    <t>surendrasingh.bhu@gmail.com</t>
  </si>
  <si>
    <t>Kumar, Pradeep/ABD-5701-2020</t>
  </si>
  <si>
    <t>0149-0451</t>
  </si>
  <si>
    <t>1521-0529</t>
  </si>
  <si>
    <t>GEOMICROBIOL J</t>
  </si>
  <si>
    <t>Geomicrobiol. J.</t>
  </si>
  <si>
    <t>10.1080/01490451.2018.1555293</t>
  </si>
  <si>
    <t>HP4KD</t>
  </si>
  <si>
    <t>WOS:000461644000009</t>
  </si>
  <si>
    <t>Silva, C; Santos, A; Salazar, R; Lamilla, C; Pavez, B; Meza, P; Hunter, R; Barrientos, L</t>
  </si>
  <si>
    <t>Silva, Camila; Santos, Andres; Salazar, Rodrigo; Lamilla, Claudio; Pavez, Boris; Meza, Pablo; Hunter, Renato; Barrientos, Leticia</t>
  </si>
  <si>
    <t>Evaluation of dye sensitized solar cells based on a pigment obtained from Antarctic Streptomyces fildesensis</t>
  </si>
  <si>
    <t>SOLAR ENERGY</t>
  </si>
  <si>
    <t>Bacterial pigments; Solar energy; Antarctic Streptomyces; DSSC</t>
  </si>
  <si>
    <t>MELANIN PIGMENT; PERFORMANCE; PHOTOSENSITIZER; FABRICATION; OPERATION; BACTERIA; FLOWERS; FRUIT</t>
  </si>
  <si>
    <t>The study of bacterial pigment for their application in DSSC is an in-development area of solar energy. However, studies on bacterial pigments for application in solar cells are scarce. We evaluated the use of a pigment obtained from the Antarctic So13.3 bacterial strain as a sensitizer in DSSC. Based on the sequence of the 16S gene, the So13.3 strain was identified as Streptomyces fildesensis. The bacterial pigment was characterized by UV-Vis and Fourier-Transform Infrared Spectroscopy (FTIR). Results indicate that the pigment has very similar characteristics to melanin. DSSC showed the best performance at a concentration of 6500 (mu g/mL), obtaining a voltage of 493 [mV], a current density of 0.091 [mA/cm(2)], 0.026% efficiency and a 0.579 Filling Factor (FF). Considering that there are few studies on bacterial pigments applied in DSSC, we demonstrate the importance of focusing research on pigment-producing microorganism isolation and evaluating their potential use in DSSC.</t>
  </si>
  <si>
    <t>[Santos, Andres; Salazar, Rodrigo; Lamilla, Claudio; Barrientos, Leticia] Univ La Frontera, Ctr Excellence Translat Med, Lab Appl Mol Biol, Ave Alemania 0458, Temuco 4810296, Chile; [Silva, Camila; Hunter, Renato] Univ La Frontera, Dept Mech Engn, Ave Francisco Salazar 01145, Temuco, Chile; [Pavez, Boris; Meza, Pablo] Univ La Frontera, Dept Elect Engn, Ave Francisco Salazar 01145, Temuco, Chile; [Santos, Andres; Salazar, Rodrigo; Lamilla, Claudio; Barrientos, Leticia] Univ La Frontera, Sci &amp; Technol Bioresource Nucleus BIOREN, Ave Francisco Salazar 01145, Temuco 4811230, Chile</t>
  </si>
  <si>
    <t>Universidad de La Frontera; Universidad de La Frontera; Universidad de La Frontera; Universidad de La Frontera</t>
  </si>
  <si>
    <t>Barrientos, L (corresponding author), Univ La Frontera, Ctr Excellence Translat Med, Lab Appl Mol Biol, Ave Alemania 0458, Temuco 4810296, Chile.</t>
  </si>
  <si>
    <t>leticia.barrientos@ufrontera.cl</t>
  </si>
  <si>
    <t>Barrientos, Leticia/R-6205-2017; Silva, Camila/JXX-5472-2024; Santos, Andres/AAB-2096-2022; Lamilla, Claudio/HSF-0976-2023</t>
  </si>
  <si>
    <t>Barrientos, Leticia/0000-0002-5344-054X; Silva, Camila/0009-0004-1554-2598; hunter, renato/0000-0002-6051-0905; Lamilla, Claudio Andres/0000-0003-0490-6945</t>
  </si>
  <si>
    <t>Institute Antartico Chileno (INACH); Ministerio de Relaciones Exteriores de Chile, Chile [INACH RT_14-12]; Universidad de La Frontera, Chile [DI17-0116]; CONICYT-PFCHA/Doctorado Nacional, Chile [2016-21171392]</t>
  </si>
  <si>
    <t>Institute Antartico Chileno (INACH); Ministerio de Relaciones Exteriores de Chile, Chile; Universidad de La Frontera, Chile; CONICYT-PFCHA/Doctorado Nacional, Chile</t>
  </si>
  <si>
    <t>This work was financed by the Institute Antartico Chileno (INACH), Ministerio de Relaciones Exteriores de Chile, Chile, Grant INACH RT_14-12; and Grant DI17-0116 from Universidad de La Frontera, Chile. A. Santos acknowledges the Doctoral Grant CONICYT-PFCHA/Doctorado Nacional/2016-21171392, Chile.</t>
  </si>
  <si>
    <t>0038-092X</t>
  </si>
  <si>
    <t>1471-1257</t>
  </si>
  <si>
    <t>SOL ENERGY</t>
  </si>
  <si>
    <t>Sol. Energy</t>
  </si>
  <si>
    <t>MAR 15</t>
  </si>
  <si>
    <t>10.1016/j.solener.2019.01.035</t>
  </si>
  <si>
    <t>Energy &amp; Fuels</t>
  </si>
  <si>
    <t>HR4MN</t>
  </si>
  <si>
    <t>WOS:000463120700041</t>
  </si>
  <si>
    <t>Vansteenberge, S; Verheyden, S; Genty, D; Blamart, D; Goderis, S; Van Malderen, SJM; Vanhaecke, F; Hodel, F; Gillikin, D; Ek, C; Quinif, Y; Cheng, H; Edwards, RL; Claeys, P</t>
  </si>
  <si>
    <t>Vansteenberge, Stef; Verheyden, Sophie; Genty, Dominique; Blamart, Dominique; Goderis, Steven; Van Malderen, Stijn J. M.; Vanhaecke, Frank; Hodel, Florent; Gillikin, David; Ek, Camille; Quinif, Yves; Cheng, Hai; Edwards, R. Lawrence; Claeys, Philippe</t>
  </si>
  <si>
    <t>Characterizing the Eemian-Weichselian transition in northwestern Europe with three multiproxy speleothem archives from the Belgian Han-sur-Lesse and Remouchamps cave systems</t>
  </si>
  <si>
    <t>Interglacial(s); Glacial inception; Paleoclimatology; Western Europe; Speleothems; Stable isotopes</t>
  </si>
  <si>
    <t>DEEP-WATER; PERE NOEL; CLIMATE VARIABILITY; CHRONOLOGY AICC2012; STALAGMITE EVIDENCE; SEASONAL-VARIATIONS; SOUTHERN EUROPE; TRACE-ELEMENTS; ANTARCTIC ICE; PROXY RECORDS</t>
  </si>
  <si>
    <t>Interglacial to glacial transitions represent the most drastic turnovers in the Quaternary climate system. Yet, millennial-scaled climate variability and stochastic internal variability that result in (inter)glacial transitions remain poorly understood. Here, three speleothems from two different cave systems in Belgium are investigated to characterize the Eemian to early Weichselian transition. The speleothems show high reproducibility for delta C-13, interpreted as a proxy for past vegetation activity, controlled by type of vegetation above the cave. All three speleothems show a drastic increase in delta C-13 between 118 and 117 ka, reflecting a rapid change in vegetation from last interglacial temperate tree species towards glacial open-grass vegetation. This transition shows a strong affinity with the Late Eemian Aridity Pulse (LEAP) at 118 +/- 1 ka, previously identified in pollen records from Western Germany. An age of 117.7 +/- 0.5 ka is determined for the start of this transition in the Belgian speleothems. The speleothem records show a distinct transition in the proxies between Eemian optimum conditions and increased variability during the glacial inception and therefore the Eemian-Weichselian transition is set at 117.7 +/- 0.5 ka in the speleothem records. High-resolution trace element analysis shows that the transition is initiated by a cooling pulse followed by a decrease in precipitation. Through comparison with other archives, including North-Atlantic sedimentary records, it is proposed that the transition at 117.7 ka constitutes an internal climate response caused by a substantial input of freshwater from degraded ice-sheets by the end of the Eemian (similar to 120-118 ka). (C) 2019 Elsevier Ltd. All rights reserved.</t>
  </si>
  <si>
    <t>[Vansteenberge, Stef; Verheyden, Sophie; Goderis, Steven; Claeys, Philippe] Vrije Univ Brussel, Analyt Environm &amp; Geochem, Pl Laan 2, B-1050 Brussels, Belgium; [Genty, Dominique; Blamart, Dominique] Lab Sci Climat &amp; Environm, F-91400 Gif Sur Yvette, France; [Van Malderen, Stijn J. M.; Vanhaecke, Frank] Univ Ghent, Dept Analyt Chem, Atom &amp; Mass Spectrometry Grp, Krijgslaan 281 S12, B-9000 Ghent, Belgium; [Hodel, Florent] Univ Toulouse III Paul Sabatier, Geosci Environm Toulouse, CNRS, OMP,IRD, F-31400 Toulouse, France; [Gillikin, David] Union Coll, Dept Geol, Schenectady, NY 12308 USA; [Ek, Camille] Univ Liege, B-4000 Liege, Belgium; [Quinif, Yves] Fac Polytech Mons, CERAK, B-7000 Mons, Belgium; [Cheng, Hai] Xi An Jiao Tong Univ, Inst Global Environm Change, Xian, Shaanxi, Peoples R China; [Cheng, Hai; Edwards, R. Lawrence] Univ Minnesota, Dept Earth Sci, Minneapolis, MN USA</t>
  </si>
  <si>
    <t>Vrije Universiteit Brussel; CEA; Centre National de la Recherche Scientifique (CNRS); Universite Paris Saclay; Ghent University; Universite de Toulouse; Universite Toulouse III - Paul Sabatier; Centre National de la Recherche Scientifique (CNRS); Institut de Recherche pour le Developpement (IRD); Union College; University of Liege; University of Mons; Xi'an Jiaotong University; University of Minnesota System; University of Minnesota Twin Cities</t>
  </si>
  <si>
    <t>Vansteenberge, S (corresponding author), Vrije Univ Brussel, Analyt Environm &amp; Geochem, Pl Laan 2, B-1050 Brussels, Belgium.</t>
  </si>
  <si>
    <t>stef.vansteenberge@gmail.com</t>
  </si>
  <si>
    <t>Edwards, R. Lawrence/I-3124-2014; CHENG, HAI/H-3413-2017; Vanhaecke, Frank/AAO-4582-2020; Goderis, Steven/F-9908-2011; (VUB), VRIJE UNIVERSITEIT BRUSSEL/B-4895-2008; Edwards, Richard/JAX-3732-2023</t>
  </si>
  <si>
    <t>CHENG, HAI/0000-0002-5305-9458; Vanhaecke, Frank/0000-0002-1884-3853; Goderis, Steven/0000-0002-6666-7153; (VUB), VRIJE UNIVERSITEIT BRUSSEL/0000-0002-4585-7687; Verheyden, Sophie/0000-0002-1755-0389; Hodel, Florent/0000-0001-6689-7736</t>
  </si>
  <si>
    <t>VUB Strategic Research Program</t>
  </si>
  <si>
    <t>We thank M. Gewelt for the first analysis of RSM-17, as well as the cave management of Han-sur-Lesse and Remouchamps Cave for allowing us to retrieve the samples and study the cave environment. We also thank T. Goovaerts for the treatment of the speleothem samples, D. Verstraeten for the lab assistance at the VUB stable isotope lab and J.R.M. Allen and B. Huntley for providing the data of Lago Grande di Monticchio. S. Va. is funded by the VUB Strategic Research Program. P. C. thanks Hercules foundation for the upgrade of the VUB stable isotope lab. Han-8 speleothem was sampled in the frame of the EU H2020 Past4Future Project. We also thank the two anonymous reviewers for their constructive comments that significantly improved the quality of this manuscript.</t>
  </si>
  <si>
    <t>1873-457X</t>
  </si>
  <si>
    <t>10.1016/j.quascirev.2019.01.011</t>
  </si>
  <si>
    <t>HQ0UE</t>
  </si>
  <si>
    <t>Green Published, Green Submitted</t>
  </si>
  <si>
    <t>WOS:000462109700002</t>
  </si>
  <si>
    <t>Tapia, R; Nürnberg, D; Ho, SL; Lamy, F; Ullermann, J; Gersonde, R; Tiedemann, R</t>
  </si>
  <si>
    <t>Tapia, R.; Nuernberg, D.; Ho, S. L.; Lamy, F.; Ullermann, J.; Gersonde, R.; Tiedemann, R.</t>
  </si>
  <si>
    <t>Glacial differences of Southern Ocean Intermediate Waters in the Central South Pacific</t>
  </si>
  <si>
    <t>Southern Ocean; Stable isotopes; Last Glacial Maximum; Penultimate Glacial Maximum; Intermediate water masses; Planktic foraminifera; Mg/Ca</t>
  </si>
  <si>
    <t>SEA-SURFACE TEMPERATURES; CARBON-ISOTOPE; SEDIMENT TRAPS; ANNULAR MODE; GLOBIGERINA-BULLOIDES; CLEANING PROCEDURES; FORAMINIFERAL FLUX; ICE EXTENT; CIRCULATION; VARIABILITY</t>
  </si>
  <si>
    <t>Southern Ocean Intermediate Waters (SOIWs), such as Antarctic Intermediate Water and Subantarctic Mode Water, play a key role in modulating the global climate on glacial-interglacial time scales. They link the Southern Ocean and the tropics via mechanisms such as oceanic tunneling that transport climatic signals across latitudes. Despite their importance, the past evolution of the SOIWs in the Central South Pacific is largely unknown. Here we compare paired Mg/Ca-temperature, stable carbon (delta C-13) and oxygen (delta O-18) isotope records from surface-dwelling and deep-dwelling planktic foraminifera to infer changes in the water column structure for the last 260 ka in the Central South Pacific (54 degrees S). Our study focuses on the subsurface oceanographic variability controlled by SOIWs, which are subducted at the Subantarctic Front. Our data show that the subsurface ocean in the Central South Pacific was colder and fresher during glacial stages than during the Holocene (0-10 ka BP), suggesting a general glacial enhanced presence of Antarctic Intermediate Water, in agreement with previous studies from the Eastern Equatorial Pacific and the Southeast Pacific. However, the subsurface ocean salinity differs for both glacial stages, with fresher condition during the Last Glacial Maximum (LGM; similar to 26.5-19 ka BP) and more saline condition during the Penultimate Glacial Maximum (PGM; similar to 155-140 ka BP). The delta C-13 data also show contrasting conditions for both glacial time windows in the upper water column, with a large depletion of 0.37% in delta C-13 from the LGM values, suggests a larger contribution of old low delta C-13 deep waters at intermediate depths at the study site during the PGM, plausibly due to stronger upwelling in high southern latitudes. The dissimilar scenarios between the LGM and the PGM may have been caused by processes that are analogous to the phase-switch in modern day Southern Annular Mode. (C) 2019 Elsevier Ltd. All rights reserved.</t>
  </si>
  <si>
    <t>[Tapia, R.] Univ Playa Ancha, Ctr Estudios Avanzados, Traslavina 450, Vina Del Mar, Chile; [Nuernberg, D.] Helmholtz Ctr Ocean Res Kiel, GEOMAR, Wischhofstr 1-3, D-24148 Kiel, Germany; [Ho, S. L.] Natl Taiwan Univ, Inst Oceanog, 1,Sec 4,10617 Roosevelt Rd, Taipei, Taiwan; [Lamy, F.; Ullermann, J.; Gersonde, R.; Tiedemann, R.] Helmholtz Ctr Polar &amp; Marine Res, Alfred Wegener Inst, Alten Hafen 26, D-27568 Bremerhaven, Germany</t>
  </si>
  <si>
    <t>Universidad de Playa Ancha; Helmholtz Association; GEOMAR Helmholtz Center for Ocean Research Kiel; National Taiwan University; Helmholtz Association; Alfred Wegener Institute, Helmholtz Centre for Polar &amp; Marine Research</t>
  </si>
  <si>
    <t>Tapia, R (corresponding author), Univ Playa Ancha, Ctr Estudios Avanzados, Traslavina 450, Vina Del Mar, Chile.</t>
  </si>
  <si>
    <t>raul.tapia@upla.cl</t>
  </si>
  <si>
    <t>; Tapia, Raul/H-3956-2016</t>
  </si>
  <si>
    <t>Ho, Sze Ling/0000-0002-4898-9036; Tapia, Raul/0000-0002-2620-7355</t>
  </si>
  <si>
    <t>Federal Ministry of Education and Research (BMBF, Germany) [03G0213B]; Comision Nacional de Ciencia y Tecnologia (CONICYT, Chile) through the FONDECYT-Postdoctoral program [3170206]</t>
  </si>
  <si>
    <t>Federal Ministry of Education and Research (BMBF, Germany)(Federal Ministry of Education &amp; Research (BMBF)); Comision Nacional de Ciencia y Tecnologia (CONICYT, Chile) through the FONDECYT-Postdoctoral program</t>
  </si>
  <si>
    <t>This study was funded by the Federal Ministry of Education and Research (BMBF, Germany) grant No. 03G0213B. R. Tapia is funded by the Comision Nacional de Ciencia y Tecnologia (CONICYT, Chile) through the FONDECYT-Postdoctoral program grant No. 3170206. We thank N. Gehre, L Haxhiaj, and K. Werner (GEOMAR-Kiel) for technical support and laboratory assistance. We also greatly appreciate constructive comments and encouragement provided by Helen Bostock and one anonymous reviewer. Data presented in this study are available in the Pangaea database (www.pangaea.de).</t>
  </si>
  <si>
    <t>10.1016/j.quascirev.2019.01.016</t>
  </si>
  <si>
    <t>WOS:000462109700007</t>
  </si>
  <si>
    <t>Kalwij, JM; Medan, D; Kellermann, J; Greve, M; Chown, SL</t>
  </si>
  <si>
    <t>Kalwij, Jesse M.; Medan, Diego; Kellermann, Jurgen; Greve, Michelle; Chown, Steven L.</t>
  </si>
  <si>
    <t>Vagrant birds as a dispersal vector in transoceanic range expansion of vascular plants</t>
  </si>
  <si>
    <t>LONG-DISTANCE DISPERSAL; SOUTHERN-OCEAN ISLANDS; REPRODUCTIVE ECOLOGY; PROPAGULE PRESSURE; MIGRATORY BIRDS; HIRUNDO-RUSTICA; SEED DISPERSAL; RHAMNACEAE; BIOGEOGRAPHY; ANTARCTICA</t>
  </si>
  <si>
    <t>Birds are thought to be important vectors underlying the disjunct distribution patterns of some terrestrial biota. Here, we investigate the role of birds in the colonisation by Ochetophila trinervis ( Rhamnaceae), a vascular plant from the southern Andes, of sub-Antarctic Marion Island. The location of O. trinervis on the island far from human activities, in combination with a reconstruction of island visitors' travel history, precludes an anthropogenic introduction. Notably, three bird species occurring in the southern Andes inland have been observed as vagrants on Marion Island, with the barn swallow Hirundo rustica as the most common one. This vagrant displays long-distance migratory behaviour, eats seeds when insects are in short supply, and has started breeding in South America since the 1980s. Since naturalised O. trinervis has never been found outside the southern Andes and its diaspores are incapable of surviving in seawater or dispersing by wind, a natural avian dispersal event from the Andes to Marion Island, a distance of &gt;7500 km, remains the only probable explanation. Although one self-incompatible shrub seems doomed to remain solitary, its mere establishment on a Southern Ocean island demonstrates the potential of vagrancy as a driver of extreme long-distance dispersal of terrestrial biota.</t>
  </si>
  <si>
    <t>[Kalwij, Jesse M.] Univ Johannesburg, Dept Zool, Ctr Ecol Genom &amp; Wildlife Conservat, ZA-2006 Auckland Pk, South Africa; [Kalwij, Jesse M.] Karlsruhe Inst Technol, Inst Geog &amp; Geoecol, Reinhard Baumeister Pl 1, D-76131 Karlsruhe, Germany; [Medan, Diego] Univ Buenos Aires, Fac Agron, Catedra Bot Gen, Buenos Aires, DF, Argentina; [Medan, Diego] Consejo Nacl Invest Cient &amp; Tecn, Buenos Aires, DF, Argentina; [Kellermann, Jurgen] Dept Environm &amp; Water, State Herbarium South Australia, GPO Box 1047, Adelaide, SA 5001, Australia; [Kellermann, Jurgen] Univ Adelaide, Sch Biol Sci, Adelaide, SA 5005, Australia; [Greve, Michelle] Univ Pretoria, Dept Plant &amp; Soil Sci, Private Bag X20, ZA-0028 Hatfield, South Africa; [Chown, Steven L.] Monash Univ, Sch Biol Sci, Clayton, Vic 3800, Australia</t>
  </si>
  <si>
    <t>University of Johannesburg; Helmholtz Association; Karlsruhe Institute of Technology; University of Buenos Aires; Consejo Nacional de Investigaciones Cientificas y Tecnicas (CONICET); University of Adelaide; University of Pretoria; Monash University</t>
  </si>
  <si>
    <t>Kalwij, JM (corresponding author), Univ Johannesburg, Dept Zool, Ctr Ecol Genom &amp; Wildlife Conservat, ZA-2006 Auckland Pk, South Africa.;Kalwij, JM (corresponding author), Karlsruhe Inst Technol, Inst Geog &amp; Geoecol, Reinhard Baumeister Pl 1, D-76131 Karlsruhe, Germany.</t>
  </si>
  <si>
    <t>jessek@uj.ac.za</t>
  </si>
  <si>
    <t>Kalwij, Jesse/H-2571-2012; Chown, Steven/ABD-7646-2021</t>
  </si>
  <si>
    <t>Kalwij, Jesse/0000-0002-8685-9603; Greve, Michelle/0000-0002-6229-8506</t>
  </si>
  <si>
    <t>South African National Research Foundation [110734]; Deutsche Forschungsgemeinschaft; Open Access Publishing Fund of Karlsruhe Institute of Technology</t>
  </si>
  <si>
    <t>South African National Research Foundation(National Research Foundation - South Africa); Deutsche Forschungsgemeinschaft(German Research Foundation (DFG)); Open Access Publishing Fund of Karlsruhe Institute of Technology</t>
  </si>
  <si>
    <t>This work was supported by South African National Research Foundation Grant 110734. The plant specimen was collected under permit number 6/2015 issued to M.G. Eugenia Chaia kindly collected, at the authors' request, material of Ochetophila trinervis for anatomical purposes. Greg Hofmeyr provided data from 2004. Norberto H. Montaldo helped with the compilation of avian information. We acknowledge support by Deutsche Forschungsgemeinschaft and Open Access Publishing Fund of Karlsruhe Institute of Technology.</t>
  </si>
  <si>
    <t>10.1038/s41598-019-41081-9</t>
  </si>
  <si>
    <t>HO9RX</t>
  </si>
  <si>
    <t>WOS:000461303900002</t>
  </si>
  <si>
    <t>Tanabe, Y; Hori, M; Mizuno, AN; Osono, T; Uchida, M; Kudoh, S; Yamamuro, M</t>
  </si>
  <si>
    <t>Tanabe, Yukiko; Hori, Makoto; Mizuno, Akiko N.; Osono, Takashi; Uchida, Masaki; Kudoh, Sakae; Yamamuro, Masumi</t>
  </si>
  <si>
    <t>Light quality determines primary production in nutrient-poor small lakes</t>
  </si>
  <si>
    <t>PHOSPHORUS LIMITATION; MICROBIAL MATS; UV-RADIATION; PHYTOPLANKTON; PHOTOSYNTHESIS; MODEL; BAY</t>
  </si>
  <si>
    <t>The availability of nutrients for primary producers has long been thought to be the main limiting factor for primary productivity in nutrient-poor lake ecosystems. However, recent studies have indicated that the availability of light energy is also important. On the other hand, the amount of phototroph was reported to decrease in summer in Antarctic lakes, furthermore, the light environment underwater was shown containing high amount of ultraviolet energy in small Antarctic lakes. Here, we hypothesized that primary productivity is limited by not only nutrients and simple light quantity but also light quality in nutrient-poor lakes. Then, we investigate factors influencing primary production by benthic phototrophic communities in shallow nutrient-poor lakes. We examine the relationships between primary production in 17 Antarctic freshwater lakes and nutrient concentrations in lake and benthic water, temperature and light energy. Primary production is decreased by ultraviolet energy reaching the lake bed, showing that production is determined by light quality. We also correlate ultraviolet energy in lake water with the catchment area of each lake. Our results show that the underwater light environment has an important influence on primary production as a key limitation factor and is sensitive to materials in runoff from the surrounding environment for pristine lakes.</t>
  </si>
  <si>
    <t>[Tanabe, Yukiko; Uchida, Masaki; Kudoh, Sakae] Res Org Informat &amp; Syst, Natl Inst Polar Res, 10-3 Midori Cho, Tachikawa, Tokyo 1908518, Japan; [Tanabe, Yukiko; Uchida, Masaki; Kudoh, Sakae] SOKENDAI Grad Univ Adv Studies, Dept Polar Sci, 10-3 Midori Cho, Tachikawa, Tokyo 1908518, Japan; [Hori, Makoto; Yamamuro, Masumi] Univ Tokyo, Grad Sch Frontier Sci, 5-1-5 Kashiwanoha, Kashiwa, Chiba 2778563, Japan; [Mizuno, Akiko N.] Nagoya Univ, Inst Space Earth Environm Res, Chikusa Ku, 1 Furo Cho, Nagoya, Aichi 4648601, Japan; [Osono, Takashi] Doshisha Univ, Fac Sci &amp; Engn, Dept Environm Syst Sci, 1-3 Tatara Miyakodani, Kyotanabe, Kyoto 6100394, Japan; [Yamamuro, Masumi] AIST, Inst Geol &amp; Geoinformat Geol Survey Japan GSJ, Cent 7,Higashi 1-1-1, Tsukuba, Ibaraki 3058567, Japan</t>
  </si>
  <si>
    <t>Research Organization of Information &amp; Systems (ROIS); National Institute of Polar Research (NIPR) - Japan; Graduate University for Advanced Studies - Japan; University of Tokyo; Nagoya University; Doshisha University; National Institute of Advanced Industrial Science &amp; Technology (AIST)</t>
  </si>
  <si>
    <t>Tanabe, Y (corresponding author), Res Org Informat &amp; Syst, Natl Inst Polar Res, 10-3 Midori Cho, Tachikawa, Tokyo 1908518, Japan.;Tanabe, Y (corresponding author), SOKENDAI Grad Univ Adv Studies, Dept Polar Sci, 10-3 Midori Cho, Tachikawa, Tokyo 1908518, Japan.</t>
  </si>
  <si>
    <t>ukko@nipr.ac.jp</t>
  </si>
  <si>
    <t>Osono, Takashi/N-9580-2014; YAMAMURO, Masumi/O-8027-2015</t>
  </si>
  <si>
    <t>YAMAMURO, Masumi/0000-0002-3985-4762</t>
  </si>
  <si>
    <t>JSPS KAKENHI [26310213, 21810035, 16H05885]; NIPR; Grants-in-Aid for Scientific Research [26310213, 21810035, 16H05885] Funding Source: KAKEN</t>
  </si>
  <si>
    <t>JSPS KAKENHI(Ministry of Education, Culture, Sports, Science and Technology, Japan (MEXT)Japan Society for the Promotion of ScienceGrants-in-Aid for Scientific Research (KAKENHI)); NIPR(National Institute of Polar Research (NIPR) - Japan); Grants-in-Aid for Scientific Research(Ministry of Education, Culture, Sports, Science and Technology, Japan (MEXT)Japan Society for the Promotion of ScienceGrants-in-Aid for Scientific Research (KAKENHI))</t>
  </si>
  <si>
    <t>This study was supported by JSPS KAKENHI Grant numbers 26310213, 21810035, 16H05885, and the production of this paper was supported by a NIPR publication subsidy. The authors acknowledge the members of 51st and 53rd Japanese Antarctic Research Expedition and the summer party leaders, Prof. Y. Motoyoshi and Prof. H. Yamagishi for their field support and logistic support. We also thank Prof. A. Sasaki of SOKENDAI (The Graduate University for Advanced Studies) for suggestions for the data analysis.</t>
  </si>
  <si>
    <t>10.1038/s41598-019-41003-9</t>
  </si>
  <si>
    <t>HO9RO</t>
  </si>
  <si>
    <t>WOS:000461303000021</t>
  </si>
  <si>
    <t>Cassanelli, JP; Head, JW</t>
  </si>
  <si>
    <t>Cassanelli, James P.; Head, James W.</t>
  </si>
  <si>
    <t>Assessing the formation of valley networks on a cold early Mars: Predictions for erosion rates and channel morphology</t>
  </si>
  <si>
    <t>ICARUS</t>
  </si>
  <si>
    <t>Mars; Mars, Climate; Mars Surface; Geological processes; Regoliths</t>
  </si>
  <si>
    <t>ORBITER LASER ALTIMETER; GROUND ICE; FLUVIAL VALLEYS; THERMAL EROSION; SINUS SABAEUS; ORIGIN; EVOLUTION; CLIMATE; DRAINAGE; LAVA</t>
  </si>
  <si>
    <t>The ancient Noachian highlands of Mars host an extensive population of valley networks which formed predominantly during the early geologic history of the planet. Morphologic characteristics of the valley networks have been interpreted to indicate the formation of these features through precipitation-derived fluvial activity and therefore as evidence for a relatively warm and wet Noachian Mars climate. However, these interpretations conflict with the results of sophisticated global climate modeling studies, which suggest that early Mars was dominated by a cold and icy climate with conditions characterized by adiabatic cooling and regional ice sheets within the highlands. Difficulties in replicating the warm and wet early climate conditions interpreted from the valley networks has served as the basis for alternative suggestions for the formation of valley networks by transient heating and snowmelt in an otherwise cold and icy climate. Here we test a conceptual model for valley network formation and incision under cold and icy conditions with a substrate characterized by the presence of an ice-free, desiccated surface regolith and subjacent ice-cemented regolith, similar to that found in the Antarctic McMurdo Dry Valleys on Earth. We implement numerical thermal models, quantitative erosion and transport estimates, and morphometric analyses in order to outline and test predictions for: (1) the nature and structure of the cold and icy Noachian substrate, (2) valley network fluvial erosion and incision rates, and (3) resulting channel/valley morphology. Morphologic predictions are compared against observational data to determine if the valley networks characteristics are consistent with formation in a cold and icy climate. Through this approach we present and develop the underlying conceptual model, identify and generate the fundamental data inputs required to evaluate it, and perform a preliminary first-order assessment to serve as a basis for further investigation. While these analyses have been performed over a broad parameter space to address relative uncertainties, we report findings with a specific emphasis on the nominal results. We find that under cold conditions, the substrate is characterized by a kilometers-thick, globally-continuous cryosphere with a similar to 50-100 m thick ice-free surface layer in diffusive equilibrium with the atmosphere and underlying ice-cemented regolith, the top of which forms the ice-table. Estimates of the potential infiltration capacity of the ice-free surface regolith layer indicate that surface runoff generation does not require excessively large precipitation rates, and thus does not preclude fluvial activity sourced by rainfall. Additionally, due to the predicted thicknesses of the ice-free surface regolith, any transient period of warming would need to be sustained in duration ( similar to 2 kyr) to induce melting of ground ice to initiate solifluction/gelifluction activity. The predicted range of ice-table depths is exceeded by the incised depths of a majority of the valley network population, therefore suggesting interactions were possible. Evaluation of the rates of mechanical substrate erosion and thermal ice-cement erosion by valley network fluvial activity are subject to large uncertainties due to several poorly constrained parameters (i.e. the substrate erodibility factor and the valley network fluvial water temperature) but generally indicate that at low water temperatures, consistent with a cold and icy surface environment, thermal erosion of the ice-cement can be outpaced by mechanical erosion of the substrate. In this scenario, the relative efficiency of lateral erosion is predicted to be enhanced during incision below the ice-table, causing preferential channel/valley widening and increased width-to-depth ratios. Assessment of this prediction through a morphometric analysis of valley network width-to-depth ratios and occurrence of U-shaped cross sections indicates no significant correlation to ice-table depths. This result suggests that either: (1) permafrost was not present in the Noachian Mars substrate, indicating a warmer climate, (2) the permafrost ice-table did not significantly influence valley network width-to-depth ratios, possibly owing to more rapid thermal erosion rates than mechanical, or (3) additional factors not accounted for in this analysis are involved. Potential additional factors which could influence the results of this analysis include variable surface geothermal heat flux, substrate thermal conductivity, substrate composition and physical state as well as valley network preservation state, and morphometric sampling biases (due to data availability constraints). These factors represent areas for future investigation to refine assessments of valley network formation under cold early Mars conditions.</t>
  </si>
  <si>
    <t>[Cassanelli, James P.; Head, James W.] Brown Univ, Dept Earth Environm &amp; Planetary Sci, Providence, RI 02912 USA</t>
  </si>
  <si>
    <t>Brown University</t>
  </si>
  <si>
    <t>Cassanelli, JP; Head, JW (corresponding author), Brown Univ, Dept Earth Environm &amp; Planetary Sci, Providence, RI 02912 USA.</t>
  </si>
  <si>
    <t>James_Cassanelli@Brown.edu; James_Head@Brown.edu</t>
  </si>
  <si>
    <t>[JPL 1237163]</t>
  </si>
  <si>
    <t>The quality and clarity of this manuscript was improved by thorough and insightful comments from Virginia Gulick and an anonymous reviewer. We thank David Weiss, Marc Parmentier, Jim Russell, and Caleb Fassett for helpful comments and discussion. Thanks are extended to Rebecca M. E. Williams and Ashley Palumbo for sharing data published in Williams and Phillips (2001) and Palumbo et al. (2018). We gratefully acknowledge support to JWH for participation in the Mars Express High-Resolution Stereo Camera Team (JPL 1237163).</t>
  </si>
  <si>
    <t>ACADEMIC PRESS INC ELSEVIER SCIENCE</t>
  </si>
  <si>
    <t>SAN DIEGO</t>
  </si>
  <si>
    <t>525 B ST, STE 1900, SAN DIEGO, CA 92101-4495 USA</t>
  </si>
  <si>
    <t>0019-1035</t>
  </si>
  <si>
    <t>1090-2643</t>
  </si>
  <si>
    <t>Icarus</t>
  </si>
  <si>
    <t>10.1016/j.icarus.2018.11.020</t>
  </si>
  <si>
    <t>HN7KG</t>
  </si>
  <si>
    <t>WOS:000460367200019</t>
  </si>
  <si>
    <t>Keating-Bitonti, CR; Peters, SE</t>
  </si>
  <si>
    <t>Keating-Bitonti, Caitlin R.; Peters, Shanan E.</t>
  </si>
  <si>
    <t>Influence of increasing carbonate saturation in Atlantic bottom water during the late Miocene</t>
  </si>
  <si>
    <t>Thermohaline circulation; CaCO3 preservation; Stable carbon isotopes; Macrostratigraphy; Walvis Ridge; Carbon cycling</t>
  </si>
  <si>
    <t>ANTARCTIC ICE-SHEET; CENTRAL-AMERICAN SEAWAY; DEEP-WATER; ISOTOPE STRATIGRAPHY; SOUTHWEST PACIFIC; NEOGENE HISTORY; SOUTHERN-OCEAN; CIRCULATION; CLIMATE; RECORD</t>
  </si>
  <si>
    <t>The late Miocene witnessed the tectonic uplift of the Isthmus of Panama, the onset of modern-like thermohaline circulation, changes in global patterns of deep-sea sedimentation, and a negative shift of similar to 1 parts per thousand in the carbon isotopic composition (delta C-13) of marine carbonate sediments. Although previous work has attributed the late Miocene carbon isotopic shift (LMCS) to biological and environmental factors, the reasons for this apparent shift in the global carbon cycle remain incompletely understood. Here we combine both core-based sedimentological and isotopic data from three Walvis Ridge sites in the southeastern Atlantic Ocean with macrostratigraphic data from the entire Atlantic basin to show that the LMCS marks the establishment of modern, glacial/interglacial seawater carbonate saturation levels in the Atlantic. Between 10 and 7 million years ago (Ma) the Atlantic Ocean shows a trend of increasing seafloor area preserving deep-sea carbonate sediments. Neogene carbonate sedimentation in the Atlantic Ocean peaked at 7 Ma, coinciding with a delta C-13 shift of approximately -0.8 parts per thousand in Walvis Ridge benthic foraminifera, similar to the magnitude of LMCS. Northern-sourced waters in the late Miocene likely shifted seawater carbonate chemistry throughout the Atlantic basin by introducing bottom waters with higher carbonate ion concentrations. LMCS reflects the introduction of a carbonate ion effect on North Atlantic Deep Water (NADW) by increasing Northern Hemisphere glacial carbonate weathering. A carbonate ion flux to the Labrador Seawater contribution of NADW raises the possibility of a carbonate burial-mediated feedback with the global climate system that led to additional cooling during the Miocene-Pliocene transition.</t>
  </si>
  <si>
    <t>[Keating-Bitonti, Caitlin R.; Peters, Shanan E.] Univ Wisconsin Madison, Dept Geosci, Madison, WI 53706 USA</t>
  </si>
  <si>
    <t>University of Wisconsin System; University of Wisconsin Madison</t>
  </si>
  <si>
    <t>Keating-Bitonti, CR (corresponding author), Smithsonian Inst, Natl Museum Nat Hist, Dept Paleobiol, Washington, DC 20013 USA.</t>
  </si>
  <si>
    <t>Keating-BitontiC@si.edu</t>
  </si>
  <si>
    <t>Peters, Shanan E/A-5620-2013</t>
  </si>
  <si>
    <t>Peters, Shanan E/0000-0002-3346-4317</t>
  </si>
  <si>
    <t>Geological Society of America; ConocoPhillips; National Science Foundation Graduate Research Fellowhip Program</t>
  </si>
  <si>
    <t>This work was supported by a grant from the Geological Society of America, and graduate student research fellowships awarded by ConocoPhillips and the National Science Foundation Graduate Research Fellowhip Program to C. R. Keating-Bitonti. This research used samples provided by the Integrated Ocean Drilling Program. We are grateful to Appy Sluijs and Ellen Thomas for their constructive feedback and for the comments from two anonymous reviewers that also helped to improve the manuscript. We thank Bruce H. Wilkinson, Noel A. Heim, and Stephen R. Meyers for helpful discussion. D. Clay Kelly provided invaluable guidance and discussion throughout this work. We thank Katharina Billups at the University of Delaware for running stable isotope analyses.</t>
  </si>
  <si>
    <t>10.1016/j.palaeo.2019.01.006</t>
  </si>
  <si>
    <t>HM9YS</t>
  </si>
  <si>
    <t>WOS:000459841500012</t>
  </si>
  <si>
    <t>Williams, J; Jordan, A; Harasti, D; Davies, P; Ingleton, T</t>
  </si>
  <si>
    <t>Williams, Joel; Jordan, Alan; Harasti, David; Davies, Peter; Ingleton, Tim</t>
  </si>
  <si>
    <t>Taking a deeper look: Quantifying the differences in fish assemblages between shallow and mesophotic temperate rocky reefs</t>
  </si>
  <si>
    <t>HABITAT ASSOCIATIONS; CONTINENTAL-SHELF; MARINE; PATTERNS; COMPLEXITY; ABUNDANCE; AREAS; BIODIVERSITY; MANAGEMENT; AUSTRALIA</t>
  </si>
  <si>
    <t>The spatial distribution of a species assemblage is often determined by habitat and climate. In the marine environment, depth can become an important factor as declining light and water temperature leads to changes in the biological habitat structure. To date, much of the focus of ecological fish research has been based on reefs in less than 40 m with little research on the ecological role of mesophotic reefs. We deployed baited remote underwater stereo video systems (stereo-BRUVS) on temperate reefs in two depth categories: shallow (20-40 m) and mesophotic (80-120 m), off Port Stephens, Australia. Sites were selected using data collected by swath acoustic sounder to ensure stereo-BRUVS were deployed on reef. The sounder also provided rugosity, slope and relief data for each stereo-BRUVS deployment. Multivariate analysis indicates that there are significant differences in the fish assemblages between shallow and mesophotic reefs, primarily driven by Ophthalmolepis lineolatus and Notolabrus gymnogenis only occurring on shallow reefs and schooling species of fish that were unique to each depth category: Atypichthys strigatus on shallow reefs and Centroberyx affinis on mesophotic reefs. While shallow reefs had a greater species richness and abundance of fish when compared to mesophotic reefs, mesophotic reefs hosted the same species richness of fishery-targeted species. Chrysophrys auratus and Nemodactylus douglassii are two highly targeted species in this region. While C. auratus was numerically more abundant on shallow reefs, mesophotic reefs provide habitat for larger fish. In comparison, N. douglassii were evenly distributed across all sites sampled. Generalized linear models revealed that depth and habitat type provided the most parsimonious model for predicting the distribution of C. auratus, while habitat type alone best predicted the distribution of N. douglassii. These results demonstrate the importance of mesophotic reefs to fishery-targeted species and therefore have implications for informing the management of these fishery resources on shelf rocky reefs.</t>
  </si>
  <si>
    <t>[Williams, Joel; Jordan, Alan; Harasti, David] NSW Dept Primary Ind, Fisheries Res, Nelson Bay, NSW, Australia; [Davies, Peter; Ingleton, Tim] New South Wales Off Environm &amp; Heritage, Sydney, NSW, Australia</t>
  </si>
  <si>
    <t>NSW Department of Primary Industries; Office of Environment &amp; Heritage - New South Wales</t>
  </si>
  <si>
    <t>Williams, J (corresponding author), NSW Dept Primary Ind, Fisheries Res, Nelson Bay, NSW, Australia.</t>
  </si>
  <si>
    <t>joel.williams@dpi.nsw.gov.au</t>
  </si>
  <si>
    <t>Williams, Joel/R-8997-2019</t>
  </si>
  <si>
    <t>Williams, Joel/0000-0002-4173-3855</t>
  </si>
  <si>
    <t>National Environmental Science Program;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Integrated Marine Observing System</t>
  </si>
  <si>
    <t>National Environmental Science Program; Institute for Marine and Antarctic Studies, University of Tasmania; CSIRO(Commonwealth Scientific &amp; Industrial Research Organisation (CSIRO)); Geoscience Australia; Australian Institute of Marine Science; Museum Victoria; Charles Darwin University; University of Western Australia; NSW Office of Environment and Heritage; NSW Department of Primary Industries; Integrated Marine Observing System</t>
  </si>
  <si>
    <t>This work was undertaken for the Marine Biodiversity Hub, a collaborative partnership supported through funding from the National Environmental Science Program (and previously through the National Environmental ResearchProgram). NESP Marine Biodiversity Hub partners include the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and the Integrated Marine Observing System. The funders had no role in study design, data collection and analysis, decision to publish, or preparation of the manuscript.; The study was conducted with the support of the NSW Department of Primary Industries and the NSW Office of Environment and Heritage. We would like to thank Roger Laird and Tom Davis for their assistance with the field work. Thank you to Bob Creese who provided valuable feedback and revisions. We would also like to thank the editor and two reviewers for taking the time to provide valuable suggestions to make this a better manuscript. Photos are courtesy of David Harasti, Reef Life Survey and Fishes of Australia.</t>
  </si>
  <si>
    <t>e0206778</t>
  </si>
  <si>
    <t>10.1371/journal.pone.0206778</t>
  </si>
  <si>
    <t>HO9WM</t>
  </si>
  <si>
    <t>WOS:000461316400002</t>
  </si>
  <si>
    <t>Chalk, TB; Foster, GL; Wilson, PA</t>
  </si>
  <si>
    <t>Chalk, T. B.; Foster, G. L.; Wilson, P. A.</t>
  </si>
  <si>
    <t>Dynamic storage of glacial CO2 in the Atlantic Ocean revealed by boron [CO32-] and pH records</t>
  </si>
  <si>
    <t>boron; geochemistry; palaeoceanography; carbonate system; glacial; Atlantic</t>
  </si>
  <si>
    <t>BENTHIC FORAMINIFERAL B/CA; DEEP-WATER; NORTH-ATLANTIC; ATMOSPHERIC CO2; CARBONATE CHEMISTRY; CLIMATE VARIABILITY; SOUTHERN-OCEAN; SEA; CIRCULATION; EXCHANGE</t>
  </si>
  <si>
    <t>The origin and carbon content of the deep water mass that fills the North Atlantic Basin, either Antarctic Bottom Water (AABW) or North Atlantic Deep Water (NADW) is suggested to influence the partitioning of CO2 between the ocean and atmosphere on glacial-interglacial timescales. Fluctuations in the strength of Atlantic meridional overturning circulation (AMOC) have also been shown to play a key role in global and regional climate change on timescales from annual to millennial. The North Atlantic is an important and well-studied ocean basin but many proxy records tracing ocean circulation in this region over the last glacial cycle are challenging to interpret. Here we present new B/Ca-[CO32-] and boron isotope-pH data from sites spanning the North Atlantic Ocean from 2200 to 3900 m and covering the last 130 kyr from both sides of the Mid-Atlantic Ridge. These data allow us to explore the potential of the boron-based proxies as tracers of ocean water masses to ultimately identify the changing nature of Atlantic circulation over the last 130 kyr. This possibility arises because the B/Ca and boron isotope proxies are directly and quantitatively linked to the ocean carbonate system acting as semi-conservative tracers in the modern ocean. Yet the utility of this approach has yet to be demonstrated on glacial-interglacial timescales when various processes may alter the state of the deep ocean carbonate system. We demonstrate that the deep (similar to 3400 m) North Atlantic Ocean exhibits considerable variability in terms of its carbonate chemistry through the entirety of the last glacial cycle. Our new data confirm that the last interglacial marine isotope stage (MIS) 5e has a similar deep-water geometry to the Holocene, in terms of the carbonate system. In combination with benthic foraminiferal delta C-13 and a consideration of the [CO32-] of contemporaneous southern sourced water, we infer that AABW influences the eastern abyssal North Atlantic throughout the whole of the last glacial (MIS2 through 4) whereas, only in the coldest stages (MIS2 and MIS4) of the last glacial cycle was AABW an important contributor to our deep sites in both North Atlantic basins. Taken together, our carbonate system depth profiles reveal a pattern of changing stratification within the North Atlantic that bears strong similarities to the atmospheric CO2 record, evidencing the important role played by ocean water mass geometry and the deep ocean carbonate system in driving changes in atmospheric CO2 on these timescales. (C) 2019 The Author(s). Published by Elsevier B.V.</t>
  </si>
  <si>
    <t>[Chalk, T. B.; Foster, G. L.; Wilson, P. A.] Univ Southampton, Sch Ocean &amp; Earth Sci, Natl Oceanog Ctr Southampton, Waterfront Campus, Southampton SO14 3ZH, Hants, England; [Chalk, T. B.] Woods Hole Oceanog Inst, Dept Phys Oceanog, Woods Hole, MA 02543 USA</t>
  </si>
  <si>
    <t>NERC National Oceanography Centre; University of Southampton; Woods Hole Oceanographic Institution</t>
  </si>
  <si>
    <t>Chalk, TB (corresponding author), Univ Southampton, Sch Ocean &amp; Earth Sci, Natl Oceanog Ctr Southampton, Waterfront Campus, Southampton SO14 3ZH, Hants, England.</t>
  </si>
  <si>
    <t>t.chalk@noc.soton.ac.uk</t>
  </si>
  <si>
    <t>Foster, Gavin/W-5968-2019; Foster, Gavin/CAF-4654-2022; Chalk, Thomas/AAA-4964-2022</t>
  </si>
  <si>
    <t>Foster, Gavin/0000-0003-3688-9668; Chalk, Thomas/0000-0002-2880-3847; Wilson, Paul/0000-0001-6425-8906</t>
  </si>
  <si>
    <t>NERC [NE/D00876X/2, NE/H006273/1, NE/F00141X/1, NE/I528626/1]; Royal Society Wolfson Research Merit Award; NERC [NE/P011381/1, NE/H006273/1, NE/F00141X/1, NE/D00876X/2, NE/J021075/1, NE/K014137/1] Funding Source: UKRI</t>
  </si>
  <si>
    <t>NERC(UK Research &amp; Innovation (UKRI)Natural Environment Research Council (NERC)); Royal Society Wolfson Research Merit Award(Royal Society); NERC(UK Research &amp; Innovation (UKRI)Natural Environment Research Council (NERC))</t>
  </si>
  <si>
    <t>We are grateful to Walter Hale and the staff at the Bremen core repository and the (I)ODP, for providing sample material. Thanks to Ian Bailey, Anya Crocker, Dave Lang, Erin McClymont, and Rachael James for discussion and comments on various forms of this work. We also thank Eleanor Evetts, Megan Spencer, Andy Milton, Matt Cooper, and Agnes Michalik and well as the rest of the Foster lab for laboratory assistance. We also thank Jess Adkins and two anonymous reviewers for their insightful comments on this submission. This research was supported by NERC studentship number NE/I528626/1 to T.B.C. and NERC grant NE/D00876X/2 and NE/H006273/1 to G.L.F. and NE/F00141X/1 to P.A.W. and a Royal Society Wolfson Research Merit Award to P.A.W.</t>
  </si>
  <si>
    <t>10.1016/j.epsl.2018.12.022</t>
  </si>
  <si>
    <t>HN3FS</t>
  </si>
  <si>
    <t>Green Accepted, hybrid, Green Published, Green Submitted</t>
  </si>
  <si>
    <t>WOS:000460069800001</t>
  </si>
  <si>
    <t>Wendt, KA; Häuselmann, AD; Fleitmann, D; Berry, AE; Wang, XF; Auler, AS; Cheng, H; Edwards, RL</t>
  </si>
  <si>
    <t>Wendt, Kathleen A.; Hauselmann, Anamaria D.; Fleitmann, Dominik; Berry, Akemi E.; Wang, Xianfeng; Auler, Augusto S.; Cheng, Hai; Edwards, R. Lawrence</t>
  </si>
  <si>
    <t>Three-phased Heinrich Stadial 4 recorded in NE Brazil stalagmites</t>
  </si>
  <si>
    <t>Heinrich Stadial; ITCZ; speleothem; NE Brazil; pluvial phase; luminescent couplet</t>
  </si>
  <si>
    <t>ABRUPT CLIMATE-CHANGE; NORTH-ATLANTIC; ICEBERG DISCHARGE; SOREQ CAVE; CARBONATE; RAINFALL; OCEAN; PRECIPITATION; TEMPERATURE; CIRCULATION</t>
  </si>
  <si>
    <t>The growth intervals of stalagmites from Northeast (NE) Brazil provide precise information on the timing of pluvial periods associated with the southward shift of the Intertropical Convergence Zone (ITCZ) during Heinrich Stadials (HS). Using Th-230 dating and annual band counting, we constrained the timing of the pluvial period associated with HS4 to occur between 40.06 +/- 0.11 and 38.38 +/- 0.10 thousand years before present (kyr B.P.), coinciding with the interval between the end of Greenland Interstadial (GIS)/Chinese Interstadial (CIS) 9 and GIS/CIS 8. Oxygen isotope analysis shows a close anti-correlation between NE Brazil wet periods and East Asian monsoon intensity recorded in Hulu Cave, supporting the hypothesis of a southerly migration of the global ITCZ during HS4. The pluvial anomaly can be divided into three phases, starting with a precursor, less intense pluvial interval (phase 1) between 40.06 +/- 0.11 and 39.59 +/- 0.10 kyr B.P., likely correlative to the cool phase of the North Atlantic immediately before the partial collapse of the Laurentide Ice Sheet (LIS). This phase ends abruptly (&lt;30 yr) and is followed by an intense pluvial phase (phase 2) that spans approximately 5 centuries. Luminescent couplets are identified in all samples between 39.50 +/- 0.10 and 39.41 +/- 0.10 kyr B.P., and are interpreted as a period of two rainy seasons per year during which the southernmost extent of the inland West Atlantic ITCZ reached south of our study site (10 degrees S). Following the end of phase 2 at 39.07 +/- 0.32 kyr B.P., intermittent speleothem growth suggests intermittent rainfall over NE Brazil (phase 3) until the abrupt onset of GIS/CIS 8 at 38.38 +/- 0.10 kyr B.P. The phases identified in NE Brazilian stalagmites agree with the three-phased variation in low-latitude proxies registered in Northern Greenland, and are consistent with changes in methane concentrations recorded in the West Antarctic Ice Sheet (WAIS) Divide. The synchronicity of these distant records suggests a multi-phased response of tropical atmospheric circulation during HS4. The timescales surrounding the LIS collapse, as inferred from our precisely dated stalagmites, are on the same order as recent predictions for the impending collapse of the WAIS and may therefore serve as a past analogue. (C) 2018 Elsevier B.V. All rights reserved.</t>
  </si>
  <si>
    <t>[Wendt, Kathleen A.; Berry, Akemi E.; Cheng, Hai; Edwards, R. Lawrence] Univ Minnesota, Dept Earth Sci, Minneapolis, MN 55455 USA; [Hauselmann, Anamaria D.; Fleitmann, Dominik] Bern Univ, Inst Geol Sci, CH-3012 Bern, Switzerland; [Hauselmann, Anamaria D.; Fleitmann, Dominik] Bern Univ, Oeschger Ctr Climate Change Res, CH-3012 Bern, Switzerland; [Fleitmann, Dominik] Univ Reading, Sch Human &amp; Environm Sci, Dept Archaeol, Reading RG6 6AB, Berks, England; [Wang, Xianfeng] Nanyang Technol Univ, Earth Observ Singapore, Singapore 639798, Singapore; [Wang, Xianfeng] Nanyang Technol Univ, Asian Sch Environm, Singapore 639798, Singapore; [Auler, Augusto S.] Inst Carste, Rua Barcelona 240-302, BR-30360260 Belo Horizonte, MG, Brazil; [Cheng, Hai] Xi An Jiao Tong Univ, Inst Global Environm Change, Xian 710049, Shaanxi, Peoples R China</t>
  </si>
  <si>
    <t>University of Minnesota System; University of Minnesota Twin Cities; University of Bern; University of Bern; University of Reading; Nanyang Technological University; Nanyang Technological University; Xi'an Jiaotong University</t>
  </si>
  <si>
    <t>Wendt, KA (corresponding author), Univ Minnesota, Dept Earth Sci, Minneapolis, MN 55455 USA.</t>
  </si>
  <si>
    <t>wendt095@umn.edu</t>
  </si>
  <si>
    <t>Edwards, R. Lawrence/I-3124-2014; Edwards, Richard/JAX-3732-2023; CHENG, HAI/H-3413-2017; Fleitmann, Domnik/HSF-0516-2023; Wang, Xianfeng/F-1233-2014</t>
  </si>
  <si>
    <t>CHENG, HAI/0000-0002-5305-9458; Wang, Xianfeng/0000-0002-8614-5627; Auler, Augusto/0000-0002-8454-3381; Fleitmann, Dominik/0000-0001-5977-8835; Wendt, Kathleen/0000-0001-8905-5013</t>
  </si>
  <si>
    <t>National Science Foundation (NSF) [1337693, 1702816, 1103403]; National Natural Science Foundation of China [NSFC 41731174]; Singapore National Research Foundation Fellowship [NRFF2011-08]; Division Of Earth Sciences; Directorate For Geosciences [1337693] Funding Source: National Science Foundation</t>
  </si>
  <si>
    <t>National Science Foundation (NSF)(National Science Foundation (NSF)); National Natural Science Foundation of China(National Natural Science Foundation of China (NSFC)); Singapore National Research Foundation Fellowship(National Research Foundation, Singapore); Division Of Earth Sciences; Directorate For Geosciences(National Science Foundation (NSF)NSF - Directorate for Geosciences (GEO))</t>
  </si>
  <si>
    <t>We thank the members of Grupo Bambui de Pesquisas Espeleologicas for their assistance in cave sampling under the permission of IBAMA/CECAV. We thank the UMN Characterization Facility and University Imaging Center for their support in data collection. We thank D. McGee and one anonymous reviewer for constructive comments that greatly improved this manuscript. This research was supported by the National Science Foundation (NSF 1337693, 1702816, and 1103403). H.C. acknowledges the support by National Natural Science Foundation of China (NSFC 41731174). X.W. acknowledges the support by a Singapore National Research Foundation Fellowship (NRFF2011-08). Oxygen isotope data and CFLM images are available for download at the NOAA paleoclimate database.</t>
  </si>
  <si>
    <t>10.1016/j.epsl.2018.12.025</t>
  </si>
  <si>
    <t>WOS:000460069800010</t>
  </si>
  <si>
    <t>Yierpan, A; König, S; Labidi, J; Schoenberg, R</t>
  </si>
  <si>
    <t>Yierpan, Aierken; Koenig, Stephan; Labidi, Jabrane; Schoenberg, Ronny</t>
  </si>
  <si>
    <t>Selenium isotope and S-Se-Te elemental systematics along the Pacific-Antarctic ridge: Role of mantle processes</t>
  </si>
  <si>
    <t>Selenium; Se isotopes; Tellurium; Sulfur; Late veneer; MORB; Pacific-Antarctic ridge; Mantle melting; Chalcophile element partitioning; Sulfide liquid; Monosulfide solid solution</t>
  </si>
  <si>
    <t>PLATINUM-GROUP ELEMENTS; HIGHLY SIDEROPHILE ELEMENTS; MONOSULFIDE-SOLID-SOLUTION; MASSIVE SULFIDE DEPOSITS; BENEATH MIDOCEAN RIDGES; FINLAYSON LAKE DISTRICT; MID-ATLANTIC RIDGE; CHALCOPHILE ELEMENTS; TRACE-ELEMENT; SILICATE MELTS</t>
  </si>
  <si>
    <t>The selenium stable isotope system emerges as a new potential tracer of volatile origin and evolution of the terrestrial planets. Accurate determination of the mantle Se isotope composition requires an assessment of Se isotopic behavior in magmatic processes and potential variations across all mantle reservoirs. Here we report the first high-precision Se isotope and Se-Te abundance data for a suite of basaltic glasses from the Pacific-Antarctic ridge. These MORBs display a narrow range in delta Se-82/26 values (deviation of Se-82/Se-76 relative to NIST SRM 3149) between -0.30 +/- 0.09 parts per thousand and -0.05 +/- 0.09 parts per thousand, with an average of -0.16 +/- 0.13 parts per thousand (2 s.d., n = 27). We quantify the main processes relevant to MORB petrogenesis in order to better understand the Se-Te elemental behavior in the mantle and investigate if these are systematically related to Se isotope variations. We show that both Se isotopes and S-Se-Te abundances of MORB melts remain unaffected by assimilation of high-temperature hydrothermal fluids and sulfides, whereas the latter has been shown to overprint the S-34/S-32 ratios. MORB differentiation involving sulfide segregation (sulfide liquid and monosulfide solid solution) significantly fractionates Se and Te (Se/Te ratio similar to 45-190), with no systematic Se isotope variation. The Se-Te contents of the primary MORB melt corrected for magmatic differentiation can be successfully reproduced by near-fractional decompression melting of a mantle with 170-200 mu g g(-1) S (as sulfide liquid), which has either (1) fertile lherzolite-like Se and Te contents (80 +/- 17 and 11 +/- 1.7 ng g(-1), respectively; 1 s.d.) or (2) distinctly lower Se (49 +/- 11 ng g(-1)) and Te (3.5 +/- 1.3 ng g(-1)) contents depending on the choice of experimental partition coefficients published by different studies. Regardless, our model shows that Se-Te systematics of fertile lithospheric peridotites preserve little primary melt depletion signatures and reflect significant, if not complete, metasomatic overprinting. Finally, based on the observed negligible Se isotopic fractionation between sulfide phase and silicate melt, we suggest that MORBs preserve their mantle source isotopic signature (delta Se-82/76 = -0.16 +/- 0.13 parts per thousand). Our MORB average is similar within uncertainty to chondritic values but significantly lighter than previously published delta Se-82/76 data for basalts from a variety of geodynamic settings. The subtle but significant Se isotope variation observed within the investigated MORB suite (up to similar to 0.25 parts per thousand) and between other mantle samples analyzed so far may reflect intrinsic source heterogeneity and potential isotopic differences across various mantle reservoirs. (C) 2019 Elsevier Ltd. All rights reserved.</t>
  </si>
  <si>
    <t>[Yierpan, Aierken; Koenig, Stephan; Labidi, Jabrane; Schoenberg, Ronny] Eberhard Karls Univ Tubingen, Dept Geosci, Isotope Geochem, Wilhelmstr 56, D-72074 Tubingen, Germany; [Labidi, Jabrane] Univ Calif Los Angeles, Dept Earth Planetary &amp; Space Sci, Los Angeles, CA USA; [Schoenberg, Ronny] Univ Johannesburg, Dept Geol, POB 524, ZA-2006 Auckland Pk, South Africa</t>
  </si>
  <si>
    <t>Eberhard Karls University of Tubingen; University of California System; University of California Los Angeles; University of Johannesburg</t>
  </si>
  <si>
    <t>Yierpan, A (corresponding author), Eberhard Karls Univ Tubingen, Dept Geosci, Isotope Geochem, Wilhelmstr 56, D-72074 Tubingen, Germany.</t>
  </si>
  <si>
    <t>aierken.yierpan@uni-tuebingen.de</t>
  </si>
  <si>
    <t>Yierpan, Aierken/G-7084-2018; Labidi, Jabrane/AAJ-5062-2021; Labidi, Jabrane/GXW-2179-2022; Konig, Stephan/G-3079-2016</t>
  </si>
  <si>
    <t>Yierpan, Aierken/0000-0001-5746-5149; Labidi, Jabrane/0000-0002-5656-226X; Labidi, Jabrane/0000-0002-5656-226X; Schoenberg, Ronny/0000-0002-0376-487X; Konig, Stephan/0000-0001-9714-9749</t>
  </si>
  <si>
    <t>ERC Starting Grant [O2RIGIN (636808)]</t>
  </si>
  <si>
    <t>ERC Starting Grant</t>
  </si>
  <si>
    <t>This work was supported by the ERC Starting Grant, O2RIGIN (636808), to Stephan Konig. We thank Timon Kurzawa, Martin Wille, Elmar Reitter, and Ilka Kleinhanns for their generous support in the lab, and Bernd Steinhilber and Johannes Redlinger for the trace element analysis. Laure Dosso kindly provided the PAR MORB samples. The manuscript greatly benefited from careful reviews and constructive comments by three anonymous reviewers as well as editors Shichun Huang, Marc Norman, and Jeffrey Catalano.</t>
  </si>
  <si>
    <t>10.1016/j.gca.2019.01.028</t>
  </si>
  <si>
    <t>HL6RI</t>
  </si>
  <si>
    <t>WOS:000458862600011</t>
  </si>
  <si>
    <t>Power, C; Balli-Garza, J; Evans, D; Nowak, BF; Bridle, AR; Bott, NJ</t>
  </si>
  <si>
    <t>Power, Cecilia; Balli-Garza, Jimena; Evans, Daryl; Nowak, Barbara F.; Bridle, Andrew R.; Bott, Nathan J.</t>
  </si>
  <si>
    <t>Detection of Miamiensis avidus (Ciliophora: Scuticociliatia) and Cardicola spp. (Trematoda: Aporocotylidae) DNA in biofouling from Southern Bluefin Tuna, Thunnus maccoyii pontoons off Port Lincoln, South Australia</t>
  </si>
  <si>
    <t>Miamiensis avidus; Cardicola; Thunnus maccoyii; Scuticociliate; Biofouling; Southern Bluefin Tuna</t>
  </si>
  <si>
    <t>TURBOT SCOPHTHALMUS-MAXIMUS; AMEBIC GILL DISEASE; BLOOD FLUKE; PHILASTERIDES-DICENTRARCHI; URONEMA-MARINUM; PSEUDOCOHNILEMBUS-PERSALINUS; INTERMEDIATE HOSTS; CAUSATIVE AGENT; TIGER PUFFER; FORSTERI</t>
  </si>
  <si>
    <t>Presence of biofouling on pontoons and other structures can have adverse effects on fish health, both by affecting water quality and acting as a reservoir for pathogens. This study focused on three species of parasites affecting Southern Bluefin Tuna (Thunnus maccoyii) (SBT): the blood flukes Cardicola forsteri and Cardicola orientalis and the scuticociliate Miamiensis avidus. Blood flukes are the main health concern for SBT. They have two free living stages (miracidium and cercaria) and their intermediate host can be present in biofouling. Miamiensis avidus (Ciliophora: Scuticociliata) is an opportunistic pathogen thought to be the causative agent of swimmer syndrome in SBT. To determine if biofouling is a reservoir for blood flukes or M. avidus six perspex plates and six net pieces were deployed in two SBT pontoons at one and four meter depths and sampled one and three months after deployment. Biofouling samples were rarely positive for blood fluke DNA based on qPCR detection, but they were most frequently detected on plate samples at 3 months. Prevalence of Miamiensis avidus based on qPCR detection increased from 38% at one month to 89% at three months. No significant difference was observed between depths at which the plates were deployed. Miamiensis avidus was detected from total DNA extracted from a wide range of taxonomic groups collected from the fouling samples. Results suggest that biofouling may act as a reservoir for M. avidus in aquaculture. Monitoring environmental reservoirs may be an important nondestructive surveillance tool. Further optimization of the detection in biofouling may provide insights into host-pathogen interactions which will inform aquatic animal health management. This approach could also be applied to the surveillance of other potential aquaculture pathogens affecting species farmed in marine pontoons.</t>
  </si>
  <si>
    <t>[Power, Cecilia; Nowak, Barbara F.; Bott, Nathan J.] RMIT Univ, Sch Sci, Ctr Environm Sustainabil &amp; Remediat, POB 71, Bundoora, Vic 3083, Australia; [Balli-Garza, Jimena; Nowak, Barbara F.; Bridle, Andrew R.] Univ Tasmania, Inst Marine &amp; Antarctic Studies, Locked Bag 1370, Launceston, Tas 7250, Australia; [Evans, Daryl] Marnikol Fisheries, Port Lincoln, SA, Australia</t>
  </si>
  <si>
    <t>Royal Melbourne Institute of Technology (RMIT); University of Tasmania</t>
  </si>
  <si>
    <t>Bott, NJ (corresponding author), RMIT Univ, Sch Sci, Ctr Environm Sustainabil &amp; Remediat, POB 71, Bundoora, Vic 3083, Australia.</t>
  </si>
  <si>
    <t>nathan.bott@rmit.edu.au</t>
  </si>
  <si>
    <t>Bridle, Andrew R/B-4117-2013; Bott, Nathan J/A-3816-2009; Nowak, Barbara/J-7261-2014</t>
  </si>
  <si>
    <t>Nowak, Barbara/0000-0002-0347-643X; Bridle, Andrew/0000-0002-5788-1297; Bott, Nathan/0000-0003-4049-9945; Power, Cecilia/0000-0002-3279-033X</t>
  </si>
  <si>
    <t>10.1016/j.aquaculture.2018.12.027</t>
  </si>
  <si>
    <t>HG9QX</t>
  </si>
  <si>
    <t>WOS:000455344800017</t>
  </si>
  <si>
    <t>Polymeropoulos, ET; Elliott, NG; Frappell, PB</t>
  </si>
  <si>
    <t>Polymeropoulos, Elias T.; Elliott, Nicholas G.; Frappell, Peter B.</t>
  </si>
  <si>
    <t>Acute but not chronic hyperoxia increases metabolic rate without altering the cardiorespiratory response in Atlantic salmon alevins</t>
  </si>
  <si>
    <t>Atlantic salmon; Hyperoxia; Temperature; Acclimation; Cardiorespiratory function</t>
  </si>
  <si>
    <t>RAINBOW-TROUT; YOLK-SAC; SALAR L.; RESPIRATORY DEVELOPMENT; ONCORHYNCHUS-MYKISS; OXYGEN-SATURATION; SEAWATER TRANSFER; DISSOLVED-OXYGEN; COHO SALMON; HYPOXIA</t>
  </si>
  <si>
    <t>Hyperoxia has been shown to affect growth, survival and cellular homeostasis in fish. Previous findings on chronic hypoxia (low environmental O-2) exposure in Atlantic salmon alevins indicate that re-exposure to normoxic conditions after hypoxia exposure (relative hyperoxia) elevates metabolism above normal. Hence, we here investigated whether acute hyperoxia above normoxic conditions also alters O-2 uptake and whether chronic hyperoxia affects O-2 uptake under normoxic and hypoxic conditions. To this end, the effects of acute and chronic hyperoxia exposure on metabolic rate and cardiorespiratory function (heart rate and ventilation rate) in Atlantic salmon (Salmo salar) alevins incubated at 4 degrees C were investigated, and how it is affected by an increase in ambient temperature (4 degrees C and 8 degrees C). Hyperoxia (15-18 days at 28 kPa) reared alevins display advanced development compared with normoxia incubated animals. While acute hypoxia generally leads to metabolic depression (approximate to 70%, 21 kPa compared with 5 kPa), acute hyperoxia (28 kPa) causes hypermetabolism (approximate to 30% compared with normoxia at 4 degrees C and approximate to 20% at 8 degrees C). Chronic hyperoxic rearing on the other hand did not alter metabolic rate at 4 degrees C or 8 degrees C in acute hyperoxia, normoxia or hypoxia. Heart rates and ventilation rates were also unaltered with acute hyperoxia and were unaffected by chronic hyperoxia exposure. It is shown that acute hyperoxia increases O-2 uptake above normoxic conditions but chronic hyperoxia does not result in long term physiological changes. This adds further proof that O-2 uptake is not limited by O-2 transport capacity but by O-2 availability at this developmental stage in salmonids.</t>
  </si>
  <si>
    <t>[Polymeropoulos, Elias T.; Elliott, Nicholas G.; Frappell, Peter B.] Univ Tasmania, Inst Marine &amp; Antarctic Studies, Hobart, Tas 7001, Australia; [Elliott, Nicholas G.] CSIRO Agr Flagship, GPO Box 1538, Hobart, Tas 7001, Australia</t>
  </si>
  <si>
    <t>University of Tasmania; Commonwealth Scientific &amp; Industrial Research Organisation (CSIRO)</t>
  </si>
  <si>
    <t>Polymeropoulos, ET (corresponding author), Univ Tasmania, Inst Marine &amp; Antarctic Studies, Hobart, Tas 7001, Australia.</t>
  </si>
  <si>
    <t>elias.polymeropoulos@utas.edu.au</t>
  </si>
  <si>
    <t>Polymeropoulos, Elias T/E-9883-2013</t>
  </si>
  <si>
    <t>Polymeropoulos, Elias Theodor/0000-0002-4816-6005</t>
  </si>
  <si>
    <t>10.1016/j.aquaculture.2018.12.041</t>
  </si>
  <si>
    <t>WOS:000455344800024</t>
  </si>
  <si>
    <t>Du, ZH; Xiao, CD; Furdui, VI; Zhang, WB</t>
  </si>
  <si>
    <t>Du, Zhiheng; Xiao, Cunde; Furdui, Vasile I.; Zhang, Wangbin</t>
  </si>
  <si>
    <t>The perchlorate record during 1956-2004 from Tienshan ice core, East Asia</t>
  </si>
  <si>
    <t>Perchlorate concentration; Shallow ice core; Tienshan; Anthropogenic sources</t>
  </si>
  <si>
    <t>ANTARCTIC SNOW; ACCUMULATION; EMISSIONS; TRENDS; GROUNDWATER; PLATEAU; SULFATE; LEVEL</t>
  </si>
  <si>
    <t>Perchlorate concentration in a shallow ice core at Tienshan, East Asia ranged between 0.55 and 52.1 ng L-1, with significant temporal variations during 1956-2004. Since the 1980s, a clear increasing trend of perchlorate was observed in the Miaoergou ice core, possibly the result of elevated stratospheric chlorine levels caused by emissions of anthropogenic volatile chlorine compounds. Although differences in trends and amounts were observed, the 1956-2004 perchlorate data from this study compares well with the perchlorate data from the High Arctic ice cores. The spatial and temporal differences of the perchlorate in Miaoergou ice core may be due to differences in anthropogenic sources. Such as, the nitrate ore field in Turpan-Hami Basin in eastern Xinjiang, China, may be the primary anthropogenic source. From the organic chlorine species emission data, HCFC-141b, HCFC-142b and HCFC-124 were identified as the primary anthropogenic sources responsible for the two perchlorate spikes observed for 1980-1996 and 1997-2001. The Miaoergou ice core covering the 1956-2004 period provides further evidence for the perchlorate deposition variations between mid-latitudes and the High Arctic regions. (C) 2018 Elsevier B.V. All rights reserved.</t>
  </si>
  <si>
    <t>[Du, Zhiheng] Chinese Acad Sci, Northwest Inst Ecoenvironm &amp; Resources, State Key Lab Cryospher Sci, Lanzhou 730000, Gansu, Peoples R China; [Xiao, Cunde] Beijing Normal Univ, State Key Lab Earth Surface Proc &amp; Resource Ecol, Beijing 100875, Peoples R China; [Furdui, Vasile I.] Ontario Minist Environm Conservat &amp; Pk, 125 Resources Rd, Toronto, ON M9P 3V6, Canada; [Zhang, Wangbin] Nanjing Univ, Sch Geog &amp; Oceanog Sci, Nanjing, Jiangsu, Peoples R China</t>
  </si>
  <si>
    <t>Chinese Academy of Sciences; Beijing Normal University; Nanjing University</t>
  </si>
  <si>
    <t>Du, ZH (corresponding author), Chinese Acad Sci, Northwest Inst Ecoenvironm &amp; Resources, State Key Lab Cryospher Sci, Lanzhou 730000, Gansu, Peoples R China.</t>
  </si>
  <si>
    <t>duzhiheng10@163.com</t>
  </si>
  <si>
    <t>Furdui, Vasile/O-4770-2019</t>
  </si>
  <si>
    <t>Furdui, Vasile/0000-0003-2340-3614</t>
  </si>
  <si>
    <t>Strategic Priority Research Program of the Chinese Academy of Sciences [XDA19070103]; National Natural Science Foundation of China [41425003, 41701071, 41276194, 41421061]; CAS Light of West China Program</t>
  </si>
  <si>
    <t>Strategic Priority Research Program of the Chinese Academy of Sciences(Chinese Academy of Sciences); National Natural Science Foundation of China(National Natural Science Foundation of China (NSFC)); CAS Light of West China Program</t>
  </si>
  <si>
    <t>This work was supported by the Strategic Priority Research Program of the Chinese Academy of Sciences (Grant No. XDA19070103), the National Natural Science Foundation of China (Grant No. 41425003; 41701071; 41276194; 41421061), and CAS Light of West China Program. We greatly appreciate all field personnel for the scientific expedition to the Miaoergou glacier in 2005.</t>
  </si>
  <si>
    <t>10.1016/j.scitotenv.2018.11.456</t>
  </si>
  <si>
    <t>HG5SP</t>
  </si>
  <si>
    <t>WOS:000455039600109</t>
  </si>
  <si>
    <t>Ma, XD; Wang, Z; Yu, LM; Yao, WJ; Xiao, L; Yao, ZW; Na, GS; Wang, YWW; Jiang, GB</t>
  </si>
  <si>
    <t>Ma, Xindong; Wang, Zhen; Yu, Limin; Yao, Wenjun; Xiao, Lin; Yao, Ziwei; Na, Guangshui; Wang, Yawei W.; Jiang, Guibin</t>
  </si>
  <si>
    <t>Mirror image between gas-particle partitioning and soil-moss distribution of polybrominated diphenyl ethers in the polar regions</t>
  </si>
  <si>
    <t>PBDEs; Arctic; Antarctica; Mirror image; Partition coefficient</t>
  </si>
  <si>
    <t>POLYCHLORINATED-BIPHENYLS PCBS; BROMINATED FLAME RETARDANTS; LONG-RANGE TRANSPORT; KING GEORGE ISLAND; ORGANOCHLORINE PESTICIDES; ENVIRONMENTAL-SAMPLES; AROMATIC-HYDROCARBONS; AGRICULTURAL SOILS; VAPOR-PRESSURES; NY-ALESUND</t>
  </si>
  <si>
    <t>The concentrations and congener-specific profiles of polybrominated diphenyl ethers (PBDEs) were investigated in the atmosphere, soil and moss samples were collected from Ny-angstrom lesund, Svalbard in the Arctic and King Georgia Island (KGI), Fildes Peninsula in Antarctica, respectively. The congener profiles of PBDEs were symmetrical between gas and moss, as well as between particles and soil at Ny-angstrom lesund and KGI, respectively, similar to a mirror image. The proportions of highly brominated congeners (for example, BDE-99, -153 and -183) in the particle phase and soil were higher than those in the gas phase and moss, while tri- and tetra-BDEs possessed higher proportions in the gas phase and moss at both sites. The slopes of log-log linear correlations between the gas-particle partition coefficient (K-p) and sub-cooled liquid vapor pressures (p degrees(L)) of PBDEs were observed at both sites compared with the values in the urban areas. Moreover, the slopes of logK(p) vs. logp degrees(L) (-0.51 at Ny-angstrom lesund and -0.29 at KGI) were notably close to the slopes of log-log linear correlations between the di-mensionless soil-moss quotient (QSM) and p degrees(L) (-0.42 at Ny-angstrom lesund and -0.22 at KGI). Significant correlations between particle fraction (phi(particle)) and soil fraction (phi(soil)) at both sites indicated that the gas-particle partitioning of PBDEs is directly related to their distribution in moss and soil. (C) 2018 Published by Elsevier B.V.</t>
  </si>
  <si>
    <t>[Ma, Xindong; Wang, Yawei W.; Jiang, Guibin] Chinese Acad Sci, Res Ctr Ecoenvironm Sci, State Key Lab Environm Chem &amp; Ecotoxicol, POB 2871, Beijing 100085, Peoples R China; [Ma, Xindong; Wang, Zhen; Yu, Limin; Yao, Wenjun; Yao, Ziwei; Na, Guangshui] State Ocean Adm, Key Lab Ecol Environm Coastal Areas, Natl Marine Environm Monitoring Ctr, Dalian 116023, Peoples R China; [Xiao, Lin] State Ocean Adm, Key Lab Marine Disaster Forecasting, Natl Marine Environm Forecasting Ctr, Beijing 100081, Peoples R China; [Wang, Yawei W.] Univ Chinese Acad Sci, Beijing 100049, Peoples R China</t>
  </si>
  <si>
    <t>Chinese Academy of Sciences; Research Center for Eco-Environmental Sciences (RCEES); National Marine Environmental Monitoring Center; National Marine Environmental Forecasting Center; Chinese Academy of Sciences; University of Chinese Academy of Sciences, CAS</t>
  </si>
  <si>
    <t>Wang, YWW (corresponding author), Chinese Acad Sci, Res Ctr Ecoenvironm Sci, State Key Lab Environm Chem &amp; Ecotoxicol, POB 2871, Beijing 100085, Peoples R China.;Na, GS (corresponding author), State Ocean Adm, Key Lab Ecol Environm Coastal Areas, Natl Marine Environm Monitoring Ctr, Dalian 116023, Peoples R China.</t>
  </si>
  <si>
    <t>gsna@nmemc.org.cn; ywwang@rcees.ac.cn</t>
  </si>
  <si>
    <t>Xiao, Linhui/HJO-8602-2023; ZHANG, XUCHEN/KBB-7989-2024</t>
  </si>
  <si>
    <t>Xiao, Linhui/0000-0003-2592-5264; Ma, Xindong/0000-0001-8949-9327</t>
  </si>
  <si>
    <t>National Natural Science Foundation of China [21577028, 41676097]; Chinese Polar Environment Comprehensive Investigation and Assessment Programs [02-01, 03-04, 04-03, 04-01]</t>
  </si>
  <si>
    <t>National Natural Science Foundation of China(National Natural Science Foundation of China (NSFC)); Chinese Polar Environment Comprehensive Investigation and Assessment Programs</t>
  </si>
  <si>
    <t>This study was funded by the National Natural Science Foundation of China (21577028 and 41676097) and the Chinese Polar Environment Comprehensive Investigation and Assessment Programs (02-01, 03-04, 04-01, and 04-03). We also thank the Chinese Arctic and Antarctic Ministration for the arrangements during the Chinese Arctic Scientific Expedition in 2012 and XXVI Chinese Antarctic Expedition in 2013.</t>
  </si>
  <si>
    <t>10.1016/j.scitotenv.2018.11.452</t>
  </si>
  <si>
    <t>WOS:000455039600116</t>
  </si>
  <si>
    <t>Rainsley, E; Turney, CSM; Golledge, NR; Wilmshurst, JM; McGlone, MS; Hogg, AG; Li, B; Thomas, ZA; Roberts, R; Jones, RT; Palmer, JG; Flett, V; de Wet, G; Hutchinson, DK; Lipson, MJ; Fenwick, P; Hines, B; Binetti, U; Fogwill, CJ</t>
  </si>
  <si>
    <t>Rainsley, Eleanor; Turney, Chris S. M.; Golledge, Nicholas R.; Wilmshurst, Janet M.; McGlone, Matt S.; Hogg, Alan G.; Li, Bo; Thomas, Zoe A.; Roberts, Richard; Jones, Richard T.; Palmer, Jonathan G.; Flett, Verity; de Wet, Gregory; Hutchinson, David K.; Lipson, Mathew J.; Fenwick, Pavla; Hines, Ben R.; Binetti, Umberto; Fogwill, Christopher J.</t>
  </si>
  <si>
    <t>Pleistocene glacial history of the New Zealand subantarctic islands</t>
  </si>
  <si>
    <t>JINMIUM ROCK SHELTER; SEA-SURFACE TEMPERATURES; SOUTHERN HIGH-PLAINS; NORTHERN AUSTRALIA; SUBTROPICAL FRONT; QUATERNARY SEDIMENTS; CLIMATE VARIABILITY; HOLOCENE VEGETATION; SOUTHWEST PACIFIC; MULTIPLE GRAINS</t>
  </si>
  <si>
    <t>The New Zealand subantarctic islands of Auckland and Campbell, situated between the subtropical front and the Antarctic Convergence in the Pacific sector of the Southern Ocean, provide valuable terrestrial records from a globally important climatic region. Whilst the islands show clear evidence of past glaciation, the timing and mechanisms behind Pleistocene environmental and climate changes remain uncertain. Here we present a multidisciplinary study of the islands-including marine and terrestrial geomorphological surveys, extensive analyses of sedimentary sequences, a comprehensive dating programme, and glacier flow line modelling-to investigate multiple phases of glaciation across the islands. We find evidence that the Auckland Islands hosted a small ice cap 384 000 +/- 26 000 years ago (384 +/- 26 ka), most likely during Marine Isotope Stage 10, a period when the subtropical front was reportedly north of its present-day latitude by several degrees, and consistent with hemispheric-wide glacial expansion. Flow line modelling constrained by field evidence suggests a more restricted glacial period prior to the LGM that formed substantial valley glaciers on the Campbell and Auckland Islands around 72-62 ka. Despite previous interpretations that suggest the maximum glacial extent occurred in the form of valley glaciation at the Last Glacial Maximum (LGM; similar to 21 ka), our combined approach suggests minimal LGM glaciation across the New Zealand subantarctic islands and that no glaciers were present during the Antarctic Cold Reversal (ACR; similar to 15-13 ka). Instead, modelling implies that despite a regional mean annual air temperature depression of similar to 5 degrees C during the LGM, a combination of high seasonality and low precipitation left the islands incapable of sustaining significant glaciation. We suggest that northwards expansion of winter sea ice during the LGM and subsequent ACR led to precipitation starvation across the middle to high latitudes of the Southern Ocean, resulting in restricted glaciation of the subantarctic islands.</t>
  </si>
  <si>
    <t>[Rainsley, Eleanor; Fogwill, Christopher J.] Univ Keele, Sch Geog Geol &amp; Environm, ICELAB, Keele ST5 5BG, Staffs, England; [Turney, Chris S. M.; Thomas, Zoe A.; Palmer, Jonathan G.; Fogwill, Christopher J.] Univ New South Wales, Sch Biol Earth &amp; Environm Sci, Palaeontol Geobiol &amp; Earth Arch Res Ctr PANGEA, Sydney, NSW, Australia; [Turney, Chris S. M.; Thomas, Zoe A.; Palmer, Jonathan G.] Univ New South Wales, Australian Res Council, Ctr Excellence Australian Biodivers &amp; Heritage CA, Sydney, NSW 2052, Australia; [Golledge, Nicholas R.] Victoria Univ Wellington, Antarctic Res Ctr, Wellington 6140, New Zealand; [Golledge, Nicholas R.] GNS Sci, Lower Hutt 5011, New Zealand; [Wilmshurst, Janet M.; McGlone, Matt S.] Landcare Res, Long Term Ecol Lab, Lincoln, New Zealand; [Wilmshurst, Janet M.] Univ Auckland, Sch Environm, Private Bag 92019, Auckland 1142, New Zealand; [Hogg, Alan G.] Univ Waikato, Waikato Radiocarbon Lab, Private Bag 3105, Hamilton, New Zealand; [Hogg, Alan G.] Univ Waikato, ARC, Ctr Excellence Australian Biodivers &amp; Heritage, Hamilton 3240, New Zealand; [Li, Bo; Roberts, Richard] Univ Wollongong, Sch Earth &amp; Environm Sci, Ctr Archaeol Sci, Wollongong, NSW, Australia; [Li, Bo; Roberts, Richard] Univ Wollongong, ARC, Ctr Excellence Australian Biodivers &amp; Heritage, Wollongong, NSW 2522, Australia; [Jones, Richard T.] Univ Exeter, Dept Geog, Exeter EX4 4RJ, Devon, England; [Flett, Verity] Univ Dundee, Sch Environm, Nethergate DD1 4HN, Scotland; [de Wet, Gregory] Univ Colorado, Inst Arctic &amp; Alpine Res, Boulder, CO 80309 USA; [Hutchinson, David K.] Stockholm Univ, Bolin Ctr Climate Res, Stockholm, Sweden; [Hutchinson, David K.] Stockholm Univ, Dept Geol Sci, Stockholm, Sweden; [Lipson, Mathew J.] Univ New South Wales, ARC, Ctr Excellence Climate Syst Sci, Sydney, NSW, Australia; [Fenwick, Pavla] Gondwana Tree Ring Lab, POB 14, Canterbury 7546, New Zealand; [Hines, Ben R.] Victoria Univ Wellington, Sch Geog Environm &amp; Earth Sci, Wellington, New Zealand; [Binetti, Umberto] Univ East Anglia, Sch Environm Sci, Ctr Ocean &amp; Atmospher Studies, Norwich NR4 7TJ, Norfolk, England</t>
  </si>
  <si>
    <t>Keele University; University of New South Wales Sydney; University of New South Wales Sydney; Victoria University Wellington; GNS Science - New Zealand; Landcare Research - New Zealand; University of Auckland; University of Waikato; University of Waikato; University of Wollongong; University of Wollongong; University of Exeter; University of Dundee; University of Colorado System; University of Colorado Boulder; Stockholm University; University of New South Wales Sydney; Victoria University Wellington; University of East Anglia</t>
  </si>
  <si>
    <t>Rainsley, E (corresponding author), Univ Keele, Sch Geog Geol &amp; Environm, ICELAB, Keele ST5 5BG, Staffs, England.</t>
  </si>
  <si>
    <t>eleanor.rainsley@gmail.com</t>
  </si>
  <si>
    <t>Wilmshurst, Janet/O-8611-2019; Palmer, Jonathan/J-7834-2012; Lipson, Mathew/AAP-6977-2021; Hutchinson, David/F-4564-2016; Hogg, Alan G/M-8427-2014; Fogwill, Chris/AAW-3502-2021; Roberts, Richard Graham/B-8245-2013; Fogwill, Christopher/HPF-1150-2023; CABAH, ARC/T-6419-2019; Li, Bo/B-8974-2016; Turney, Chris/P-8701-2018; Thomas, Zoe/D-1656-2016</t>
  </si>
  <si>
    <t>Wilmshurst, Janet/0000-0002-4474-8569; Palmer, Jonathan/0000-0002-6665-4483; Hutchinson, David/0000-0001-9385-4782; Fogwill, Chris/0000-0002-6471-1106; Roberts, Richard Graham/0000-0002-0128-4119; Li, Bo/0000-0003-4186-4828; Golledge, Nicholas/0000-0001-7676-8970; Turney, Chris/0000-0001-6733-0993; Thomas, Zoe/0000-0002-2323-4366</t>
  </si>
  <si>
    <t>Australasian Antarctic Expedition 2013-2014; Australian Research Council [FL100100195, FT120100004, DE130101336, DP130104156]; University of New South Wales; New Zealand Ministry of Business, Innovation and Employment's Science and Innovation Group; New Zealand Department of Conservation [37687-FAU, 39761-RES]</t>
  </si>
  <si>
    <t>Australasian Antarctic Expedition 2013-2014; Australian Research Council(Australian Research Council); University of New South Wales; New Zealand Ministry of Business, Innovation and Employment's Science and Innovation Group(New Zealand Ministry of Business, Innovation and Employment (MBIE)); New Zealand Department of Conservation</t>
  </si>
  <si>
    <t>First and foremost, we must acknowledge the contribution of Richard Jones, who was integral to this work and is dearly missed. The work was supported by the Australasian Antarctic Expedition 2013-2014, the Australian Research Council (FL100100195, FT120100004, DE130101336, and DP130104156), and the University of New South Wales. Matt S. McGlone and Janet M. Wilmshurst were supported by Core Funding for Crown Research Institutes from the New Zealand Ministry of Business, Innovation and Employment's Science and Innovation Group. Major thanks to the captain and crew of the MV Akademik Shokalskiy, James MacDiarmid and Ben Fink, and Henk Haazen and Kali Kahn on the Tiama for all their help in the field. Research on the New Zealand subantarctic Auckland and Campbell Islands was undertaken under the New Zealand Department of Conservation national authorisation numbers 37687-FAU and 39761-RES. Thanks to Jenny Dahl of the Rafter Radiocarbon Laboratory for advising on radiocarbon age NZA4509. Particle analysis was undertaken at the University of Exeter. We thank two anonymous reviewers for their helpful comments.</t>
  </si>
  <si>
    <t>MAR 14</t>
  </si>
  <si>
    <t>10.5194/cp-15-423-2019</t>
  </si>
  <si>
    <t>HO9KE</t>
  </si>
  <si>
    <t>Green Published, gold, Green Submitted, Green Accepted</t>
  </si>
  <si>
    <t>WOS:000461282600001</t>
  </si>
  <si>
    <t>Fons, SW; Kurtz, NT</t>
  </si>
  <si>
    <t>Fons, Steven W.; Kurtz, Nathan T.</t>
  </si>
  <si>
    <t>Retrieval of snow freeboard of Antarctic sea ice using waveform fitting of CryoSat-2 returns</t>
  </si>
  <si>
    <t>SOUTHERN-OCEAN; THICKNESS; VARIABILITY; DEPTH; SCALE; SURFACE; ALBEDO; FLUCTUATIONS; PENETRATION; BACKSCATTER</t>
  </si>
  <si>
    <t>In this paper we develop a CryoSat-2 algorithm to retrieve the surface elevation of the air-snow interface over Antarctic sea ice. This algorithm utilizes a two-layer physical model that accounts for scattering from a snow layer atop sea ice as well as scattering from below the snow surface. The model produces waveforms that are fit to CryoSat-2 level 1B data through a bounded trust region least-squares fitting process. These fit waveforms are then used to track the air-snow interface and retrieve the surface elevation at each point along the CryoSat-2 ground track, from which the snow freeboard is computed. To validate this algorithm, we compare retrieved surface elevation measurements and snow surface radar return power levels with those from Operation IceBridge, which flew along a contemporaneous CryoSat-2 orbit in October 2011 and November 2012. Average elevation differences (standard deviations) along the flight lines (IceBridge Airborne Topographic Mapper, ATM -CryoSat2) are found to be 0.016 cm (29.24 cm) in 2011 and 2.58 cm (26.65 cm) in 2012. The spatial distribution of monthly average pan-Antarctic snow freeboard found using this method is similar to what was observed from NASA's Ice, Cloud, and land Elevation Satellite (ICESat), where the difference (standard deviation) between October 2011-2017 CryoSat-2 mean snow freeboard and spring 2003-2007 mean freeboard from ICESat is 1.92 cm (9.23 cm). While our results suggest that this physical model and waveform fitting method can be used to retrieve snow freeboard from CryoSat-2, allowing for the potential to join laser and radar altimetry data records in the Antarctic, larger (similar to 30 cm) regional differences from ICESat and along-track differences from ATM do exist, suggesting the need for future improvements to the method. Snow-ice interface elevation retrieval is also explored as a potential to obtain snow depth measurements. However, it is found that this retrieval method often tracks a strong scattering layer within the snow layer instead of the actual snow-ice interface, leading to an overestimation of ice freeboard and an underestimation of snow depth in much of the Southern Ocean but with promising results in areas such as the East Antarctic sector.</t>
  </si>
  <si>
    <t>[Fons, Steven W.] Univ Maryland, Dept Atmospher &amp; Ocean Sci, College Pk, MD 20742 USA; [Fons, Steven W.] Univ Maryland, ESSIC, College Pk, MD 20742 USA; [Fons, Steven W.; Kurtz, Nathan T.] NASA, Cryospher Sci Lab, Goddard Space Flight Ctr, Greenbelt, MD 20771 USA</t>
  </si>
  <si>
    <t>University System of Maryland; University of Maryland College Park; University System of Maryland; University of Maryland College Park; National Aeronautics &amp; Space Administration (NASA); NASA Goddard Space Flight Center</t>
  </si>
  <si>
    <t>Fons, SW (corresponding author), Univ Maryland, Dept Atmospher &amp; Ocean Sci, College Pk, MD 20742 USA.;Fons, SW (corresponding author), Univ Maryland, ESSIC, College Pk, MD 20742 USA.;Fons, SW (corresponding author), NASA, Cryospher Sci Lab, Goddard Space Flight Ctr, Greenbelt, MD 20771 USA.</t>
  </si>
  <si>
    <t>steven.w.fons@nasa.gov</t>
  </si>
  <si>
    <t>NASA's Airborne Science and Cryospheric Sciences programs</t>
  </si>
  <si>
    <t>The authors would like to thank the European Space Agency for providing data from CryoSat-2, as well as the reviewers and editor for their constructive feedback. This work is funded by NASA's Airborne Science and Cryospheric Sciences programs.</t>
  </si>
  <si>
    <t>10.5194/tc-13-861-2019</t>
  </si>
  <si>
    <t>HO8KL</t>
  </si>
  <si>
    <t>WOS:000461199300001</t>
  </si>
  <si>
    <t>Sliwinska, KK; Thomsen, E; Schouten, S; Schoon, PL; Heilmann-Clausen, C</t>
  </si>
  <si>
    <t>Sliwinska, Kasia K.; Thomsen, Erik; Schouten, Stefan; Schoon, Petra L.; Heilmann-Clausen, Claus</t>
  </si>
  <si>
    <t>Climate- and gateway-driven cooling of Late Eocene to earliest Oligocene sea surface temperatures in the North Sea Basin</t>
  </si>
  <si>
    <t>ISOPRENOID TETRAETHER LIPIDS; MIDDLE EOCENE; ANTARCTIC GLACIATION; MEMBRANE-LIPIDS; ISOTOPE RECORDS; TEX86; MARINE; OXYGEN; ICE; ATLANTIC</t>
  </si>
  <si>
    <t>During the late Eocene, the Earth's climate experienced several transient temperature fluctuations including the Vonhof cooling event (C16n.1n; similar to 35.8 Ma) hitherto known mainly from the southern oceans. Here we reconstruct sea-surface temperatures (SST) and provide delta O-18 and delta C-13 foraminiferal records for the late Eocene and earliest Oligocene in the North Sea Basin. Our data reveal two main perturbations: (1), an abrupt brief cooling of similar to 4.5 degrees C dated to similar to 35.8 Ma and synchronous with the Vonhof cooling, which thus may be a global event, and (2) a gradual nearly 10 degrees C temperature fall starting at 36.1 Ma and culminating near the Eocene-Oligocene transition at similar to 33.9 Ma. The late Priabonian temperature trend in the North Sea shows some resemblance IODP Site U1404 from the North Atlantic, offshore Newfoundland; and is in contrast to the more abrupt change observed in the deep-sea delta O-18 records from the southern oceans. The cooling in the North Sea is large compared to the pattern seen in the North Atlantic record. This difference may be influenced by a late Eocene closure of the warm gateways connecting the North Sea with the Atlantic and Tethys oceans.</t>
  </si>
  <si>
    <t>[Sliwinska, Kasia K.] GEUS Geol Survey Denmark &amp; Greenland, Dept Stratig, Oster Voldgade 10, DK-1350 Copenhagen K, Denmark; [Thomsen, Erik; Heilmann-Clausen, Claus] Aarhus Univ, Dept Geosci, Hoegh Guldbergs Gade 2, DK-8000 Aarhus C, Denmark; [Schouten, Stefan; Schoon, Petra L.] Univ Utrecht, NIOZ Royal Netherlands Inst Sea Res, Dept Marine Microbiol &amp; Biogeochem, Texel, Netherlands; [Schouten, Stefan] Univ Utrecht, Fac Geosci, Dept Earth Sci, Utrecht, Netherlands</t>
  </si>
  <si>
    <t>Geological Survey Of Denmark &amp; Greenland; Aarhus University; Utrecht University; Royal Netherlands Institute for Sea Research (NIOZ); Utrecht University</t>
  </si>
  <si>
    <t>Sliwinska, KK (corresponding author), GEUS Geol Survey Denmark &amp; Greenland, Dept Stratig, Oster Voldgade 10, DK-1350 Copenhagen K, Denmark.</t>
  </si>
  <si>
    <t>kksl@geus.dk</t>
  </si>
  <si>
    <t>Śliwińska, Kasia Kamila/G-9097-2018; Heilmann-Clausen, Claus/A-4848-2012</t>
  </si>
  <si>
    <t>Śliwińska, Kasia Kamila/0000-0001-5488-8832;</t>
  </si>
  <si>
    <t>Danish Council for Independent Research/Natural Sciences (DFF/FNU) [272-08-0256, 11-107497]; Netherlands Earth System Science Center (NESSC) - Dutch Ministry of Science and Education</t>
  </si>
  <si>
    <t>Danish Council for Independent Research/Natural Sciences (DFF/FNU); Netherlands Earth System Science Center (NESSC) - Dutch Ministry of Science and Education</t>
  </si>
  <si>
    <t>The organic geochemical study was financed by the Danish Council for Independent Research/Natural Sciences (DFF/FNU) Grant No. 272-08-0256 to C.H.-C. and 11-107497 to K.K.S. S.S. was supported by the Netherlands Earth System Science Center (NESSC) which is financed by the Dutch Ministry of Science and Education. We thank A. Mets and J. Ossebaar (NIOZ) for help and support in the laboratory work. We express our gratitude to three anonymous reviewers for their valuable comments and suggestions.</t>
  </si>
  <si>
    <t>10.1038/s41598-019-41013-7</t>
  </si>
  <si>
    <t>HO7TI</t>
  </si>
  <si>
    <t>WOS:000461151800042</t>
  </si>
  <si>
    <t>Salwoom, L; Abd Rahman, RNZR; Salleh, A; Shariff, FM; Convey, P; Ali, MSM</t>
  </si>
  <si>
    <t>Salwoom, Leelatulasi; Abd Rahman, Raja Noor Zaliha Raja; Salleh, Abu Bakar; Shariff, Fairolniza Mohd; Convey, Peter; Ali, Mohd Shukuri Mohamad</t>
  </si>
  <si>
    <t>New Recombinant Cold-Adapted and Organic Solvent Tolerant Lipase from Psychrophilic Pseudomonas sp. LSK25, Isolated from Signy Island Antarctica</t>
  </si>
  <si>
    <t>INTERNATIONAL JOURNAL OF MOLECULAR SCIENCES</t>
  </si>
  <si>
    <t>Antarctica; cold adapted lipase; Pseudomonas sp; LSK25; purification; organic solvent tolerant</t>
  </si>
  <si>
    <t>SEA PSYCHROTROPHIC BACTERIUM; BIOCHEMICAL-CHARACTERIZATION; STABLE LIPASE; ACTIVE LIPASE; GENE CLONING; EXTRACELLULAR LIPASE; SECONDARY STRUCTURE; MICROBIAL LIPASES; MOLECULAR-CLONING; CRYSTAL-STRUCTURE</t>
  </si>
  <si>
    <t>In recent years, studies on psychrophilic lipases have become an emerging area of research in the field of enzymology. The study described here focuses on the cold-adapted organic solvent tolerant lipase strain Pseudomonas sp. LSK25 isolated from Signy Station, South Orkney Islands, maritime Antarctic. Strain LSK25 lipase was successfully cloned, sequenced, and over-expressed in an Escherichia coli system. Sequence analysis revealed that the lipase gene of Pseudomonas sp. LSK25 consists of 1432 bp, lacks an N-terminal signal peptide and encodes a mature protein consisting of 476 amino acids. The recombinant LSK25 lipase was purified by single-step purification using Ni-Sepharose affinity chromatography and had a molecular mass of approximately 65 kDa. The final recovery and purification fold were 44% and 1.3, respectively. The LSK25 lipase was optimally active at 30 degrees C and at pH 6. Stable lipolytic activity was reported between temperatures of 5-30 degrees C and at pH 6-8. A significant enhancement of lipolytic activity was observed in the presence of Ca2+ ions, the organic lipids of rice bran oil and coconut oil, a synthetic C12 ester and a wide range of water immiscible organic solvents. Overall, lipase strain LSK25 is a potentially desirable candidate for biotechnological application, due to its stability at low temperatures, across a range of pH and in organic solvents.</t>
  </si>
  <si>
    <t>[Salwoom, Leelatulasi; Abd Rahman, Raja Noor Zaliha Raja; Salleh, Abu Bakar; Shariff, Fairolniza Mohd; Ali, Mohd Shukuri Mohamad] Univ Putra Malaysia, Fac Biotechnol &amp; Biomol Sci, Enzyme &amp; Microbial Technol Res Ctr, Serdang 43400, Selangor, Malaysia; [Salwoom, Leelatulasi] Univ Malaya, NARC, B303,Block B,Level 3,IPS Bldg, Kuala Lumpur 50603, Malaysia; [Abd Rahman, Raja Noor Zaliha Raja; Shariff, Fairolniza Mohd] Univ Putra Malaysia, Fac Biotechnol &amp; Biomol Sci, Dept Microbiol, Serdang 43400, Selangor, Malaysia; [Convey, Peter] British Antarctic Survey, NERC, Madingley Rd, Cambridge CB3 OET, England; [Ali, Mohd Shukuri Mohamad] Univ Putra Malaysia, Fac Biotechnol &amp; Biomol Sci, Dept Biochem, Serdang 43400, Selangor, Malaysia</t>
  </si>
  <si>
    <t>Universiti Putra Malaysia; Universiti Malaya; Universiti Putra Malaysia; UK Research &amp; Innovation (UKRI); Natural Environment Research Council (NERC); NERC British Antarctic Survey; Universiti Putra Malaysia</t>
  </si>
  <si>
    <t>Ali, MSM (corresponding author), Univ Putra Malaysia, Fac Biotechnol &amp; Biomol Sci, Enzyme &amp; Microbial Technol Res Ctr, Serdang 43400, Selangor, Malaysia.;Ali, MSM (corresponding author), Univ Putra Malaysia, Fac Biotechnol &amp; Biomol Sci, Dept Biochem, Serdang 43400, Selangor, Malaysia.</t>
  </si>
  <si>
    <t>lt.salwoom@gmail.com; rnzaliha@upm.edu.my; abubakar@upm.edu.my; fairolniza@upm.edu.my; pcon@bas.ac.uk; mshukuri@upm.edu.my</t>
  </si>
  <si>
    <t>ALI, MOHD/IUM-6916-2023; Ali, Mohd Shukuri Mohamad/AAG-5453-2021; Shariff, Fairolniza Mohd/AAL-2880-2020; Shariff, Fairolniza Mohd/IYJ-2362-2023; Salwoom, Leelatulasi/AAY-3883-2021; Convey, Peter/AAV-5728-2020</t>
  </si>
  <si>
    <t>Ali, Mohd Shukuri Mohamad/0000-0003-2751-9649; Salwoom, Leelatulasi/0000-0002-1506-9129; Convey, Peter/0000-0001-8497-9903; Raja Abd. Rahman, Raja Noor Zaliha/0000-0002-6316-6177; Mohd Shariff, Fairolniza/0000-0001-7586-4784</t>
  </si>
  <si>
    <t>Sultan Mizan Antarctic Research Fellowship Grant (YPASM); University Putra Malaysia [GP-IPS/2015/9471200]; NERC; NERC [bas0100036] Funding Source: UKRI</t>
  </si>
  <si>
    <t>Sultan Mizan Antarctic Research Fellowship Grant (YPASM); University Putra Malaysia; NERC(UK Research &amp; Innovation (UKRI)Natural Environment Research Council (NERC)); NERC(UK Research &amp; Innovation (UKRI)Natural Environment Research Council (NERC))</t>
  </si>
  <si>
    <t>This research was supported by Sultan Mizan Antarctic Research Fellowship Grant (YPASM) and University Putra Malaysia research grant (GP-IPS/2015/9471200). Staffs at the British Antarctic Survey (BAS) are thanked for sample collection. PC is supported by NERC core funding to the British Antarctic Survey's Biodiversity, Evolution and Adaptation' Team.</t>
  </si>
  <si>
    <t>1422-0067</t>
  </si>
  <si>
    <t>INT J MOL SCI</t>
  </si>
  <si>
    <t>Int. J. Mol. Sci.</t>
  </si>
  <si>
    <t>MAR 13</t>
  </si>
  <si>
    <t>10.3390/ijms20061264</t>
  </si>
  <si>
    <t>HT0ZA</t>
  </si>
  <si>
    <t>WOS:000464292500014</t>
  </si>
  <si>
    <t>Fonseca-Batista, D; Li, XF; Riou, V; Michotey, V; Deman, F; Fripiat, F; Guasco, S; Brion, N; Lemaitre, N; Tonnard, M; Gallinari, M; Planquette, H; Planchon, F; Sarthou, G; Elskens, M; LaRoche, J; Chou, L; Dehairs, F</t>
  </si>
  <si>
    <t>Fonseca-Batista, Debany; Li, Xuefeng; Riou, Virginie; Michotey, Valerie; Deman, Florian; Fripiat, Francois; Guasco, Sophie; Brion, Natacha; Lemaitre, Nolwenn; Tonnard, Manon; Gallinari, Morgane; Planquette, Helene; Planchon, Frederic; Sarthou, Geraldine; Elskens, Marc; LaRoche, Julie; Chou, Lei; Dehairs, Frank</t>
  </si>
  <si>
    <t>Evidence of high N2 fixation rates in the temperate northeast Atlantic</t>
  </si>
  <si>
    <t>BIOGEOSCIENCES</t>
  </si>
  <si>
    <t>NITROGEN-FIXATION; ENVIRONMENTAL CONTROLS; DIAZOTROPHIC CYANOBACTERIA; DINITROGEN-FIXATION; NIFH GENES; MARINE; IRON; TRICHODESMIUM; DISTRIBUTIONS; VARIABILITY</t>
  </si>
  <si>
    <t>Diazotrophic activity and primary production (PP) were investigated along two transects (Belgica BG2014/14 and GEOVIDE cruises) off the western Iberian Margin and the Bay of Biscay in May 2014. Substantial N-2 fixation activity was observed at 8 of the 10 stations sampled, ranging overall from 81 to 384 mu mol N m(-2) d(-1) (0.7 to 8.2 nmol N L-1 d(-1)), with two sites close to the Iberian Margin situated between 38.8 and 40.7 degrees N yielding rates reaching up to 1355 and 1533 mu mol N m(-2) d(-1). Primary production was relatively lower along the Iberian Margin, with rates ranging from 33 to 59 mmol C m(-2) d(-1), while it increased towards the northwest away from the peninsula, reaching as high as 135 mmol C m(-2) d(-1). In agreement with the area-averaged Chl a satellite data contemporaneous with our study period, our results revealed that post-bloom conditions prevailed at most sites, while at the northwesternmost station the bloom was still ongoing. When converted to carbon uptake using Redfield stoichiometry, N-2 fixation could support 1% to 3% of daily PP in the euphotic layer at most sites, except at the two most active sites where this contribution to daily PP could reach up to 25 %. At the two sites where N-2 fixation activity was the highest, the prymnesiophyte-symbiont Candidatus Atelocyanobacterium thalassa (UCYN-A) dominated the nifH sequence pool, while the remaining recovered sequences belonged to non-cyanobacterial phylotypes. At all the other sites, however, the recovered nifH sequences were exclusively assigned phylogenetically to non-cyanobacterial phylotypes. The intense N-2 fixation activities recorded at the time of our study were likely promoted by the availability of phytoplankton-derived organic matter produced during the spring bloom, as evidenced by the significant surface particulate organic carbon concentrations. Also, the presence of excess phosphorus signature in surface waters seemed to contribute to sustaining N-2 fixation, particularly at the sites with extreme activities. These results provide a mechanistic understanding of the unexpectedly high N-2 fixation in productive waters of the temperate North Atlantic and highlight the importance of N-2 fixation for future assessment of the global N inventory.</t>
  </si>
  <si>
    <t>[Fonseca-Batista, Debany; Li, Xuefeng; Deman, Florian; Brion, Natacha; Lemaitre, Nolwenn; Elskens, Marc; Dehairs, Frank] Vrije Univ Brussel, Analyt Environm &amp; Geochem, Earth Syst Sci Res Grp, B-1050 Brussels, Belgium; [Fonseca-Batista, Debany; LaRoche, Julie] Dalhousie Univ, Dept Biol, Halifax, NS B3H 4R2, Canada; [Li, Xuefeng; Chou, Lei] Univ Libre Bruxelles, Serv Biogeochim &amp; Modelisat Syst Terre, B-1050 Brussels, Belgium; [Riou, Virginie; Michotey, Valerie; Guasco, Sophie] Univ Toulon &amp; Var, Aix Marseille Univ, CNRS, IRD,MIO, F-13288 Marseille 9, France; [Fripiat, Francois] Max Planck Inst Chem, D-55128 Mainz, Germany; [Lemaitre, Nolwenn; Tonnard, Manon; Gallinari, Morgane; Planquette, Helene; Planchon, Frederic; Sarthou, Geraldine] Inst Univ Europeen Mer, Lab Sci Environm MARin, CNRS, UMR 6539, F-29280 Plouzane, France; [Lemaitre, Nolwenn] Swiss Fed Inst Technol, Dept Earth Sci, Inst Geochem &amp; Petrol, CH-8092 Zurich, Switzerland; [Tonnard, Manon] Univ Tasmania, Inst Marine &amp; Antarctic Studies, Hobart, Tas 7001, Australia</t>
  </si>
  <si>
    <t>Vrije Universiteit Brussel; Dalhousie University; Universite Libre de Bruxelles; Aix-Marseille Universite; Universite de Toulon; Centre National de la Recherche Scientifique (CNRS); Institut de Recherche pour le Developpement (IRD); Max Planck Society; Centre National de la Recherche Scientifique (CNRS); CNRS - Institute of Ecology &amp; Environment (INEE); Universite de Bretagne Occidentale; Institut Universitaire Europeen de la Mer (IUEM); Ifremer; Institut de Recherche pour le Developpement (IRD); Swiss Federal Institutes of Technology Domain; ETH Zurich; University of Tasmania</t>
  </si>
  <si>
    <t>Fonseca-Batista, D (corresponding author), Vrije Univ Brussel, Analyt Environm &amp; Geochem, Earth Syst Sci Res Grp, B-1050 Brussels, Belgium.;Fonseca-Batista, D (corresponding author), Dalhousie Univ, Dept Biol, Halifax, NS B3H 4R2, Canada.</t>
  </si>
  <si>
    <t>dbatista8@hotmail.com</t>
  </si>
  <si>
    <t>Brion, Natacha/H-3565-2017; Fripiat, François/ABB-8918-2021; Michotey, Valerie/AAA-4397-2021; LaRoche, Julie/A-1109-2010; GALLINARI, Morgane/V-8099-2017</t>
  </si>
  <si>
    <t>Michotey, Valerie/0000-0001-6639-2877; Deman, Florian/0000-0001-6647-7360; Fonseca Pereira Batista, Debany/0000-0002-0785-5269; Sarthou, Geraldine/0000-0001-6560-6669; LaRoche, Julie/0000-0003-4809-6411; Elskens, Marc/0000-0002-8862-9422; GALLINARI, Morgane/0000-0002-2274-8162; Fripiat, Francois/0000-0002-2591-6301</t>
  </si>
  <si>
    <t>Flanders Research Foundation (FWO) [G0715.12N]; Vrije Universiteit Brussel, R&amp;D, Strategic Research Plan Tracers of Past &amp; Present Global Changes; Fund for Scientific Research -FNRS (F.R.S.-FNRS) of the Wallonia-Brussels Federation [J.0150.15]; French National Research Agency [ANR-13-B506-0014]; Institut National des Sciences de L'Univers (INSU) of the Centre National de la Recherche Scientifique (CNRS); French Institute for Marine Science (Ifremer); Investissements d' Avenir, French Government project of the French National Research Agency (ANR) through the A*Midex project [ANR-11-LABEX-0061, ANR11-IDEX-0001-02]; NSERC Discovery grant; Ocean Frontier Institute (OFI) grant (Canada First Research Excellence Funds)</t>
  </si>
  <si>
    <t>Flanders Research Foundation (FWO)(FWO); Vrije Universiteit Brussel, R&amp;D, Strategic Research Plan Tracers of Past &amp; Present Global Changes; Fund for Scientific Research -FNRS (F.R.S.-FNRS) of the Wallonia-Brussels Federation(Fonds de la Recherche Scientifique - FNRS); French National Research Agency(Agence Nationale de la Recherche (ANR)); Institut National des Sciences de L'Univers (INSU) of the Centre National de la Recherche Scientifique (CNRS); French Institute for Marine Science (Ifremer); Investissements d' Avenir, French Government project of the French National Research Agency (ANR) through the A*Midex project(Agence Nationale de la Recherche (ANR)); NSERC Discovery grant(Natural Sciences and Engineering Research Council of Canada (NSERC)); Ocean Frontier Institute (OFI) grant (Canada First Research Excellence Funds)</t>
  </si>
  <si>
    <t>We thank the Captains and the crews of R/V Belgica and R/V Pourquoi pas? for their skilful logistic support. A very special thank goes to the chief scientists Geraldine Sarthou and Pascale Lherminier of the GEOVIDE expedition for the great work experience and wonderful support on-board. We would like to give special thanks to Pierre Branellec, Michel Hamon, Catherine Kermabon, Philippe Le Bot, Stephane Leizour, Olivier Menage (Laboratoire d'Oceanographie Physique et Spatiale), Fabien Perault and Emmanuel de Saint Leger (Division Technique de l'INSU, Plouzane, France) for their technical expertise during clean CTD deployments. We thank Arnout Roukaerts and David Verstraeten for their assistance with laboratory analyses at the Vrije Universiteit Brussel. We acknowledge Ryan Barkhouse for the collection of the DNA samples during the GEOVIDE cruise, Jennifer Tolman and Jenni-Marie Ratten for the nifH amplification and tag sequencing. David Lherminer, Paul Treguer, Emilie Grossteffan and Manon Le Goff are gratefully acknowledged for providing us with the shipboard physicochemical data including CTD and nitrate plus nitrite data from the GEOVIDE expedition. Ship time for the Belgica BG2014/14 cruise was granted by Operational Directorate Natural Environment (OD Nature) of the Royal Institute of Natural Sciences, Belgium. OD Nature (Ostend) is also acknowledged for their assistance in CTD operations and data acquisition on-board the R/V Belgica. This work was financed by the Flanders Research Foundation (FWO contract G0715.12N) and Vrije Universiteit Brussel, R&amp;D, Strategic Research Plan Tracers of Past &amp; Present Global Changes, and is a Belgian contribution to SOLAS. Additional funding was provided by the Fund for Scientific Research -FNRS (F.R.S.-FNRS) of the Wallonia-Brussels Federation (convention no. J.0150.15). Xuefeng Li was a FNRS doctorate aspirant fellow (mandate no. FC99216). This study was also supported, through the GEOVIDE expedition, by the French National Research Agency (ANR-13-B506-0014), the Institut National des Sciences de L'Univers (INSU) of the Centre National de la Recherche Scientifique (CNRS) and the French Institute for Marine Science (Ifremer). This work was logistically supported by DT-INSU and GENAVIR. This publication is also a contribution to the Labex OT-Med (ANR-11-LABEX-0061; http://www.otmed.fr/, last access: 15 April 2018) funded by the Investissements d' Avenir, French Government project of the French National Research Agency (ANR; http://www.agence-nationale-recherche.fr/, last access: 15 April 2018) through the A*Midex project (ANR11-IDEX-0001-02), funding Virginie Riou during the preparation of the manuscript. Finally, this work was also supported by an NSERC Discovery grant and Ocean Frontier Institute (OFI) grant Canada First Research Excellence Funds) to Julie LaRoche, and the OFI postdoctoral fellow Debany Fonseca-Batista.</t>
  </si>
  <si>
    <t>1726-4170</t>
  </si>
  <si>
    <t>1726-4189</t>
  </si>
  <si>
    <t>Biogeosciences</t>
  </si>
  <si>
    <t>10.5194/bg-16-999-2019</t>
  </si>
  <si>
    <t>Ecology; Geosciences, Multidisciplinary</t>
  </si>
  <si>
    <t>HO8BJ</t>
  </si>
  <si>
    <t>WOS:000461174100003</t>
  </si>
  <si>
    <t>Nalesso, E; Hearn, A; Sosa-Nishizaki, O; Steiner, T; Antoniou, A; Reid, A; Bessudo, S; Soler, G; Klimley, P; Lara, F; Ketchum, JT; Arauz, R</t>
  </si>
  <si>
    <t>Nalesso, Elena; Hearn, Alex; Sosa-Nishizaki, Oscar; Steiner, Todd; Antoniou, Alex; Reid, Andrew; Bessudo, Sandra; Soler, German; Klimley, Peter; Lara, Frida; Ketchum, James T.; Arauz, Randall</t>
  </si>
  <si>
    <t>Movements of scalloped hammerhead sharks (Sphyrna lewini) at Cocos Island, Costa Rica and between oceanic islands in the Eastern Tropical Pacific</t>
  </si>
  <si>
    <t>MARINE PROTECTED AREAS; DEL COCO; NATIONAL-PARK; GOLFO DULCE; PATTERNS; CONSERVATION; GULF; FISHERY; DIEL; CONNECTIVITY</t>
  </si>
  <si>
    <t>Many species of sharks form aggregations around oceanic islands, yet their levels of residency and their site specificity around these islands may vary. In some cases, the waters around oceanic islands have been designated as marine protected areas, yet the conservation value for threatened shark species will depend greatly on how much time they spend within these protected waters. Eighty-four scalloped hammerhead sharks (Sphyrna lewini Griffith &amp; Smith), were tagged with acoustic transmitters at Cocos Island between 2005-2013. The average residence index, expressed as a proportion of days present in our receiver array at the island over the entire monitoring period, was 0.52 +/- 0.31, implying that overall the sharks are strongly associated with the island. Residency was significantly greater at Alcyone, a shallow seamount located 3.6 km offshore from the main island, than at the other sites. Timing of presence at the receiver locations was mostly during daytime hours. Although only a single individual from Cocos was detected on a region-wide array, nine hammerheads tagged at Galapagos and Malpelo travelled to Cocos. The hammerheads tagged at Cocos were more resident than those visiting from elsewhere, suggesting that the Galapagos and Malpelo populations may use Cocos as a navigational waypoint or stopover during seasonal migrations to the coastal Central and South America. Our study demonstrates the importance of oceanic islands for this species, and shows that they may form a network of hotspots in the Eastern Tropical Pacific.</t>
  </si>
  <si>
    <t>[Nalesso, Elena; Sosa-Nishizaki, Oscar] Ctr Invest Cient &amp; Educ Super Ensenada, Dept Biol Oceanog, Ensenada, Baja California, Mexico; [Nalesso, Elena; Arauz, Randall] Programa Restaurac Tortugas Marinas, San Jose, Costa Rica; [Hearn, Alex] Univ San Francisco Quito, Galapagos Sci Ctr, Colegio Ciencias Biol &amp; Ambientales, Quito, Ecuador; [Hearn, Alex; Steiner, Todd] Turtle Isl Restorat Network, Forest Knolls, CA USA; [Hearn, Alex; Steiner, Todd; Bessudo, Sandra; Soler, German; Klimley, Peter; Lara, Frida; Ketchum, James T.; Arauz, Randall] MigraMar, Forest Knolls, CA USA; [Antoniou, Alex] Fins Attached Marine Res &amp; Conservat, Colorado Springs, CO USA; [Reid, Andrew] Jurassic Shark Expedit, Dorchester, England; [Bessudo, Sandra; Soler, German] Fdn Malpelo &amp; Otros Ecosistemas Marinos, Bogota, Colombia; [Soler, German] Univ Tasmania, Inst Marine &amp; Antarctic Studies, Hobart, Tas, Australia; [Klimley, Peter] Univ Calif Davis, Dept Wildlife Fish &amp; Conservat Biol, Davis, CA 95616 USA; [Lara, Frida; Ketchum, James T.] Pelagios Kakunja AC, La Paz, Baja Calif Sur, Mexico</t>
  </si>
  <si>
    <t>CICESE - Centro de Investigacion Cientifica y de Educacion Superior de Ensenada; Universidad San Francisco de Quito; University of Tasmania; University of California System; University of California Davis</t>
  </si>
  <si>
    <t>Nalesso, E (corresponding author), Ctr Invest Cient &amp; Educ Super Ensenada, Dept Biol Oceanog, Ensenada, Baja California, Mexico.;Nalesso, E (corresponding author), Programa Restaurac Tortugas Marinas, San Jose, Costa Rica.</t>
  </si>
  <si>
    <t>nalesso.elena@gmail.com</t>
  </si>
  <si>
    <t>Sosa-Nishizaki, Oscar/AFB-7884-2022; Hearn, Alex/AAK-6461-2020</t>
  </si>
  <si>
    <t>Sosa-Nishizaki, Oscar/0000-0002-3043-768X; Hearn, Alex/0000-0002-4986-098X; Steiner, Todd/0000-0002-4094-7501; Nalesso, Elena/0000-0002-5276-3187; Reid, Andrew/0000-0002-7115-3288</t>
  </si>
  <si>
    <t>Whitley Fund for Nature; Sandler Foundation; Friends of Cocos Island National Park; Conservation International Costa Rica</t>
  </si>
  <si>
    <t>This work was supported by: Whitley Fund for Nature, https://whitleyaward.org/; Sandler Foundation, http://www.sandlerfoundation.org/; Friends of Cocos Island National Park, http://www.cocosisland. org/; Conservation International Costa Rica, https://www.conservation.org/where/Pages/Costa-Rica.aspx.The funders had no role in study design, data collection and analysis, decision to publish, or preparation of the manuscript.</t>
  </si>
  <si>
    <t>MAR 12</t>
  </si>
  <si>
    <t>e0213741</t>
  </si>
  <si>
    <t>10.1371/journal.pone.0213741</t>
  </si>
  <si>
    <t>HO6JJ</t>
  </si>
  <si>
    <t>WOS:000461035600057</t>
  </si>
  <si>
    <t>Ely, JC; Clark, CD; Small, D; Hindmarsh, RCA</t>
  </si>
  <si>
    <t>Ely, Jeremy C.; Clark, Chris D.; Small, David; Hindmarsh, Richard C. A.</t>
  </si>
  <si>
    <t>ATAT 1.1, the Automated Timing Accordance Tool for comparing ice-sheet model output with geochronological data</t>
  </si>
  <si>
    <t>LAST GLACIAL MAXIMUM; LARGE ENSEMBLE ANALYSIS; RELATIVE SEA-LEVEL; RADIOCARBON CONSTRAINTS; FUTURE; DEGLACIATION; SIMULATIONS; RETREAT; EARTH; RECONSTRUCTION</t>
  </si>
  <si>
    <t>Earth's extant ice sheets are of great societal importance given their ongoing and potential future contributions to sea-level rise. Numerical models of ice sheets are designed to simulate ice-sheet behaviour in response to climate changes but to be improved require validation against observations. The direct observational record of extant ice sheets is limited to a few recent decades, but there is a large and growing body of geochronological evidence spanning millennia constraining the behaviour of palaeo-ice sheets. Hindcasts can be used to improve model formulations and study interactions between ice sheets, the climate system and landscape. However, ice-sheet modelling results have inherent quantitative errors stemming from parameter uncertainty and their internal dynamics, leading many modellers to perform ensemble simulations, while uncertainty in geochronological evidence necessitates expert interpretation. Quantitative tools are essential to examine which members of an ice-sheet model ensemble best fit the constraints provided by geochronological data. We present the Automated Timing Accordance Tool (ATAT version 1.1) used to quantify differences between model results and geochronological data on the timing of ice-sheet advance and/or retreat. To demonstrate its utility, we perform three simplified ice-sheet modelling experiments of the former British-Irish ice sheet. These illustrate how ATAT can be used to quantify model performance, either by using the discrete locations where the data originated together with dating constraints or by comparing model outputs with empirically derived reconstructions that have used these data along with wider expert knowledge. The ATAT code is made available and can be used by ice-sheet modellers to quantify the goodness of fit of hindcasts. ATAT may also be useful for highlighting data inconsistent with glaciological principles or reconstructions that cannot be replicated by an ice-sheet model.</t>
  </si>
  <si>
    <t>[Ely, Jeremy C.; Clark, Chris D.] Univ Sheffield, Dept Geog, Sheffield S10 2TN, S Yorkshire, England; [Small, David] Univ Durham, Dept Geog, Durham DH1 3LE, England; [Hindmarsh, Richard C. A.] British Antarctic Survey, Madingley Rd, Cambridge CB3 0ET, England</t>
  </si>
  <si>
    <t>University of Sheffield; Durham University; UK Research &amp; Innovation (UKRI); Natural Environment Research Council (NERC); NERC British Antarctic Survey</t>
  </si>
  <si>
    <t>Ely, JC (corresponding author), Univ Sheffield, Dept Geog, Sheffield S10 2TN, S Yorkshire, England.</t>
  </si>
  <si>
    <t>j.ely@sheffield.ac.uk</t>
  </si>
  <si>
    <t>Hindmarsh, Richard/N-1195-2019; clark, chris/C-3830-2009</t>
  </si>
  <si>
    <t>Hindmarsh, Richard/0000-0003-1633-2416; clark, chris/0000-0002-1021-6679; Small, David/0000-0001-8381-2060; Ely, Jeremy/0000-0003-4007-1500</t>
  </si>
  <si>
    <t>Natural Environment Research Council consortium grant; NASA [NNX17AG65G]; NSF [PLR-1603799, PLR-1644277]; BRITICE-CHRONO [NE/J009768/1]; NERC [NE/J008095/1, bas0100034, NE/J008087/1, NE/J008176/1, NE/J009768/1] Funding Source: UKRI</t>
  </si>
  <si>
    <t>Natural Environment Research Council consortium grant; NASA(National Aeronautics &amp; Space Administration (NASA)); NSF(National Science Foundation (NSF)); BRITICE-CHRONO; NERC(UK Research &amp; Innovation (UKRI)Natural Environment Research Council (NERC))</t>
  </si>
  <si>
    <t>This work was supported by the Natural Environment Research Council consortium grant; BRITICE-CHRONO NE/J009768/1. Development of PISM is supported by NASA grant NNX17AG65G and NSF grants PLR-1603799 and PLR-1644277. We thank Evan Gowan and Lev Tarasov for their constructive reviews which improved the manuscript.</t>
  </si>
  <si>
    <t>10.5194/gmd-12-933-2019</t>
  </si>
  <si>
    <t>HO5FP</t>
  </si>
  <si>
    <t>WOS:000460949000001</t>
  </si>
  <si>
    <t>Han, XN; Liu, DC</t>
  </si>
  <si>
    <t>Han, Xiangning; Liu, Daicheng</t>
  </si>
  <si>
    <t>Detection and analysis of 17 steroid hormones by ultra-high-performance liquid chromatography-electrospray ionization mass spectrometry (UHPLC-MS) in different sex and maturity stages of Antarctic krill (Euphausia superba Dana)</t>
  </si>
  <si>
    <t>SOLID-PHASE DISPERSION; EXTRACTION; GROWTH; PROGESTOGENS; VERTEBRATE; TISSUES; SAMPLES; LIVER; EGGS; MILK</t>
  </si>
  <si>
    <t>A sensitive and accurate method for determination of 17 endogenous and exogenous steroid hormones in Antarctic krill was developed. The method utilized UHPLC-MS in electrospray ionization mode (ESI). Samples were prepared by alkaline hydrolysis; sequential vortex extraction with ethyl acetate, methanol and acetonitrile; followed by a QuEChERS (Quick, Easy, Cheap, Effective, Rugged and Safe) clean-up method. The system suitability tests including theoretical plate number, resolution, repeatability, tailing factor proved the system's resolution and reproducibility that can meet the requirements of sample analysis. The developed method resulted in satisfactory recoveries that varied from 75.4%-110.6% and relative standard deviations (RSDs) that ranged from 3.1%-10.5%. The ranges of the limits of detection (LODs) and the limits of quantitation (LOQs) were 2-30 ng kg(-1) and 10-100 ng kg(-1), respectively. 14 hormones including cortisone, aldosterone, testosterone propionate, estriol, megestrol acetate, cortisone acetate, dexamethasone, testosterone, hydroxyprogesterone, nandrolone, prednisolone, cortisol, progesterone and estradiol were found in Antarctic krill. Other 3 hormones (Diethylstilbestrol, norethisterone and androsterone) were not detected. The levels of exogenous steroid hormones were much greater than those of endogenous steroid hormones, and the levels of exogenous glucocorticoids were much greater than those of exogenous sex hormones. The changes of hormones in different sex and maturity stages were also explored. Endogenous hormones might regulate the reproductive and development of Antarctic krill. The detected exogenous hormones suggests the potential for hormonal contamination in Antarctic waters that can affect organisms even affect human beings by food chain.</t>
  </si>
  <si>
    <t>[Han, Xiangning; Liu, Daicheng] Shandong Normal Univ, Coll Life Sci, Key Lab Anim Resistance, Jinan, Shandong, Peoples R China</t>
  </si>
  <si>
    <t>Shandong Normal University</t>
  </si>
  <si>
    <t>Liu, DC (corresponding author), Shandong Normal Univ, Coll Life Sci, Key Lab Anim Resistance, Jinan, Shandong, Peoples R China.</t>
  </si>
  <si>
    <t>liudch@sdnu.edu.cn</t>
  </si>
  <si>
    <t>Shandong Key R&amp;D Plan, key scientific and technological project [gg10002088]</t>
  </si>
  <si>
    <t>Shandong Key R&amp;D Plan, key scientific and technological project</t>
  </si>
  <si>
    <t>This study was funded by the Shandong Key R&amp;D Plan, key scientific and technological project; grant no. gg10002088 (http://cloud.sdstc.gov.cn/). The funder had no role in study design, data collection and analysis, decision to publish, or preparation of the manuscript.</t>
  </si>
  <si>
    <t>MAR 11</t>
  </si>
  <si>
    <t>e0213398</t>
  </si>
  <si>
    <t>10.1371/journal.pone.0213398</t>
  </si>
  <si>
    <t>HO6HL</t>
  </si>
  <si>
    <t>WOS:000461030300035</t>
  </si>
  <si>
    <t>Kim, SJ; Kim, JG; Lee, SH; Park, SJ; Gwak, JH; Jung, MY; Chung, WH; Yang, EJ; Park, J; Jung, J; Hahn, Y; Cho, JC; Madsen, EL; Rodriguez-Valera, F; Hyun, JH; Rhee, SK</t>
  </si>
  <si>
    <t>Kim, So-Jeong; Kim, Jong-Geol; Lee, Sang-Hoon; Park, Soo-Je; Gwak, Joo-Han; Jung, Man-Young; Chung, Won-Hyung; Yang, Eun-Jin; Park, Jisoo; Jung, Jinyoung; Hahn, Yoonsoo; Cho, Jang-Cheon; Madsen, Eugene L.; Rodriguez-Valera, Francisco; Hyun, Jung-Ho; Rhee, Sung-Keun</t>
  </si>
  <si>
    <t>Genomic and metatranscriptomic analyses of carbon remineralization in an Antarctic polynya (vol 7, 29, 2019)</t>
  </si>
  <si>
    <t>MICROBIOME</t>
  </si>
  <si>
    <t>Carbon remineralization; Genomics; Metatranscriptomics; Polynya</t>
  </si>
  <si>
    <t>[Kim, So-Jeong] Korea Inst Geosci &amp; Mineral Resources, Geol Environm Res Div, Daejeon 34132, South Korea; [Kim, Jong-Geol; Gwak, Joo-Han; Rhee, Sung-Keun] Chungbuk Natl Univ, Dept Microbiol, Cheongju 28644, South Korea; [Lee, Sang-Hoon; Yang, Eun-Jin; Park, Jisoo; Jung, Jinyoung] Korea Polar Res Inst, Div Polar Ocean Environm, Incheon 21990, South Korea; [Park, Soo-Je] Jeju Natl Univ, Dept Biol, Jeju 63243, South Korea; [Jung, Man-Young] Univ Vienna, Dept Microbial Ecol, A-1090 Vienna, Austria; [Chung, Won-Hyung] Korea Food Res Inst, Res Grp Gut Microbiome, Sungnam 13539, South Korea; [Hahn, Yoonsoo] Chung Ang Univ, Dept Life Sci, Seoul 06974, South Korea; [Cho, Jang-Cheon] Inha Univ, Dept Biol Sci, Incheon 22212, South Korea; [Madsen, Eugene L.] Cornell Univ, Dept Microbiol, Ithaca, NY 14853 USA; [Rodriguez-Valera, Francisco] Univ Miguel Hernandez, Div Microbiol, Evolutionary Genom Grp, Apartado 18, Alicante 03550, Spain; [Hyun, Jung-Ho] Hanyang Univ, Dept Marine Sci &amp; Convergence Engn, ERICA Campus, Ansan 15588, South Korea</t>
  </si>
  <si>
    <t>Korea Institute of Geoscience &amp; Mineral Resources (KIGAM); Chungbuk National University; Korea Polar Research Institute (KOPRI); Jeju National University; University of Vienna; Korea Food Research Institute (KFRI); Chung Ang University; Inha University; Cornell University; Universidad Miguel Hernandez de Elche; Hanyang University</t>
  </si>
  <si>
    <t>Rhee, SK (corresponding author), Chungbuk Natl Univ, Dept Microbiol, Cheongju 28644, South Korea.</t>
  </si>
  <si>
    <t>rhees@chungbuk.ac.kr</t>
  </si>
  <si>
    <t>Cho, Jang-Cheon/B-4676-2013; Rodriguez-Valera, Francisco/M-2782-2013; Park, SJ/AAB-1372-2020</t>
  </si>
  <si>
    <t>Rodriguez-Valera, Francisco/0000-0002-9809-2059;</t>
  </si>
  <si>
    <t>2049-2618</t>
  </si>
  <si>
    <t>Microbiome</t>
  </si>
  <si>
    <t>10.1186/s40168-019-0655-0</t>
  </si>
  <si>
    <t>HO6MU</t>
  </si>
  <si>
    <t>WOS:000461044700002</t>
  </si>
  <si>
    <t>Chakraborty, B; Rao, VP; Salkar, T; Mahale, VP; Kurien, J</t>
  </si>
  <si>
    <t>Chakraborty, B.; Rao, V. Purnachandra; Salkar, Tejas; Mahale, Vasudev P.; Kurien, John</t>
  </si>
  <si>
    <t>Evidence for underwater current activity on the upper slope of the carbonate platform off western India using multibeam bathymetry</t>
  </si>
  <si>
    <t>CURRENT SCIENCE</t>
  </si>
  <si>
    <t>GREAT-BARRIER-REEF; HALIMEDA BIOHERMS; CONTINENTAL-SHELF; ARABIAN SEA; SEDIMENTS; HYDROGRAPHY; HOLOCENE; CIRCULATION; GROWTH; MARGIN</t>
  </si>
  <si>
    <t>[Chakraborty, B.; Rao, V. Purnachandra; Salkar, Tejas; Mahale, Vasudev P.] Natl Inst Oceanog, CSIR, Panaji 403004, Goa, India; [Rao, V. Purnachandra] Vignans Univ, Dept Civil Engn, Vadlamudi 522213, India; [Kurien, John] ESSO Natl Ctr Antarctic &amp; Ocean Res, Sada 403804, Vasco Da Gama, India</t>
  </si>
  <si>
    <t>Council of Scientific &amp; Industrial Research (CSIR) - India; CSIR - National Institute of Oceanography (NIO); Vignan's Foundation for Science, Technology &amp; Research (VFSTR); Ministry of Earth Sciences (MoES) - India; National Centre for Polar and Ocean Research (NCPOR)</t>
  </si>
  <si>
    <t>Rao, VP (corresponding author), Natl Inst Oceanog, CSIR, Panaji 403004, Goa, India.;Rao, VP (corresponding author), Vignans Univ, Dept Civil Engn, Vadlamudi 522213, India.</t>
  </si>
  <si>
    <t>vprao55@gmail.com</t>
  </si>
  <si>
    <t>Ministry of Earth Sciences, Government of India</t>
  </si>
  <si>
    <t>Ministry of Earth Sciences, Government of India(Ministry of Earth Science (MoES), Government of India)</t>
  </si>
  <si>
    <t>We thank the Director, CSIR-National Institute of Oceanography (CSIR-NIO), Goa, and the Vice-Chancellor, Vignan's University, Vadlamudi for encouragement. The Ministry of Earth Sciences, Government of India provided funds under the project 'Exclusive Economic Zone' to the CSIR-NIO for collecting and processing multi-beam bathymetry data.</t>
  </si>
  <si>
    <t>0011-3891</t>
  </si>
  <si>
    <t>CURR SCI INDIA</t>
  </si>
  <si>
    <t>Curr. Sci.</t>
  </si>
  <si>
    <t>MAR 10</t>
  </si>
  <si>
    <t>HO6RY</t>
  </si>
  <si>
    <t>WOS:000461059900016</t>
  </si>
  <si>
    <t>Popovicheva, O; Diapouli, E; Makshtas, A; Shonija, N; Manousakas, M; Saraga, D; Uttal, T; Eleftheriadis, K</t>
  </si>
  <si>
    <t>Popovicheva, O.; Diapouli, E.; Makshtas, A.; Shonija, N.; Manousakas, M.; Saraga, D.; Uttal, T.; Eleftheriadis, K.</t>
  </si>
  <si>
    <t>East Siberian Arctic background and black carbon polluted aerosols at HMO Tiksi</t>
  </si>
  <si>
    <t>Aerosol; Characterization; Black carbon; Arctic; Sources; Long-term transportation</t>
  </si>
  <si>
    <t>ATMOSPHERIC PARTICLES; PARTICULATE MATTER; FUNCTIONAL-GROUPS; ORGANIC-COMPOUNDS; AIR-POLLUTANTS; INORGANIC-IONS; SMOKE AEROSOL; NY-ALESUND; EMISSIONS; TRANSPORT</t>
  </si>
  <si>
    <t>Assessment of Arctic pollution is hampered by a lack of aerosol studies in Northern Siberia. Black carbon observations were carried out at the Hydrometeorological Observatory Tiksi, a coast of Laptev sea, from September 2014 to September 2016. Aerosol sampling was accompanied by physico-chemical characterization. BC climatology showed a seasonal variation with highest concentrations from January to March (up to 450 ng/m(3)) and lowest ones for June and September (about 20 ng/m(3)). Stagnant weather and stable atmosphere stratification resulted in accumulation of pollution, in dependence on the wind direction and air mass transportation. Carbon fractions, functionalities, ions, and elements are associated to marine, biogenic, and continental sources. In September low OC, aliphatic, carbonyls, amines, and hydroxyls characterize background aerosols. Na+/Cl- ratio much higher than in sea-salt indicates a strong Cl depletion. Increased OC, aromatic, carbonyls, and nitrocompounds as well as waste burning markers K+, Cl-, and PO42- confirm impacts from Tiksi landfill burns. BC pollution episodes are differentiated through increased EBC and sulfates, related to gas flaring, industrial and residential emissions transported from Western Siberia while the increase of carbonyls, hydroxyl, and aromatic indicate emissions sources from Yakutia and Tiksi urban area. Arctic Haze aerosols are characterized by increased concentrations of SO42- in comparison with OC, much higher abundance of oxygenated compounds with respect to alkanes of anthropogenic origin. In summer rich organic chemistry indicates impacts of biogenic, local urban, and shipping sources as well as secondary aerosol formation influenced by emissions from low latitude Siberia. (C) 2018 Published by Elsevier B.V.</t>
  </si>
  <si>
    <t>[Popovicheva, O.] Lomonosov Moscow State Univ, Scobeltsyn Inst Nucl Phys, Moscow 119991, Russia; [Diapouli, E.; Manousakas, M.; Saraga, D.; Eleftheriadis, K.] NCSR Demokritos, Inst Nucl &amp; Radiol Sci &amp; Technol Energy &amp; Safety, Athens 15310, Greece; [Makshtas, A.] Arctic Antarctic Res Inst, St Petersburg 199397, Russia; [Shonija, N.] Lomonosov Moscow State Univ, Dept Chem, Moscow 119991, Russia; [Uttal, T.] NOAA, Boulder, CO USA</t>
  </si>
  <si>
    <t>Lomonosov Moscow State University; National Centre of Scientific Research Demokritos; Arctic &amp; Antarctic Research Institute; Lomonosov Moscow State University; National Oceanic Atmospheric Admin (NOAA) - USA</t>
  </si>
  <si>
    <t>Popovicheva, O (corresponding author), Lomonosov Moscow State Univ, Scobeltsyn Inst Nucl Phys, Moscow 119991, Russia.;Eleftheriadis, K (corresponding author), NCSR Demokritos, Inst Nucl &amp; Radiol Sci &amp; Technol Energy &amp; Safety, Athens 15310, Greece.</t>
  </si>
  <si>
    <t>polga@mics.msu.su; elefther@ipta.demokritos.gr</t>
  </si>
  <si>
    <t>Saraga, Dikaia/AAA-1111-2019; Manousakas, Manousos/B-9283-2013; Eleftheriadis, Konstantinos/G-2814-2011</t>
  </si>
  <si>
    <t>Manousakas, Manousos/0000-0003-1111-0881; Saraga, Dikaia/0000-0002-8877-0776; Diapouli, Evangelia/0000-0002-8244-2018; Eleftheriadis, Konstantinos/0000-0003-2265-4905</t>
  </si>
  <si>
    <t>RFBR [18-05-60084/18]; Roshydromet CNTP project [1.5.3.2]; EnTeC FP7 Capacities Programme (REGPOT-2012-2013-1, FP7) [316173]; iCUPE (Integrative and Comprehensive Understanding on Polar Environments) project (strand 4 project of the ERAPLANET - H2020 Grant) [689443]</t>
  </si>
  <si>
    <t>RFBR(Russian Foundation for Basic Research (RFBR)); Roshydromet CNTP project; EnTeC FP7 Capacities Programme (REGPOT-2012-2013-1, FP7); iCUPE (Integrative and Comprehensive Understanding on Polar Environments) project (strand 4 project of the ERAPLANET - H2020 Grant)</t>
  </si>
  <si>
    <t>Financial support from RFBR project 18-05-60084/18, Roshydromet CNTP project 1.5.3.2, EnTeC FP7 Capacities Programme (REGPOT-2012-2013-1, FP7, ID: 316173) and partly support from the iCUPE (Integrative and Comprehensive Understanding on Polar Environments) project (strand 4 project of the ERAPLANET - H2020 Grant Agreement 689443) is acknowledged.</t>
  </si>
  <si>
    <t>10.1016/j.scitotenv.2018.11.165</t>
  </si>
  <si>
    <t>HG5QS</t>
  </si>
  <si>
    <t>WOS:000455034600093</t>
  </si>
  <si>
    <t>Maussion, F; Butenko, A; Champollion, N; Dusch, M; Eis, J; Fourteau, K; Gregor, P; Jarosch, AH; Landmann, J; Oesterle, F; Recinos, B; Rothenpieler, T; Vlug, A; Wild, CT; Marzeion, B</t>
  </si>
  <si>
    <t>Maussion, Fabien; Butenko, Anton; Champollion, Nicolas; Dusch, Matthias; Eis, Julia; Fourteau, Kevin; Gregor, Philipp; Jarosch, Alexander H.; Landmann, Johannes; Oesterle, Felix; Recinos, Beatriz; Rothenpieler, Timo; Vlug, Anouk; Wild, Christian T.; Marzeion, Ben</t>
  </si>
  <si>
    <t>The Open Global Glacier Model (OGGM) v1.1</t>
  </si>
  <si>
    <t>SURFACE MASS-BALANCE; CLIMATE VARIABILITY; ICE-SHEET; VOLUME; CALIBRATION; LENGTH</t>
  </si>
  <si>
    <t>Despite their importance for sea-level rise, seasonal water availability, and as a source of geohazards, mountain glaciers are one of the few remaining subsystems of the global climate system for which no globally applicable, open source, community-driven model exists. Here we present the Open Global Glacier Model (OGGM), developed to provide a modular and open-source numerical model framework for simulating past and future change of any glacier in the world. The modeling chain comprises data downloading tools (glacier outlines, topography, climate, validation data), a preprocessing module, a mass-balance model, a distributed ice thickness estimation model, and an ice-flow model. The monthly mass balance is obtained from gridded climate data and a temperature index melt model. To our knowledge, OGGM is the first global model to explicitly simulate glacier dynamics: the model relies on the shallow-ice approximation to compute the depth-integrated flux of ice along multiple connected flow lines. In this paper, we describe and illustrate each processing step by applying the model to a selection of glaciers before running global simulations under idealized climate forcings. Even without an in-depth calibration, the model shows very realistic behavior. We are able to reproduce earlier estimates of global glacier volume by varying the ice dynamical parameters within a range of plausible values. At the same time, the increased complexity of OGGM compared to other prevalent global glacier models comes at a reasonable computational cost: several dozen glaciers can be simulated on a personal computer, whereas global simulations realized in a supercomputing environment take up to a few hours per century. Thanks to the modular framework, modules of various complexity can be added to the code base, which allows for new kinds of model intercomparison studies in a controlled environment. Future developments will add new physical processes to the model as well as automated calibration tools. Extensions or alternative parameterizations can be easily added by the community thanks to comprehensive documentation. OGGM spans a wide range of applications, from ice-climate interaction studies at millennial timescales to estimates of the contribution of glaciers to past and future sea-level change. It has the potential to become a self-sustained community-driven model for global and regional glacier evolution.</t>
  </si>
  <si>
    <t>[Maussion, Fabien; Dusch, Matthias; Fourteau, Kevin; Gregor, Philipp; Jarosch, Alexander H.; Landmann, Johannes; Oesterle, Felix; Wild, Christian T.] Univ Innsbruck, Dept Atmospher &amp; Cryospher Sci, Innsbruck, Austria; [Butenko, Anton; Champollion, Nicolas; Eis, Julia; Recinos, Beatriz; Rothenpieler, Timo; Marzeion, Ben] Univ Bremen, Inst Geog, Bremen, Germany; [Fourteau, Kevin] Univ Grenoble Alpes, CNRS, IRD, Grenoble INP,IGE, F-38000 Grenoble, France; [Landmann, Johannes] Swiss Fed Inst Technol, Lab Hydraul Hydrol &amp; Glaciol VAW, Zurich, Switzerland; [Landmann, Johannes] Swiss Fed Inst Forest Snow &amp; Landscape Res WSL, Birmensdorf, Switzerland; [Oesterle, Felix] Univ Nat Resources &amp; Life Sci, Inst Mt Risk Engn, Vienna, Austria; [Recinos, Beatriz; Vlug, Anouk; Marzeion, Ben] MARUM Ctr Marine Environm Sci, Bremen, Germany; [Vlug, Anouk] Univ Bremen, Fac Geosci, Bremen, Germany; [Wild, Christian T.] Univ Canterbury, Ctr Antarctic Studies &amp; Res, Gateway Antarctica, Christchurch, New Zealand</t>
  </si>
  <si>
    <t>University of Innsbruck; University of Bremen; Institut de Recherche pour le Developpement (IRD); Centre National de la Recherche Scientifique (CNRS); Communaute Universite Grenoble Alpes; Institut National Polytechnique de Grenoble; Universite Grenoble Alpes (UGA); Swiss Federal Institutes of Technology Domain; ETH Zurich; Swiss Federal Institutes of Technology Domain; Swiss Federal Institute for Forest, Snow &amp; Landscape Research; BOKU University; University of Bremen; University of Bremen; University of Canterbury</t>
  </si>
  <si>
    <t>Maussion, F (corresponding author), Univ Innsbruck, Dept Atmospher &amp; Cryospher Sci, Innsbruck, Austria.</t>
  </si>
  <si>
    <t>fabien.maussion@uibk.ac.at</t>
  </si>
  <si>
    <t>Champollion, Nicolas/U-4188-2017; Marzeion, Ben/G-6514-2013; Fourteau, Kevin/ITV-9385-2023; Maussion, Fabien/B-9814-2013; Recinos, Beatriz/HLP-7278-2023; Champollion, Nicolas/B-7921-2014; Jarosch, Alexander H./J-5394-2013</t>
  </si>
  <si>
    <t>Fourteau, Kevin/0000-0002-9905-2446; Maussion, Fabien/0000-0002-3211-506X; Recinos, Beatriz/0000-0002-0647-8131; Gregor, Philipp/0000-0003-3213-0689; Oesterle, Felix/0000-0002-7772-6884; Champollion, Nicolas/0000-0001-7988-4694; Eis, Julia/0000-0001-7251-2695; Jarosch, Alexander H./0000-0003-2646-4527; Butenko, Anton/0000-0002-5603-0183; Landmann, Johannes Marian/0000-0003-0514-3521</t>
  </si>
  <si>
    <t>Austrian Science Fund (FWF) [P25362]; German Research Foundation [MA6966/1-1]; DFG through the International Research Training Group [IRTG 1904 ArcTrain]; ENS Paris-Saclay; German Federal Ministry of Education and Research [01LS1602A]; Amazon; Austrian Science Fund (FWF) [P25362] Funding Source: Austrian Science Fund (FWF)</t>
  </si>
  <si>
    <t>Austrian Science Fund (FWF)(Austrian Science Fund (FWF)); German Research Foundation(German Research Foundation (DFG)); DFG through the International Research Training Group; ENS Paris-Saclay; German Federal Ministry of Education and Research(Federal Ministry of Education &amp; Research (BMBF)); Amazon; Austrian Science Fund (FWF)(Austrian Science Fund (FWF))</t>
  </si>
  <si>
    <t>Ben Marzeion, Johannes Landmann, and Christian T. Wild were supported by the Austrian Science Fund (FWF), grant no. P25362. Ben Marzeion, Anton Butenko, and Julia Eis were supported by the German Research Foundation, grant no. MA6966/1-1. Anouk Vlug and Beatriz Recinos were supported by the DFG through the International Research Training Group IRTG 1904 ArcTrain. Kevin Fourteau was supported by the ENS Paris-Saclay. Nicolas Champollion was funded by the German Federal Ministry of Education and Research (grant no 01LS1602A). The computations were partially realized on resources provided by Amazon Web Services Cloud Computing (sponsored by Amazon) and on the computing facilities of the Institute of Geography, University of Bremen.</t>
  </si>
  <si>
    <t>MAR 8</t>
  </si>
  <si>
    <t>10.5194/gmd-12-909-2019</t>
  </si>
  <si>
    <t>HO3JY</t>
  </si>
  <si>
    <t>Green Submitted, Green Accepted, gold, Green Published</t>
  </si>
  <si>
    <t>WOS:000460819400001</t>
  </si>
  <si>
    <t>Hasenfratz, AP; Jaccard, SL; Martinez-Garcia, A; Sigman, DM; Hodell, DA; Vance, D; Bernasconi, SM; Kleiven, HF; Haumann, FA; Haug, GH</t>
  </si>
  <si>
    <t>Hasenfratz, Adam P.; Jaccard, Samuel L.; Martinez-Garcia, Alfredo; Sigman, Daniel M.; Hodell, David A.; Vance, Derek; Bernasconi, Stefano M.; Kleiven, Helga (Kikki) F.; Haumann, F. Alexander; Haug, Gerald H.</t>
  </si>
  <si>
    <t>The residence time of Southern Ocean surface waters and the 100,000-year ice age cycle</t>
  </si>
  <si>
    <t>FORAMINIFERAL MG/CA PALEOTHERMOMETRY; CARBON-DIOXIDE CONCENTRATION; SEA-ICE; ATMOSPHERIC CO2; PLANKTONIC-FORAMINIFERA; ISOTOPIC COMPOSITION; STABLE-ISOTOPES; ATLANTIC SECTOR; TEMPERATURE; DEEP</t>
  </si>
  <si>
    <t>From 1.25 million to 700,000 years ago, the ice age cycle deepened and lengthened from 41,000- to 100,000-year periodicity, a transition that remains unexplained. Using surface- and bottom-dwelling foraminifera from the Antarctic Zone of the Southern Ocean to reconstruct the deep-to-surface supply of water during the ice ages of the past 1.5 million years, we found that a reduction in deep water supply and a concomitant freshening of the surface ocean coincided with the emergence of the high-amplitude 100,000-year glacial cycle. We propose that this slowing of deep-to-surface circulation (i.e., a longer residence time for Antarctic surface waters) prolonged ice ages by allowing the Antarctic halocline to strengthen, which increased the resistance of the Antarctic upper water column to orbitally paced drivers of carbon dioxide release.</t>
  </si>
  <si>
    <t>[Hasenfratz, Adam P.; Bernasconi, Stefano M.; Haug, Gerald H.] Swiss Fed Inst Technol, Inst Geol, Dept Earth Sci, Zurich, Switzerland; [Hasenfratz, Adam P.; Jaccard, Samuel L.] Univ Bern, Inst Geol Sci, Bern, Switzerland; [Hasenfratz, Adam P.; Jaccard, Samuel L.] Univ Bern, Oeschger Ctr Climate Change Res, Bern, Switzerland; [Martinez-Garcia, Alfredo; Haug, Gerald H.] Max Planck Inst Chem, Mainz, Germany; [Sigman, Daniel M.] Princeton Univ, Dept Geosci, Guyot Hall, Princeton, NJ 08544 USA; [Hodell, David A.] Univ Cambridge, Dept Earth Sci, Cambridge, England; [Vance, Derek] Swiss Fed Inst Technol, Inst Geochem &amp; Petrol, Zurich, Switzerland; [Kleiven, Helga (Kikki) F.] Univ Bergen, Dept Earth Sci, Bergen, Norway; [Kleiven, Helga (Kikki) F.] Univ Bergen, Bjerknes Ctr Climate Res, Bergen, Norway; [Haumann, F. Alexander] British Antarctic Survey, Cambridge, England; [Haumann, F. Alexander] Princeton Univ, Atmospher &amp; Ocean Sci, Princeton, NJ 08544 USA</t>
  </si>
  <si>
    <t>Swiss Federal Institutes of Technology Domain; ETH Zurich; University of Bern; University of Bern; Max Planck Society; Princeton University; University of Cambridge; Swiss Federal Institutes of Technology Domain; ETH Zurich; University of Bergen; University of Bergen; Bjerknes Centre for Climate Research; UK Research &amp; Innovation (UKRI); Natural Environment Research Council (NERC); NERC British Antarctic Survey; Princeton University</t>
  </si>
  <si>
    <t>Hasenfratz, AP (corresponding author), Swiss Fed Inst Technol, Inst Geol, Dept Earth Sci, Zurich, Switzerland.;Hasenfratz, AP; Jaccard, SL (corresponding author), Univ Bern, Inst Geol Sci, Bern, Switzerland.;Hasenfratz, AP; Jaccard, SL (corresponding author), Univ Bern, Oeschger Ctr Climate Change Res, Bern, Switzerland.</t>
  </si>
  <si>
    <t>adam.hasenfratz@geo.unibe.ch; samuel.jaccard@geo.unibe.ch</t>
  </si>
  <si>
    <t>Martinez-Garcia, Alfredo/A-6244-2010; Sigman, Daniel M./A-2649-2008; Bernasconi, Stefano M/E-5394-2010; Haumann, Alexander/J-6679-2014; Sigman, Daniel M./IYJ-2613-2023; Jaccard, Samuel/G-3447-2014</t>
  </si>
  <si>
    <t>Martinez-Garcia, Alfredo/0000-0002-7206-5079; Sigman, Daniel M./0000-0002-7923-1973; Bernasconi, Stefano M/0000-0001-7672-8856; Haumann, Alexander/0000-0002-8218-977X; Kleiven, Kikki/0000-0002-4956-6182; Hodell, David/0000-0001-8537-1588; Jaccard, Samuel/0000-0002-5793-0896</t>
  </si>
  <si>
    <t>ETH Research Grant [ETH-04 11-1]; Swiss National Science Foundation [PP00P2_144811, PP00P2_172915, PZ00P2_141424, 175162]; Max Planck Society; NSF [OPP-1401489]; ExxonMobil through Princeton University's Andlinger Center for Energy and the Environment; BNP Paribas Foundation; ACE; Swiss Polar Institute; ACE Foundation; Ferring Pharmaceuticals; NSF; Joint Oceanographic Institutions (JOI) Inc.; NERC [bas0100033] Funding Source: UKRI</t>
  </si>
  <si>
    <t>ETH Research Grant; Swiss National Science Foundation(Swiss National Science Foundation (SNSF)); Max Planck Society(Max Planck Society); NSF(National Science Foundation (NSF)); ExxonMobil through Princeton University's Andlinger Center for Energy and the Environment(Exxon Mobil Corporation); BNP Paribas Foundation; ACE; Swiss Polar Institute; ACE Foundation; Ferring Pharmaceuticals(Ferring Pharmaceuticals); NSF(National Science Foundation (NSF)); Joint Oceanographic Institutions (JOI) Inc.; NERC(UK Research &amp; Innovation (UKRI)Natural Environment Research Council (NERC))</t>
  </si>
  <si>
    <t>Supported by ETH Research Grant ETH-04 11-1 (A.P.H.); Swiss National Science Foundation grants PP00P2_144811 and PP00P2_172915 (S.L.J.), PZ00P2_141424 (A.M.-G.), and 175162 (F.A.H.); the Max Planck Society (A.M.-G. and G.H.H.); and NSF grant OPP-1401489 and ExxonMobil through Princeton University's Andlinger Center for Energy and the Environment (D.M.S.). Modern oxygen isotope sample collection by F.A.H. was supported by the BNP Paribas Foundation and ACE, which was a scientific expedition carried out under the auspices of the Swiss Polar Institute, supported by funding from the ACE Foundation and Ferring Pharmaceuticals. This research used sediment samples provided by the ODP, which is supported by NSF and participating countries under management of Joint Oceanographic Institutions (JOI) Inc.</t>
  </si>
  <si>
    <t>10.1126/science.aat7067</t>
  </si>
  <si>
    <t>HO2MV</t>
  </si>
  <si>
    <t>WOS:000460750100043</t>
  </si>
  <si>
    <t>Lacerda, ALD; Rodrigues, LD; van Sebille, E; Rodrigues, FL; Ribeiro, L; Secchi, ER; Kessler, F; Proietti, MC</t>
  </si>
  <si>
    <t>Lacerda, Ana L. d F.; Rodrigues, Lucas dos S.; van Sebille, Erik; Rodrigues, Fabio L.; Ribeiro, Lourenco; Secchi, Eduardo R.; Kessler, Felipe; Proietti, Maira C.</t>
  </si>
  <si>
    <t>Plastics in sea surface waters around the Antarctic Peninsula</t>
  </si>
  <si>
    <t>MARINE-ENVIRONMENT; TOXIC-CHEMICALS; DEBRIS; MICROPLASTICS; ACCUMULATION; PARTICLES; DISPERSAL; TRANSPORT; OCEAN; CONSEQUENCES</t>
  </si>
  <si>
    <t>Although marine plastic pollution has been the focus of several studies, there are still many gaps in our understanding of the concentrations, characteristics and impacts of plastics in the oceans. This study aimed to quantify and characterize plastic debris in oceanic surface waters of the Antarctic Peninsula. Sampling was done through surface trawls, and mean debris concentration was estimated at 1,794 items. km(-2) with an average weight of 27.8 g. km(-2). No statistical difference was found between the amount of mesoplastics (46%) and microplastics (54%). We found hard and flexible fragments, spheres and lines, in nine colors, composed mostly of polyurethane, polyamide, and polyethylene. An oceanographic dispersal model showed that, for at least seven years, sampled plastics likely did not originate from latitudes lower than 58 degrees S. Analysis of epiplastic community diversity revealed bacteria, microalgae, and invertebrate groups adhered to debris. Paint fragments were present at all sampling stations and were approximately 30 times more abundant than plastics. Although paint particles were not included in plastic concentration estimates, we highlight that they could have similar impacts as marine plastics. We call for urgent action to avoid and mitigate plastic and paint fragment inputs to the Southern Ocean.</t>
  </si>
  <si>
    <t>[Lacerda, Ana L. d F.; Rodrigues, Lucas dos S.; Secchi, Eduardo R.; Proietti, Maira C.] Univ Fed Rio Grande, Inst Oceanog, Rio Grande, Brazil; [Lacerda, Ana L. d F.] Univ Salford, Sch Environm &amp; Life Sci, Manchester, Lancs, England; [van Sebille, Erik] Univ Utrecht, Inst Marine &amp; Atmospher Res Utrecht, Utrecht, Netherlands; [Rodrigues, Fabio L.] Univ Fed Rio Grande do Sul, Ctr Estudos Costeiros Limnol &amp; Marinhos, Imbe, Brazil; [Ribeiro, Lourenco] Univ Nantes, Inst Univ Mer &amp; Littoral, Lab Mer Mol Sante, Nantes, France; [Ribeiro, Lourenco] Univ Lisbon, Fac Ciencias, Marine &amp; Environm Sci Ctr, Lisbon, Portugal; [Kessler, Felipe] Univ Fed Rio Grande, Escola Quim &amp; Alimentos, Rio Grande, Brazil</t>
  </si>
  <si>
    <t>Universidade Federal do Rio Grande; University of Salford; University of Manchester; Utrecht University; Universidade Federal do Rio Grande do Sul; Nantes Universite; Universidade de Lisboa; Universidade Federal do Rio Grande</t>
  </si>
  <si>
    <t>Lacerda, ALD (corresponding author), Univ Fed Rio Grande, Inst Oceanog, Rio Grande, Brazil.;Lacerda, ALD (corresponding author), Univ Salford, Sch Environm &amp; Life Sci, Manchester, Lancs, England.</t>
  </si>
  <si>
    <t>analuzialacerda@gmail.com</t>
  </si>
  <si>
    <t>Rodrigues, Lucas/GOH-1924-2022; Kessler, Felipe/K-5349-2014; Ribeiro, Lourenço S./A-3978-2012; Secchi, Eduardo R./ABF-1191-2020</t>
  </si>
  <si>
    <t>Kessler, Felipe/0000-0001-5641-6871; Ribeiro, Lourenço S./0000-0002-6585-0140; Secchi, Eduardo R./0000-0001-9087-9909; Proietti, Maira/0000-0002-5504-5770; Rodrigues, Lucas/0000-0003-2310-2619; Lameiro Rodrigues, Fabio/0000-0002-6994-6633; Lacerda, Ana Luzia/0000-0001-6654-5597</t>
  </si>
  <si>
    <t>Program of Academic Excellence (PROEX) from the Coordination for the Improvement of Higher Education Personnel (Coordenacao de Aperfeicoamento de Pessoal de Nivel Superior-CAPES); National Council for Research and Development (Conselho Nacional de Desenvolvimento Cientifico e Tecnologico-CNPq) of the Brazilian Ministry of Science, Technology, Innovation and Communication-MCTIC [407889/2013-2]; CNPq [PQ 307846/2014-8, PQ 312470/2018-5]; European Research Council (ERC) under the European Union [715386]; FCT [UID/MAR/04292/2019]</t>
  </si>
  <si>
    <t>Program of Academic Excellence (PROEX) from the Coordination for the Improvement of Higher Education Personnel (Coordenacao de Aperfeicoamento de Pessoal de Nivel Superior-CAPES); National Council for Research and Development (Conselho Nacional de Desenvolvimento Cientifico e Tecnologico-CNPq) of the Brazilian Ministry of Science, Technology, Innovation and Communication-MCTIC; CNPq(Conselho Nacional de Desenvolvimento Cientifico e Tecnologico (CNPQ)); European Research Council (ERC) under the European Union(European Research Council (ERC)); FCT(Fundacao para a Ciencia e a Tecnologia (FCT))</t>
  </si>
  <si>
    <t>A.L.d.F. Lacerda received a scholarship and was supported with a funding from the Program of Academic Excellence (PROEX) from the Coordination for the Improvement of Higher Education Personnel (Coordenacao de Aperfeicoamento de Pessoal de Nivel Superior-CAPES). We thank all Brazilian Navy crew of the Polar Vessel Almirante Maximiano, as well as investigators involved in the cruise, for their efforts during sampling. This study was conducted within the activities of project INTERBIOTA, financed by the National Council for Research and Development (Conselho Nacional de Desenvolvimento Cientifico e Tecnologico-CNPq Grant number 407889/2013-2) of the Brazilian Ministry of Science, Technology, Innovation and Communication-MCTIC. CNPq also provided research fellowship to ERS (PQ 307846/2014-8) and MCP (PQ 312470/2018-5). This work is a contribution of the Grupo de Oceanografia de Altas Latitudes-GOAL/High Latitude Oceanography Group-under the scope of the Brazilian Antarctic Program (PROANTAR). SEM images were taken at the Electron Microscopy Center (CEME-Sul, PROPESP-FURG) with the assistance of Rudmar Krumreick and Caroline P. Ruas. EvS was supported through funding from the European Research Council (ERC) under the European Union's Horizon 2020 research and innovation programme (Grant Agreement No. 715386). L.R. was supported by FCT through strategic projects UID/MAR/04292/2019.</t>
  </si>
  <si>
    <t>10.1038/s41598-019-40311-4</t>
  </si>
  <si>
    <t>HO0WZ</t>
  </si>
  <si>
    <t>WOS:000460627700065</t>
  </si>
  <si>
    <t>McClanahan, TR; Schroeder, RE; Friedlander, AM; Vigliola, L; Wantiez, L; Caselle, JE; Graham, NAJ; Wilson, S; Edgar, GJ; Stuart-Smith, RD; Oddenyo, RM; Cinner, JE</t>
  </si>
  <si>
    <t>McClanahan, Tim R.; Schroeder, Robert E.; Friedlander, Alan M.; Vigliola, Laurent; Wantiez, Laurent; Caselle, Jennifer E.; Graham, Nicholas A. J.; Wilson, Shaun; Edgar, Graham J.; Stuart-Smith, Rick D.; Oddenyo, Remy M.; Cinner, J. E.</t>
  </si>
  <si>
    <t>Global baselines and benchmarks for fish biomass: comparing remote reefs and fisheries closures</t>
  </si>
  <si>
    <t>Baselines; Coral reef fish; Fisheries and ecological indicators; Pristine or virgin biomass; Sustainability</t>
  </si>
  <si>
    <t>MARINE PROTECTED AREAS; STRUCTURAL COMPLEXITY; CORAL; CONSERVATION; BIODIVERSITY; MANAGEMENT; RECOVERY; EXPLOITATION; DEGRADATION; ASSEMBLAGES</t>
  </si>
  <si>
    <t>Baselines and benchmarks (B&amp;Bs) are needed to evaluate the ecological status and fisheries potential of coral reefs. B&amp;Bs may depend on habitat features and energetic limitations that constrain biomass within the natural variability of the environment and fish behaviors. To evaluate if broad B&amp;Bs exist, we compiled data on the biomass of fishes in similar to 1000 reefs with no recent history of fishing in 19 ecoregions. These reefs spanned the full longitude and latitude of Indian and Pacific Ocean reefs and included older high-compliance fisheries closures (&gt;15 yr closure) and remote reef areas (&gt;9 h travel time from fisheries markets). There was no significant change in biomass over the 15 to 48 yr closure period but closures had only similar to 40% of the biomass (740 kg ha(-1), lower confidence interval [LCI] = 660 kg ha(-1), upper confidence interval [UCI] = 810 kg ha(-1), n = 157) of remote tropical reefs (1870 [1730, 2000] kg ha(-1), n = 503). Remote subtropical reefs had lower biomass (950 [860, 1040] kg ha(-1), n = 329) than tropical reefs. Closures and remote reef fish biomass responded differently to environmental variables of coral cover, net primary productivity, and light, indicating that remote reefs are more limited by productivity and habitat than closures. Closures in fished seascapes are unlikely to achieve the biomass and community composition of remote reefs, which suggests fisheries benchmarks will differ substantially from wilderness baselines. A fishery benchmark (B-0) of similar to 1000 kg ha(-1) adjusted for geography is suggested for fisheries purposes. For ecological purposes, a wilderness baseline of similar to 1900 kg ha(-1) is appropriate for including large and mobile species not well protected by closures.</t>
  </si>
  <si>
    <t>[McClanahan, Tim R.] Wildlife Conservat Soc, Marine Programs, Bronx, NY 10460 USA; [Schroeder, Robert E.] Natl Ocean &amp; Atmospher Adm Fisheries, Honolulu, HI 96818 USA; [Friedlander, Alan M.] Natl Geog Soc, Pristine Seas, Washington, DC 20036 USA; [Friedlander, Alan M.] Univ Hawaii, Fisheries Ecol Res Lab, Honolulu, HI 96822 USA; [Vigliola, Laurent] IRD, UMR ENTROPIE, Lab Excellence LABEX Corail, Noumea 98851, New Caledonia; [Wantiez, Laurent] Univ New Caledonia, ISEA, EA7484, Noumea 98851, New Caledonia; [Caselle, Jennifer E.] Univ Calif Santa Barbara, Marine Sci Inst, Santa Barbara, CA 93106 USA; [Graham, Nicholas A. J.] Univ Lancaster, Lancaster Environm Ctr, Lancaster LA1 4YQ, England; [Wilson, Shaun] Dept Biodivers Conservat &amp; Attract, Kensington, WA 6151, Australia; [Wilson, Shaun] Univ Western Australia, Oceans Inst, Crawley, WA 6009, Australia; [Edgar, Graham J.; Stuart-Smith, Rick D.] Univ Tasmania, Inst Marine &amp; Antarctic Studies, Hobart, Tas 7001, Australia; [Oddenyo, Remy M.] Wildlife Conservat Soc, Coral Reef Conservat Program, Mombasa 80107, Kenya; [Cinner, J. E.] James Cook Univ, Australian Res Council, Townsville, Qld 4811, Australia</t>
  </si>
  <si>
    <t>Wildlife Conservation Society; National Oceanic Atmospheric Admin (NOAA) - USA; National Geographic Society; University of Hawaii System; Institut de Recherche pour le Developpement (IRD); Universite Nouvelle Caledonie; University of California System; University of California Santa Barbara; Lancaster University; University of Western Australia; University of Tasmania; James Cook University</t>
  </si>
  <si>
    <t>McClanahan, TR (corresponding author), Wildlife Conservat Soc, Marine Programs, Bronx, NY 10460 USA.</t>
  </si>
  <si>
    <t>tmcclanahan@wcs.org</t>
  </si>
  <si>
    <t>Stuart-Smith, Rick D/M-1829-2013; Wantiez, Laurent/L-3343-2013; Cinner, Joshua/AAA-6823-2021; Wilson, Shaun/K-8597-2019; Edgar, Graham/AAY-3797-2020; Cinner, Joshua Eli/E-8966-2011; Vigliola, Laurent/J-7107-2016; Graham, Nicholas/C-8360-2014</t>
  </si>
  <si>
    <t>Stuart-Smith, Rick D/0000-0002-8874-0083; Wantiez, Laurent/0000-0001-5024-2057; Wilson, Shaun/0000-0002-4590-0948; Edgar, Graham/0000-0003-0833-9001; Cinner, Joshua Eli/0000-0003-2675-9317; Vigliola, Laurent/0000-0003-4715-7470; Graham, Nicholas/0000-0002-0304-7467; Oddenyo, Remy M./0000-0002-7265-6522</t>
  </si>
  <si>
    <t>Wildlife Conservation Society through The John D. and Catherine T. MacArthur Foundation; United States Agency for International Development; Western Indian Ocean Marine Science Association Marine Science for Management Program; Ecosystem Services for Poverty Alleviation (ESPA) programme of the Department for International Development (DFID); Economic and Social Research Council (ESRC); Natural Environment Research Council (NERC); Total Foundation; NOAA Coral Reef Conservation Program</t>
  </si>
  <si>
    <t>Wildlife Conservation Society through The John D. and Catherine T. MacArthur Foundation; United States Agency for International Development(United States Agency for International Development (USAID)); Western Indian Ocean Marine Science Association Marine Science for Management Program; Ecosystem Services for Poverty Alleviation (ESPA) programme of the Department for International Development (DFID); Economic and Social Research Council (ESRC)(UK Research &amp; Innovation (UKRI)Economic &amp; Social Research Council (ESRC)); Natural Environment Research Council (NERC)(UK Research &amp; Innovation (UKRI)Natural Environment Research Council (NERC)); Total Foundation(Total SA); NOAA Coral Reef Conservation Program(National Oceanic Atmospheric Admin (NOAA) - USA)</t>
  </si>
  <si>
    <t>This overall synthesis work was supported by the Wildlife Conservation Society through a grant from The John D. and Catherine T. MacArthur Foundation. Funding for the individual field studies included support to T.R.M. by United States Agency for International Development, the Western Indian Ocean Marine Science Association Marine Science for Management Program, and the Ecosystem Services for Poverty Alleviation (ESPA) programme of the Department for International Development (DFID), the Economic and Social Research Council (ESRC) and the Natural Environment Research Council (NERC). The study benefited from data collected by the Pristine Reefs project funded by the Total Foundation. The University of Hawaii Joint Institute for Marine and Atmospheric Research and the NOAA (National Oceanic and Atmospheric Administration) Pacific Islands Fisheries Science Center's Coral Reef Eco system Program contributed to surveys of the US Pacific Islands, funded by the NOAA Coral Reef Conservation Program. We thank Octavio Aburto-Oropeza, Cakacaka Akuila, Paula Ayotte, Jim Beets, Maria Beger, Pauline Bosserelle, Andrew Johnson, Tasrif Kartawijaya, Eva Maire, Ismael Mascarenas-Osorio, Shinta Pardede, Stuart Sandin, Fakhrizal Setiawan, Gilles Siu, Sukmaraharja Tarigan, and Ivor Williams for either data, logistic, or fieldwork assistance.</t>
  </si>
  <si>
    <t>MAR 7</t>
  </si>
  <si>
    <t>10.3354/meps12874</t>
  </si>
  <si>
    <t>HT4FH</t>
  </si>
  <si>
    <t>WOS:000464518900012</t>
  </si>
  <si>
    <t>Durán, P; Barra, PJ; Jorquera, MA; Viscardi, S; Fernandez, C; Paz, C; Mora, MD; Bol, R</t>
  </si>
  <si>
    <t>Duran, Paola; Barra, Patricio J.; Jorquera, Milko A.; Viscardi, Sharon; Fernandez, Camila; Paz, Cristian; de la Luz Mora, Maria; Bol, Roland</t>
  </si>
  <si>
    <t>Occurrence of Soil Fungi in Antarctic Pristine Environments</t>
  </si>
  <si>
    <t>FRONTIERS IN BIOENGINEERING AND BIOTECHNOLOGY</t>
  </si>
  <si>
    <t>Antarctica; fungal community; biodiversity index; extreme environment; cold desert</t>
  </si>
  <si>
    <t>COMMUNITY; RICHNESS; BACTERIA; VALLEY</t>
  </si>
  <si>
    <t>The presence of fungi in pristine Antarctic soils is of particular interest because of the diversity of this microbial group. However, the extreme conditions that coexist in Antarctica produce a strong selective pressure that could lead to the evolution of novel mechanisms for stress tolerance by indigenous microorganisms. For this reason, in recent years, research on cold-adapted microorganisms has increased, driven by their potential value for applications in biotechnology. Cold-adapted fungi, in particular, have become important sources for the discovery of novel bioactive secondary metabolites and enzymes. In this study, we studied the fungal community structure of 12 soil samples from Antarctic sites, including King George Island (including Collins Glacier), Deception Island and Robert Island. Culturable fungi were isolated and described according to their morphological and phenotypical characteristics, and the richness index was compared with soil chemical properties to describe the fungal community and associated environmental parameters. We isolated 54 fungal strains belonging to the following 19 genera: Penicillium, Pseudogymnoascus, Lambertella, Cadophora, Candida, Mortierella, Oxygenales, Geomyces, Vishniacozyma, Talaromyces, Rhizopus, Antarctomyces, Cosmospora, Tetracladium, Leptosphaeria, Lecanicillium, Thelebolus, Bjerkandera and an uncultured Zygomycete. The isolated fungi were comprised of 70% Ascomycota, 10% Zygomycota, 10% Basidiomycota, 5% Deuteromycota and 5% Mucoromycota, highlighting that most strains were associated with similar genera grown in cold environments. Among the culturable strains, 55% were psychrotrophic and 45% were psychrophilic, and most were Ascomycetes occurring in their teleomorph forms. Soils from the Collins Glacier showed less species richness and greater species dominance compared with the rest of the sites, whereas samples 4, 7, and 10 (from Fildes Bay, Coppermine Peninsula and Arctowski Station, respectively) showed greater species richness and less species dominance. Species richness was related to the C/N ratio, whereas species dominance was inversely related to C and N content. Thus, the structure of the fungal community was mainly related to soil chemical parameters more than sample location and altitude.</t>
  </si>
  <si>
    <t>[Duran, Paola; Barra, Patricio J.; Jorquera, Milko A.; Paz, Cristian; de la Luz Mora, Maria] Univ La Frontera, Sci &amp; Technol Bioresource Nucleus, Temuco 2, Chile; [Duran, Paola; Fernandez, Camila] Univ La Frontera, Biocontrol Res Lab, Temuco 2, Chile; [Jorquera, Milko A.] Univ La Frontera, Lab Ecol Microbiana Aolicada, Dept Ciencias Quim &amp; Recursos Nat, Temuco 2, Chile; [Viscardi, Sharon] Univ Catolica Temuco, Dept Proc Diagnost &amp; Evaluac, Fac Ciencias Salud, Temuco, Chile; [Bol, Roland] Forschungszentrum Julich, Agrosphere IBG 3, Inst Bio &amp; Geosci, Julich, Germany</t>
  </si>
  <si>
    <t>Universidad de La Frontera; Universidad de La Frontera; Universidad de La Frontera; Universidad Catolica de Temuco; Helmholtz Association; Research Center Julich</t>
  </si>
  <si>
    <t>Durán, P (corresponding author), Univ La Frontera, Sci &amp; Technol Bioresource Nucleus, Temuco 2, Chile.;Durán, P (corresponding author), Univ La Frontera, Biocontrol Res Lab, Temuco 2, Chile.</t>
  </si>
  <si>
    <t>paola.duran@ufrontera.cl</t>
  </si>
  <si>
    <t>Jorquera, Milko Alberto/B-7378-2011; Barra, Patricio Javier/Z-5042-2019; Viscardi, Sharon/AAG-8101-2020; Bol, Roland/H-9324-2013; Mora Gil, Maria Luz/AAT-4081-2021; Viscardi, Sharon/AHD-3536-2022; JORQUERA, MILKO/O-3038-2019</t>
  </si>
  <si>
    <t>Barra, Patricio Javier/0000-0003-4145-3084; Bol, Roland/0000-0003-3015-7706; Mora Gil, Maria Luz/0000-0002-7474-1595; Viscardi, Sharon/0000-0002-5018-4122; JORQUERA, MILKO/0000-0003-4760-6379; Duran, Paola/0000-0001-8638-6781</t>
  </si>
  <si>
    <t>Instituto Antartico Chileno (INACH) from the Chilean government [RT_02-16, RT_06-17]</t>
  </si>
  <si>
    <t>Instituto Antartico Chileno (INACH) from the Chilean government</t>
  </si>
  <si>
    <t>This study was supported by Instituto Antartico Chileno (INACH), Regular projects RT_02-16 and RT_06-17 from the Chilean government. We thank the Scientific and Technological Bioresources Nucleus (BIOREN) for technical support and the La Frontera University for logistical support, and INACH for assistance with sampling.</t>
  </si>
  <si>
    <t>2296-4185</t>
  </si>
  <si>
    <t>FRONT BIOENG BIOTECH</t>
  </si>
  <si>
    <t>Front. Bioeng. Biotechnol.</t>
  </si>
  <si>
    <t>10.3389/fbioe.2019.00028</t>
  </si>
  <si>
    <t>Biotechnology &amp; Applied Microbiology; Engineering, Biomedical</t>
  </si>
  <si>
    <t>Biotechnology &amp; Applied Microbiology; Engineering</t>
  </si>
  <si>
    <t>HO8US</t>
  </si>
  <si>
    <t>WOS:000461234900001</t>
  </si>
  <si>
    <t>LaRue, MA; Salas, L; Nur, N; Ainley, DG; Stammerjohn, S; Barrington, L; Stamatiou, K; Pennycook, J; Dozier, M; Saints, J; Nakamura, H</t>
  </si>
  <si>
    <t>LaRue, Michelle A.; Salas, Leo; Nur, Nadav; Ainley, David G.; Stammerjohn, Sharon; Barrington, Luke; Stamatiou, Kostas; Pennycook, Jean; Dozier, Melissa; Saints, Jon; Nakamura, Hitomi</t>
  </si>
  <si>
    <t>Physical and ecological factors explain the distribution of Ross Sea Weddell seals during the breeding season</t>
  </si>
  <si>
    <t>Leptonychotes weddellii; Antarctica; Citizen science; Generalized linear model; High-resolution satellite imagery; Trophic interaction; Tomnod</t>
  </si>
  <si>
    <t>PACK-ICE SEALS; MCMURDO-SOUND; LEPTONYCHOTES-WEDDELLI; ENVIRONMENTAL-CHANGE; ANTARCTIC TOOTHFISH; EAST ANTARCTICA; HABITAT USE; POPULATION; ABUNDANCE; RATES</t>
  </si>
  <si>
    <t>Weddell seal Leptonychotes weddellii populations can potentially serve as indicators of change in Southern Ocean food web structure, but tracking populations at regional to continental scales has so far been impossible. Here, we combined citizen science with remote sensing to learn about environmental and biological factors that explain fine-scale distribution of Weddell seal haul-outs in the Ross Sea, Antarctica. We employed the crowd-sourcing platform Tomnod (DigitalGlobe) to host high-resolution (similar to 0.5-0.6 m) satellite imagery of the Antarctic fast ice during November in 2010 and 2011 and asked volunteers to identify seals on images. We created a 5 km x 5 km grid of seal presence per year, and modeled habitat suitability for seals using a generalized linear model. The top Ross Sea-wide model that best explained seal presence included proximity to fast-ice cracks, deep water, and emperor penguin Aptenodytes forsteri colonies. This model also revealed that seal presence decreased with proximity to Adelie penguin Pygoscelis adeliae colonies and size of the nearest emperor penguin colony, suggesting the potential for trophic competitive exclusion by large penguin colonies. With respect to 3 sub-regions within the Ross Sea (North and South Victoria Land in the western Ross Sea, and Marie Byrd Land in the east), we found that 3 habitat variables differed in their effects among sub-regions: proximity to emperor penguin colonies, proximity to deep water, and relative ice width. Our results represent a step toward effectively monitoring Weddell seal population trends, and disentangling biological and environmental factors influencing locations of Weddell seal haul-outs around Antarctica.</t>
  </si>
  <si>
    <t>[LaRue, Michelle A.] Univ Minnesota, Dept Earth Sci, Minneapolis, MN 55455 USA; [Salas, Leo; Nur, Nadav] Point Blue Conservat Sci, Petaluma, CA 94954 USA; [Ainley, David G.; Pennycook, Jean] HT Harvey &amp; Associates Ecol Consultants, Los Gatos, CA 95032 USA; [Stammerjohn, Sharon] Univ Colorado, Inst Arctic &amp; Alpine Res, Boulder, CO 80303 USA; [Barrington, Luke] Google, Mountain View, CA 94043 USA; [Stamatiou, Kostas; Dozier, Melissa; Saints, Jon] DigitalGlobe Inc, Westminster, CO 80234 USA; [Nakamura, Hitomi] Univ Minnesota, Polar Geospatial Ctr, St Paul, MN 55108 USA</t>
  </si>
  <si>
    <t>University of Minnesota System; University of Minnesota Twin Cities; University of Colorado System; University of Colorado Boulder; Google Incorporated; University of Minnesota System; University of Minnesota Twin Cities</t>
  </si>
  <si>
    <t>LaRue, MA (corresponding author), Univ Minnesota, Dept Earth Sci, Minneapolis, MN 55455 USA.</t>
  </si>
  <si>
    <t>larue010@umn.edu</t>
  </si>
  <si>
    <t>National Science Foundation [1543311, 1543230, 1542791]; Hogwarts Running Club; Antarctic and Southern Ocean Coalition; University of Minnesota; DigitalGlobe Foundation; SciStarter</t>
  </si>
  <si>
    <t>National Science Foundation(National Science Foundation (NSF)); Hogwarts Running Club; Antarctic and Southern Ocean Coalition; University of Minnesota(University of Minnesota System); DigitalGlobe Foundation; SciStarter</t>
  </si>
  <si>
    <t>We are indebted to the thousands of volunteers who helped us search for seals on VHR images using Tomnod; we appreciate their indispensable labor. We are grateful for funding from the National Science Foundation (collaborative proposal Nos. 1543311, 1543230, and 1542791) and Hogwarts Running Club in partnership with the Antarctic and Southern Ocean Coalition; the University of Minnesota, DigitalGlobe Foundation, and SciStarter further supported this research. We thank the Polar Geospatial Center for assistance in gathering image metadata, providing GIS maps, and for general geospatial assistance and advice. Finally, we thank 3 anonymous reviewers for their feedback on a previous version of this manuscript.</t>
  </si>
  <si>
    <t>10.3354/meps12877</t>
  </si>
  <si>
    <t>WOS:000464518900013</t>
  </si>
  <si>
    <t>Raabová, L; Kovacik, L; Elster, J; Strunecky, O</t>
  </si>
  <si>
    <t>Raabova, Lenka; Kovacik, Lubomir; Elster, Josef; Strunecky, Otakar</t>
  </si>
  <si>
    <t>Review of the genus Phormidesmis (Cyanobacteria) based on environmental, morphological, and molecular data with description of a new genus Leptodesmis</t>
  </si>
  <si>
    <t>PHYTOTAXA</t>
  </si>
  <si>
    <t>Cyanobacteria; comb. nov.; cryptic genus; ecology; filamentous; gen. nov.; Leptodesmis; morphology; Phormidesmis; phylogeny; sp. nov.; taxonomy</t>
  </si>
  <si>
    <t>OSCILLATORIALES; PHORMIDIUM; SEQUENCE; TAXA</t>
  </si>
  <si>
    <t>Very thin filamentous cyanobacteria are ubiquitous in a wide range of environments. For many years they were traditionally studied according to their morphological properties only. With the introduction of additional taxonomic methods (cytomorphological analyses, molecular sequencing, exact ecological studies, better data about phytogeographical distribution), traditional genera such as Leptolyngbya and Phormidium were found to be polyphyletic. Phormidesmis belonged to a newly formed genus that was supposed to explain the variability of such very thin simple filamentous cyanobacteria. However, even after definition of Phormidesmis based on distinct cytomorphological and phylogenetic traits, the variability within this genus remained unresolved. Here we analyzed 26 Phormidesmis strains to describe the variability within this genus, classified two new species (P. arctica and P. communis) and transferred Leptolyngbya nigrescens into P. nigrescens. A tabular review of Phormidesmis species is included. The diacritical features of all these species are: width up to 1-4 mu m, barrel-shaped cells, which can be shorter or slightly longer than wide, with apparent constrictions at the cross-walls. Our study shows that Phormidesmis is a morphologically and genetically well-defined genus with a global distribution. A newly described genus Leptodesmis has significant morphological similarities both with Phormidesmis and Leptolyngbya, however with intermediate phylogenetic position with significant divergence in 16S rRNA gene. Leptodesmis is cryptic both to Phormidesmis and Leptolyngbya. In the initial part of the life cycle resembles Leptolyngbya, the appearance of older trichomes change to Phormidesmis like morphology.</t>
  </si>
  <si>
    <t>[Raabova, Lenka] Univ Ss Cyril &amp; Methodius, Dept Biol, J Herdu 2, Trnava 91701, Slovakia; [Kovacik, Lubomir] Comenius Univ, Dept Bot, Revova 39, Bratislava 81102, Slovakia; [Elster, Josef] Acad Sci Czech Republ, Inst Bot, Dukelska 135, CS-37982 Trebon, Czech Republic; [Elster, Josef; Strunecky, Otakar] Univ South Bohemia, Fac Sci, Branisovska 135, Ceske Budejovice 37005, Czech Republic; [Strunecky, Otakar] Univ South Bohemia, Fac Fisheries &amp; Protect Waters, CENAKVA, Inst Aquaculture, Husova Tr 458, Ceske Budejovice 37005, Czech Republic; [Strunecky, Otakar] Inst Technol &amp; Business Ceske Budejovice, Okruzni 517-10, Ceske Budejovice 37001, Czech Republic</t>
  </si>
  <si>
    <t>University of SS Cyril &amp; Methodius Trnava; Comenius University Bratislava; Czech Academy of Sciences; Institute of Botany of the Czech Academy of Sciences; University of South Bohemia Ceske Budejovice; University of South Bohemia Ceske Budejovice; Institute of Technology &amp; Business, Ceske Budejovice</t>
  </si>
  <si>
    <t>Raabová, L (corresponding author), Univ Ss Cyril &amp; Methodius, Dept Biol, J Herdu 2, Trnava 91701, Slovakia.</t>
  </si>
  <si>
    <t>lenka.raabova@gmail.com</t>
  </si>
  <si>
    <t>Raabová, Lenka/AAK-2901-2020; Strunecky, Otakar/H-1629-2014; strunecky, otakar/M-2643-2019</t>
  </si>
  <si>
    <t>Raabová, Lenka/0000-0002-0131-1797; Strunecky, Otakar/0000-0001-9735-4662; Elster, Josef/0000-0002-4535-5636</t>
  </si>
  <si>
    <t>Slovak Research and Development Agency APVV [SK-CZ-2013-0019]; Ministry of Education, Youth and Sports of the Czech Republic [306010-7AMB14SK135]; Brazilian Antarctic Programme CIRM/PROANTAR; CENAKVA [CZ.1.05/2.1.00/01.0024]; CENAKVA II [LO1205]; European Regional Development Fund [CZ.02.1.01/0.0/0.0/15_003/0000441]; CzechPolar [LM 20100009, RVO67985939]; GA CR project [GA 15-00113S, 18-02634S]; Belgian project PYROCYANO [CRCH1011-1513911]; Belgian project BIPOLES [FRFC2457009]; Brazilian Antarctic Programme CNPq/MMA/CIRM</t>
  </si>
  <si>
    <t>Slovak Research and Development Agency APVV(Slovak Research and Development Agency); Ministry of Education, Youth and Sports of the Czech Republic(Ministry of Education, Youth &amp; Sports - Czech Republic); Brazilian Antarctic Programme CIRM/PROANTAR; CENAKVA; CENAKVA II; European Regional Development Fund(European Union (EU)); CzechPolar; GA CR project(Grant Agency of the Czech Republic); Belgian project PYROCYANO; Belgian project BIPOLES; Brazilian Antarctic Programme CNPq/MMA/CIRM</t>
  </si>
  <si>
    <t>This work was supported by the Slovak Research and Development Agency APVV (Project no. SK-CZ-2013-0019) and projects by the Ministry of Education, Youth and Sports of the Czech Republic, nos. 306010-7AMB14SK135, the Brazilian Antarctic Programme CIRM/PROANTAR and CNPq/MMA/CIRM, CENAKVA (No. CZ.1.05/2.1.00/01.0024), CENAKVA II (No. LO1205 under the NPU I program), European Regional Development Fund-Project (No. CZ.02.1.01/0.0/0.0/15_003/0000441), and CzechPolar LM 20100009, RVO67985939 as well by GA CR project GA 15-00113S and 18-02634S. We are very grateful to prof. Jiri Komarek for useful advice and support during the whole work. This work was also supported by the Belgian projects PYROCYANO (grant CRCH1011-1513911) and BIPOLES (grant FRFC2457009). The authors appreciate the help given by prof. Annick Wilmotte (Centre for Protein Engineering, University of Liege) and Maaike Vancauwenberghe (BELSPO) and the personnel of the Princess Elisabeth Station. We are very grateful to Mrs. Dana Svehlova and Mrs. Jana Snokhousova for their technical assistance. We thank to prof. Keith Raymond Edwards for the language correction. Finally, we greatly acknowledge the insightful comments of the reviewers which significantly improved our paper.</t>
  </si>
  <si>
    <t>1179-3155</t>
  </si>
  <si>
    <t>1179-3163</t>
  </si>
  <si>
    <t>Phytotaxa</t>
  </si>
  <si>
    <t>MAR 6</t>
  </si>
  <si>
    <t>10.11646/phytotaxa.395.1.1</t>
  </si>
  <si>
    <t>HN8UO</t>
  </si>
  <si>
    <t>WOS:000460472200001</t>
  </si>
  <si>
    <t>du Preez, DJ; Ajtic, JV; Bencherif, H; Bègue, N; Cadet, JM; Wright, CY</t>
  </si>
  <si>
    <t>du Preez, David J.; Ajtic, Jelena V.; Bencherif, Hassan; Begue, Nelson; Cadet, Jean-Maurice; Wright, Caradee Y.</t>
  </si>
  <si>
    <t>Spring and summer time ozone and solar ultraviolet radiation variations over Cape Point, South Africa</t>
  </si>
  <si>
    <t>ANNALES GEOPHYSICAE</t>
  </si>
  <si>
    <t>STRATOSPHERIC OZONE; UV-RADIATION; TRANSPORT; HOLE; VARIABILITY; TRENDS; CLIMATOLOGY; VALIDATION; CHEMISTRY; INCREASE</t>
  </si>
  <si>
    <t>The correlation between solar ultraviolet radiation (UV) and atmospheric ozone is well understood. Decreased stratospheric ozone levels which led to increased solar UV radiation levels at the surface have been recorded. These increased levels of solar UV radiation have potential negative impacts on public health. This study was done to determine whether the break-up of the Antarctic ozone hole has an impact on stratospheric columnar ozone (SCO) and resulting ambient solar UV-B radiation levels at Cape Point, South Africa, over 2007-2016. We investigated the correlations between UV index, calculated from ground-based solar UV-B radiation measurements and satellite-retrieved column ozone data. The strongest anti-correlation on clear-sky days was found at solar zenith angle 25 degrees with exponential fit R-2 values of 0.45 and 0.53 for total ozone column and SCO, respectively. An average radiation amplification factor of 0.59 across all SZAs was calculated for clear-sky days. The MIMOSA-CHIM model showed that the polar vortex had a limited effect on ozone levels. Tropical air masses more frequently affect the study site, and this requires further investigation.</t>
  </si>
  <si>
    <t>[du Preez, David J.; Wright, Caradee Y.] Univ Pretoria, Dept Geog Geoinformat &amp; Meteorol, ZA-0002 Pretoria, South Africa; [du Preez, David J.] South African Weather Serv, ZA-0181 Pretoria, South Africa; [Ajtic, Jelena V.] Univ Belgrade, Fac Vet Med, Bulevar Oslobodjenja 18, Belgrade 11000, Serbia; [Bencherif, Hassan; Begue, Nelson; Cadet, Jean-Maurice] Univ La Reunion, Lab Atmosphere &amp; Cyclones, UMR 8105, 15 Ave Rene Cassin,CS 92003, St Denis, Reunion, France; [Bencherif, Hassan] Univ KwaZulu Natal, Sch Chem &amp; Phys, Durban, South Africa; [Wright, Caradee Y.] South African Med Res Council, Environm &amp; Hlth Res Unit, ZA-0001 Pretoria, South Africa</t>
  </si>
  <si>
    <t>University of Pretoria; South African Weather Service (SAWS); University of Belgrade; University of La Reunion; Centre National de la Recherche Scientifique (CNRS); CNRS - National Institute for Earth Sciences &amp; Astronomy (INSU); University of Kwazulu Natal; South African Medical Research Council</t>
  </si>
  <si>
    <t>du Preez, DJ (corresponding author), Univ Pretoria, Dept Geog Geoinformat &amp; Meteorol, ZA-0002 Pretoria, South Africa.;du Preez, DJ (corresponding author), South African Weather Serv, ZA-0181 Pretoria, South Africa.</t>
  </si>
  <si>
    <t>dupreez.jd@gmail.com</t>
  </si>
  <si>
    <t>Ajtic, Jelena/HKO-2665-2023</t>
  </si>
  <si>
    <t>Ajtic, Jelena/0000-0001-8200-4168; du Preez, David Jean/0000-0003-1546-9138</t>
  </si>
  <si>
    <t>New Zealand Deep South National Science Challenge; National Institute of Water and Atmospheric Research, New Zealand; University of Pretoria; South African Medical Research Council; National Research Foundation of South Africa</t>
  </si>
  <si>
    <t>New Zealand Deep South National Science Challenge; National Institute of Water and Atmospheric Research, New Zealand; University of Pretoria; South African Medical Research Council(South African Medical Research CouncilUK Research &amp; Innovation (UKRI)Medical Research Council UK (MRC)South Africa Medical Research Council (SAMRC)); National Research Foundation of South Africa(National Research Foundation - South Africa)</t>
  </si>
  <si>
    <t>The authors would like to thank the South African Weather Service for providing solar UV-B radiation data and cloud cover data. The authors acknowledge the use of Total Ozone Column data from the Ozone Monitoring Instrument (OMI) and Stratospheric Column Ozone data from the Microwave Limb Sounder (MLS). The following persons are thanked for the various inputs into this project: Greg Bodeker of Bodeker Scientific, funded by the New Zealand Deep South National Science Challenge; Richard McKenzie, National Institute of Water and Atmospheric Research, New Zealand; and Liesl Dyson, University of Pretoria. The University of Reunion Island is thanked for the provision of the MIMOSA-CHIM model and the CCUR team for the use of the TITAN supercomputer. The SA-French ARSAIO (Atmospheric Research in Southern Africa and Indian Ocean) and PHC-Protea programmes are also thanked for support for research visits at the University of Reunion. This study was funded in part by the South African Medical Research Council as well as the National Research Foundation of South Africa to grant-holder Caradee Y. Wright.</t>
  </si>
  <si>
    <t>0992-7689</t>
  </si>
  <si>
    <t>1432-0576</t>
  </si>
  <si>
    <t>ANN GEOPHYS-GERMANY</t>
  </si>
  <si>
    <t>Ann. Geophys.</t>
  </si>
  <si>
    <t>10.5194/angeo-37-129-2019</t>
  </si>
  <si>
    <t>Astronomy &amp; Astrophysics; Geosciences, Multidisciplinary; Meteorology &amp; Atmospheric Sciences</t>
  </si>
  <si>
    <t>Astronomy &amp; Astrophysics; Geology; Meteorology &amp; Atmospheric Sciences</t>
  </si>
  <si>
    <t>HN8KR</t>
  </si>
  <si>
    <t>WOS:000460444400001</t>
  </si>
  <si>
    <t>Eagles, G</t>
  </si>
  <si>
    <t>Eagles, Graeme</t>
  </si>
  <si>
    <t>A little spin in the Indian Ocean plate circuit</t>
  </si>
  <si>
    <t>TECTONOPHYSICS</t>
  </si>
  <si>
    <t>Plate kinematics; Antarctica; Australia; Wharton Basin; Indian Ocean; Plate tectonics</t>
  </si>
  <si>
    <t>TECTONIC EVOLUTION; NATURALISTE PLATEAU; MAGNETIC-ANOMALIES; CONTINENTAL-MARGIN; WILKES LAND; AUSTRALIA; BASIN; SOUTH; TRANSITION; MOTION</t>
  </si>
  <si>
    <t>Divergence of the Australian and East Antarctic plates is well understood from the late Jurassic onset of half graben development on the Australian continental shelf, and from post mid-Eocene (chron 20; 45 Ma) seafloor spreading isochrons further offshore. Relative plate motion between these times is less confidently interpretable from magnetic reversal anomalies landwards of isochron 20 and localised evidence for mid-to-late Cretaceous subsidence and growth strata from the continental shelf and rise south of Australia. A new test of this history examines it within the post-34y (84 Ma) Indian Ocean plate circuit, built using seafloor spreading data from the Wharton and central Indian Ocean basins. The Australian-Antarctic Jurassic-onset rift system is interpreted to have been abandoned before 34y, because motion in the circuit is inconsistent with an active plate boundary during 34y-26y (84-58 Ma). Starting 26y, the model depicts plate divergence distances and azimuths that, after 25y (57 Ma), can be independently confirmed by reassessment of the pre-chron 20 magnetic reversal anomaly pattern. Previous studies have identified evidence for mantle exhumation and focused magmatism in basement marginwards of these anomalies. These processes are not directly or confidently dated, but mantle exhumation is inconsistent with the circuit model's fast plate divergence at 26y-25y. Hence, plate motion during the immediate build-up to post-57 Ma seafloor spreading may have been accommodated by focused magmatism, whilst mantle exhumation may mark the conclusion of the Jurassic-onset rift phase during a slower pre-84 Ma period of plate divergence. Using the new model to make tectonic reconstructions results in a large overlap between Tasmania and Victoria Land that can be explained with reference to Eocene strike-slip faulting and transtension in recently discovered subglacial basins of Wilkes and George V lands and Terre Adele.</t>
  </si>
  <si>
    <t>[Eagles, Graeme] Helmholtz Zentrum Polar &amp; Meeresforsch, Alfred Wegener Inst, Am Alten Hafen 26, D-27568 Bremerhaven, Germany; [Eagles, Graeme] Royal Holloway Univ London, Dept Earth Sci, COMPASS Res Grp, Egham TW20 0EX, Surrey, England</t>
  </si>
  <si>
    <t>Helmholtz Association; Alfred Wegener Institute, Helmholtz Centre for Polar &amp; Marine Research; University of London; Royal Holloway University London</t>
  </si>
  <si>
    <t>Eagles, G (corresponding author), Helmholtz Zentrum Polar &amp; Meeresforsch, Alfred Wegener Inst, Am Alten Hafen 26, D-27568 Bremerhaven, Germany.</t>
  </si>
  <si>
    <t>geagles@awi.de</t>
  </si>
  <si>
    <t>Eagles, Graeme/0000-0001-5325-0810</t>
  </si>
  <si>
    <t>0040-1951</t>
  </si>
  <si>
    <t>1879-3266</t>
  </si>
  <si>
    <t>Tectonophysics</t>
  </si>
  <si>
    <t>MAR 5</t>
  </si>
  <si>
    <t>10.1016/j.tecto.2019.01.015</t>
  </si>
  <si>
    <t>HP2UQ</t>
  </si>
  <si>
    <t>WOS:000461531300007</t>
  </si>
  <si>
    <t>Sime, LC; Hopcroft, PO; Rhodes, RH</t>
  </si>
  <si>
    <t>Sime, Louise C.; Hopcroft, Peter O.; Rhodes, Rachael H.</t>
  </si>
  <si>
    <t>Impact of abrupt sea ice loss on Greenland water isotopes during the last glacial period</t>
  </si>
  <si>
    <t>PROCEEDINGS OF THE NATIONAL ACADEMY OF SCIENCES OF THE UNITED STATES OF AMERICA</t>
  </si>
  <si>
    <t>abrupt warmings; climate change; Arctic; sea ice; paleoclimate</t>
  </si>
  <si>
    <t>TEMPERATURE RECONSTRUCTION; CLIMATE SHIFTS; COUPLED MODEL; SIMULATIONS; VARIABILITY; CIRCULATION; GRADIENTS; CORES</t>
  </si>
  <si>
    <t>Greenland ice cores provide excellent evidence of past abrupt climate changes. However, there is no universally accepted theory of how and why these Dansgaard-Oeschger (DO) events occur. Several mechanisms have been proposed to explain DO events, including sea ice, ice shelf buildup, ice sheets, atmospheric circulation, and meltwater changes. DO event temperature reconstructions depend on the stable water isotope (delta O-18) and nitrogen isotope measurements from Greenland ice cores: interpretation of these measurements holds the key to understanding the nature of DO events. Here, we demonstrate the primary importance of sea ice as a control on Greenland ice core delta O-18: 95% of the variability in delta O-18 in southern Greenland is explained by DO event sea ice changes. Our suite of DO events, simulated using a general circulation model, accurately captures the amplitude of delta O-18 enrichment during the abrupt DO event onsets. Simulated geographical variability is broadly consistent with available ice core evidence. We find an hitherto unknown sensitivity of the delta O-18 paleothermometer to the magnitude of DO event temperature increase: the change in delta O-18 per Kelvin temperature increase reduces with DO event amplitude. We show that this effect is controlled by precipitation seasonality.</t>
  </si>
  <si>
    <t>[Sime, Louise C.] British Antarctic Survey, Ice Dynam &amp; Palaeoclimate, Cambridge CB3 0ET, England; [Hopcroft, Peter O.] Univ Birmingham, Sch Geog Earth &amp; Environm Sci, Edgbaston B15 2TT, England; [Rhodes, Rachael H.] Univ Cambridge, Dept Earth Sci, Cambridge CB2 3EQ, England; [Rhodes, Rachael H.] Northumbria Univ, Dept Geog &amp; Environm Sci, Newcastle Upon Tyne NE1 8ST, Tyne &amp; Wear, England</t>
  </si>
  <si>
    <t>UK Research &amp; Innovation (UKRI); Natural Environment Research Council (NERC); NERC British Antarctic Survey; University of Birmingham; University of Cambridge; Northumbria University</t>
  </si>
  <si>
    <t>Sime, LC (corresponding author), British Antarctic Survey, Ice Dynam &amp; Palaeoclimate, Cambridge CB3 0ET, England.</t>
  </si>
  <si>
    <t>lsim@bas.ac.uk</t>
  </si>
  <si>
    <t>Hopcroft, Peter/H-4957-2016; Sime, Louise/AAX-7730-2021; Hopcroft, Peter/O-5535-2019</t>
  </si>
  <si>
    <t>Hopcroft, Peter/0000-0003-3694-9181; Sime, Louise/0000-0002-9093-7926; Rhodes, Rachael/0000-0001-7511-1969</t>
  </si>
  <si>
    <t>Natural Environment Research Council (NERC) [NE/P009271/1, NE/P013279/1, NE/J004804/1]; Birmingham Fellowship; NERC [NE/I010912/1, NE/P002536/1]; European Commission [658120]; NERC [NE/I010912/1, bas0100034, NE/P013279/1, NE/P009271/1, NE/J004804/1, NE/P002536/1] Funding Source: UKRI; Marie Curie Actions (MSCA) [658120] Funding Source: Marie Curie Actions (MSCA)</t>
  </si>
  <si>
    <t>Natural Environment Research Council (NERC)(UK Research &amp; Innovation (UKRI)Natural Environment Research Council (NERC)); Birmingham Fellowship; NERC(UK Research &amp; Innovation (UKRI)Natural Environment Research Council (NERC)); European Commission(European Union (EU)European Commission Joint Research Centre); NERC(UK Research &amp; Innovation (UKRI)Natural Environment Research Council (NERC)); Marie Curie Actions (MSCA)(Marie Curie Actions)</t>
  </si>
  <si>
    <t>The simulations were run on the ARCHER supercomputer, and output was stored and processed using the CEDA JASMIN machine. L.C.S. acknowledges support through Natural Environment Research Council (NERC) Grants NE/P009271/1, NE/P013279/1, and NE/J004804/1. P.O.H. is supported by a Birmingham Fellowship and was previously supported by NERC Grants NE/I010912/1 and NE/P002536/1. R.H.R. is supported by European Commission Horizon 2020 Marie Sklodowska-Curie Individual Fellowship 658120 (SEADOG).</t>
  </si>
  <si>
    <t>NATL ACAD SCIENCES</t>
  </si>
  <si>
    <t>2101 CONSTITUTION AVE NW, WASHINGTON, DC 20418 USA</t>
  </si>
  <si>
    <t>0027-8424</t>
  </si>
  <si>
    <t>P NATL ACAD SCI USA</t>
  </si>
  <si>
    <t>Proc. Natl. Acad. Sci. U. S. A.</t>
  </si>
  <si>
    <t>10.1073/pnas.1807261116</t>
  </si>
  <si>
    <t>HN5RI</t>
  </si>
  <si>
    <t>Green Published, Green Accepted, hybrid</t>
  </si>
  <si>
    <t>WOS:000460242100031</t>
  </si>
  <si>
    <t>Strzepek, RF; Boyd, PW; Sunda, WG</t>
  </si>
  <si>
    <t>Strzepek, Robert F.; Boyd, Philip W.; Sunda, William G.</t>
  </si>
  <si>
    <t>Photosynthetic adaptation to low iron, light, and temperature in Southern Ocean phytoplankton</t>
  </si>
  <si>
    <t>iron; light; temperature; Southern Ocean; phytoplankton</t>
  </si>
  <si>
    <t>PHYSIOLOGICAL-RESPONSES; ELECTRON-TRANSPORT; PHOTOSYSTEM-II; QUANTUM YIELD; LIMITATION; GROWTH; STRATEGIES; PHOTOPHYSIOLOGY; ASSIMILATION; COASTAL</t>
  </si>
  <si>
    <t>Phytoplankton productivity in the polar Southern Ocean (SO) plays an important role in the transfer of carbon from the atmosphere to the ocean's interior, a process called the biological carbon pump, which helps regulate global climate. SO productivity in turn is limited by low iron, light, and temperature, which restrict the efficiency of the carbon pump. Iron and light can colimit productivity due to the high iron content of the photosynthetic photosystems and the need for increased photosystems for low-light acclimation in many phytoplankton. Here we show that SO phytoplankton have evolved critical adaptations to enhance photosynthetic rates under the joint constraints of low iron, light, and temperature. Under growth-limiting iron and light levels, three SO species had up to sixfold higher photosynthetic rates per photosystem II and similar or higher rates per mol of photosynthetic iron than temperate species, despite their lower growth temperature (3 vs. 18 degrees C) and light intensity (30 vs. 40 mu mol quanta.m(2).s(-1)), which should have decreased photosynthetic rates. These unexpectedly high rates in the SO species are partly explained by their unusually large photosynthetic antennae, which are among the largest ever recorded in marine phytoplankton. Large antennae are disadvantageous at low light intensities because they increase excitation energy loss as heat, but this loss may be mitigated by the low SO temperatures. Such adaptations point to higher SO production rates than environmental conditions should otherwise permit, with implications for regional ecology and biogeochemistry.</t>
  </si>
  <si>
    <t>[Strzepek, Robert F.; Boyd, Philip W.] Univ Tasmania, Antarctic Climate &amp; Ecosyst Cooperat Res Ctr, Hobart, Tas 7001, Australia; [Boyd, Philip W.] Univ Tasmania, Inst Marine &amp; Antarctic Studies, Hobart, Tas 7001, Australia; [Sunda, William G.] Univ N Carolina, Dept Marine Sci, Chapel Hill, NC 27599 USA</t>
  </si>
  <si>
    <t>Antarctic Climate &amp; Ecosystems Cooperative Research Centre (ACE CRC); University of Tasmania; University of Tasmania; University of North Carolina; University of North Carolina Chapel Hill</t>
  </si>
  <si>
    <t>Strzepek, RF (corresponding author), Univ Tasmania, Antarctic Climate &amp; Ecosyst Cooperat Res Ctr, Hobart, Tas 7001, Australia.</t>
  </si>
  <si>
    <t>robert.strzepek@utas.edu.au</t>
  </si>
  <si>
    <t>Strzepek, Robert Francis/GQH-8703-2022; Boyd, Philip/J-7624-2014</t>
  </si>
  <si>
    <t>Strzepek, Robert Francis/0000-0002-6442-7121; Boyd, Philip/0000-0001-7850-1911</t>
  </si>
  <si>
    <t>Marsden Fund of New Zealand; Ministry of Science and Innovation New Zealand</t>
  </si>
  <si>
    <t>Marsden Fund of New Zealand(Royal Society of New ZealandMarsden Fund (NZ)); Ministry of Science and Innovation New Zealand</t>
  </si>
  <si>
    <t>We thank Maria Maldonado, Philippe Tortell, Beverley Green, and Julian Eaton-Rye for providing laboratory facilities, and Sam Laney for providing the v6 code for fast repetition rate fluorometry data processing. Funding for this work was provided by grants from the Marsden Fund of New Zealand and the Ministry of Science and Innovation New Zealand.</t>
  </si>
  <si>
    <t>10.1073/pnas.1810886116</t>
  </si>
  <si>
    <t>WOS:000460242100069</t>
  </si>
  <si>
    <t>Ha, SY; Ahn, IY; Moon, HW; Choi, B; Shin, KH</t>
  </si>
  <si>
    <t>Ha, Sun-Yong; Ahn, In-Young; Moon, Hye-Won; Choi, Bohyung; Shin, Kyung-Hoon</t>
  </si>
  <si>
    <t>Tight trophic association between benthic diatom blooms and shallow-water megabenthic communities in a rapidly deglaciated Antarctic fjord</t>
  </si>
  <si>
    <t>ESTUARINE COASTAL AND SHELF SCIENCE</t>
  </si>
  <si>
    <t>Glacial retreat; Fjords; Marine benthic diatoms; Paralia sp.; Filter feeders; C and N stable isotopes; Antarctic; King George island; Marian cove (62 degrees 13 ' S 58 degrees 47 ' W)</t>
  </si>
  <si>
    <t>KING-GEORGE ISLAND; SOUTH SHETLAND ISLANDS; FISH NOTOTHENIA-CORIICEPS; STABLE-ISOTOPE RATIOS; MARIAN COVE; FOOD-WEB; POTTER COVE; MAXWELL BAY; PARALIA BACILLARIOPHYTA; DISTRIBUTION PATTERNS</t>
  </si>
  <si>
    <t>This study reports isotopic evidence of a unique and highly efficient trophic structure based on a rarely reported benthic diatom species in a rapidly warming Antarctic fjord (Marian Cove; MC). Recent surveys of MC revealed a very conspicuous feature, an intense, persistent benthic diatom bloom ('benthic diatom bush) overgrowing a variety of common megabenthic fauna, primarily filter feeders (bivalves, ascidians, and demosponges), which occurred widely at shallow depths. To ascertain if the benthic diatom bloom is consumed as a primary food source, delta C-13 and delta N-15 were analyzed in the associated filter feeders and other herbivores, as well as in the diatom bush and other potential food sources (microphytobenthos, sedimentary organic matter and macroalgae). The analysis showed that the delta C-13 values of all filter feeders (-23.5 to -25.2 parts per thousand) were very similar to those of the diatom bush (-23.1 to -23.6 parts per thousand), strongly suggesting that these benthic diatoms are the principal diet of the associated filter feeders. The isotopic signatures of the other food sources were very close to those of the diatom bush, indicating that the organic matter had the same origin, namely benthic diatoms. Given its quality, quantity and availability, the diatom bush could be regarded as the primary food source. The benthic diatom bush was predominated by the chain-forming centric diatom Paralia sp., which occurs in shallow coastal waters with a wide range of salinity in various geographic localities. Thus, the Paralia sp. bloom in this rapidly warming fjord also indicates its potential utility as an indicator of climate-induced environmental changes. Additional isotopic analysis of other common fauna showed that the benthic food web in this fjord comprised up to four trophic levels of consumers, with starfish and isopods at the apex. Given that filter feeders comprise the largest trophic group in the cove and many other Antarctic coastal waters, the results of this study strongly suggest that benthic diatoms are of prime importance in supporting the benthic food web in MC, and possibly other nearshore Antarctic waters. Further studies on the mechanism underlying benthic diatom blooms and their relevance to climate-induced processes would provide better project future scenarios for rapidly warming fjord ecosystems.</t>
  </si>
  <si>
    <t>[Ha, Sun-Yong; Ahn, In-Young; Moon, Hye-Won] Korea Polar Res Inst KOPRI, 26 Songdomirae Ro, Incheon 21990, South Korea; [Choi, Bohyung; Shin, Kyung-Hoon] Hanyang Univ, Ansan 15588, South Korea; [Moon, Hye-Won] Marine Biodivers Inst Korea, Seocheon 33662, South Korea</t>
  </si>
  <si>
    <t>Korea Polar Research Institute (KOPRI); Hanyang University; Marine Biodiversity Institute of Korea (MABIK)</t>
  </si>
  <si>
    <t>Ahn, IY (corresponding author), Korea Polar Res Inst KOPRI, 26 Songdomirae Ro, Incheon 21990, South Korea.</t>
  </si>
  <si>
    <t>iahn@kopri.re.kr</t>
  </si>
  <si>
    <t>Shin, Kyung-Hoon/AAD-6999-2021; Choi, Bohyung/R-4689-2019</t>
  </si>
  <si>
    <t>Shin, Kyung-Hoon/0000-0002-3169-4274; Choi, Bohyung/0000-0001-6998-400X</t>
  </si>
  <si>
    <t>Korea Polar Research Institute, Incheon [PE18070]; National Research Foundation of Korea [22A20130012692] Funding Source: Korea Institute of Science &amp; Technology Information (KISTI), National Science &amp; Technology Information Service (NTIS)</t>
  </si>
  <si>
    <t>Korea Polar Research Institute, Incheon; National Research Foundation of Korea(National Research Foundation of Korea)</t>
  </si>
  <si>
    <t>The authors extend special thanks to the divers, Mr. Seung-Goo Ra and Mr. Kwan-Young Song, for their hard work during underwater surveys and sampling. We also thank the 27th Korea Antarctic over wintering team members for field assistance. We extend our appreciation to Dr. Sung Joon Song for the microscopic photographs of benthic diatoms. This work was conducted as part of CHAMP2050 (PE18070) and supported by the Korea Polar Research Institute, Incheon.</t>
  </si>
  <si>
    <t>ACADEMIC PRESS LTD- ELSEVIER SCIENCE LTD</t>
  </si>
  <si>
    <t>24-28 OVAL RD, LONDON NW1 7DX, ENGLAND</t>
  </si>
  <si>
    <t>0272-7714</t>
  </si>
  <si>
    <t>1096-0015</t>
  </si>
  <si>
    <t>ESTUAR COAST SHELF S</t>
  </si>
  <si>
    <t>Estuar. Coast. Shelf Sci.</t>
  </si>
  <si>
    <t>10.1016/j.ecss.2018.12.020</t>
  </si>
  <si>
    <t>HM5ML</t>
  </si>
  <si>
    <t>WOS:000459519700025</t>
  </si>
  <si>
    <t>Fudge, M; Hiruy, K</t>
  </si>
  <si>
    <t>Fudge, Maree; Hiruy, Kiros</t>
  </si>
  <si>
    <t>Linked Boundary Functions: Examining the Role of 'Research for Development' Organizations in Integrating Levels of Resource Governance</t>
  </si>
  <si>
    <t>SOCIETY &amp; NATURAL RESOURCES</t>
  </si>
  <si>
    <t>Boundary chain; boundary function; community-based natural resource management; complexity-aware theory of change; marine governance; Pacific Islands; research for development</t>
  </si>
  <si>
    <t>CLIMATE; KNOWLEDGE; MANAGEMENT; INFORMATION; ADAPTATION; FISHERIES; NETWORKS; SCIENCE; SYSTEMS; SCALE</t>
  </si>
  <si>
    <t>Natural resource management practices such as community-based resource management (CBRM) are well-established bottom-up approaches to developing adaptive governance systems. Less is understood about how communities involved in such processes can attract top-down support without compromising their credibility or salience. We tested the usefulness of the linked boundary functions concept - boundary chains - for explaining the role of research for development (R4D) organizations in the integration of bottom-up community resource governance and top-down policy and legislative governance. We used the Australian Centre for Agricultural Research (ACIAR) in the Solomon Islands as a case study to probe the role of R4D organizations in this regard. The linked boundary functions concept proved useful in exploring the active functions of R4D organizations as actors that lend credibility, salience, and legitimacy to community-based governance initiatives. The concept of linked boundary functions or boundary chains can contribute to the current discussion in the complexity-aware theory of change and open new avenues for boundary management that enable the development of integrated resource governance in complex development contexts. This article contributes to the existing literature on the boundary spanning activities of R4D organizations.</t>
  </si>
  <si>
    <t>[Fudge, Maree] Univ Tasmania, Ctr Marine Socioecol, Inst Marine &amp; Antarctic Studies, Hobart, Tas, Australia; [Hiruy, Kiros] Swinburne Univ Technol, Ctr Social Impact, Melbourne, Vic, Australia</t>
  </si>
  <si>
    <t>University of Tasmania; Melbourne Genomics Health Alliance; Swinburne University of Technology</t>
  </si>
  <si>
    <t>Fudge, M (corresponding author), Univ Tasmania, Ctr Marine Socioecol, Inst Marine &amp; Antarctic Studies, Hobart, Tas, Australia.;Hiruy, K (corresponding author), Swinburne Univ Technol, Ctr Social Impact, Melbourne, Vic, Australia.</t>
  </si>
  <si>
    <t>maree.fudge@utas.edu.au; khiruy@swin.edu.au</t>
  </si>
  <si>
    <t>Hiruy, Kiros/L-1605-2019; Hiruy, Kiros/G-7315-2012</t>
  </si>
  <si>
    <t>Fudge, Maree/0000-0003-1327-0053; Hiruy, Kiros/0000-0002-7183-7372</t>
  </si>
  <si>
    <t>Australian Centre for International Agriculture Research Centre (ACIAR)</t>
  </si>
  <si>
    <t>We are grateful for the Australian Centre for International Agriculture Research Centre (ACIAR) for their funding of the initial evaluation and subsequent work.</t>
  </si>
  <si>
    <t>0894-1920</t>
  </si>
  <si>
    <t>1521-0723</t>
  </si>
  <si>
    <t>SOC NATUR RESOUR</t>
  </si>
  <si>
    <t>Soc. Nat. Resour.</t>
  </si>
  <si>
    <t>MAR 4</t>
  </si>
  <si>
    <t>10.1080/08941920.2018.1517914</t>
  </si>
  <si>
    <t>Development Studies; Environmental Studies; Regional &amp; Urban Planning; Sociology</t>
  </si>
  <si>
    <t>Development Studies; Environmental Sciences &amp; Ecology; Public Administration; Sociology</t>
  </si>
  <si>
    <t>HP2JC</t>
  </si>
  <si>
    <t>WOS:000461494200002</t>
  </si>
  <si>
    <t>Jung, J; Yoo, KC; Lee, KH; Park, YK; Lee, JI; Kim, J</t>
  </si>
  <si>
    <t>Jung, Jaewoo; Yoo, Kyu-Cheul; Lee, Kee-Hwan; Park, Young Kyu; Lee, Jae Il; Kim, Jinwook</t>
  </si>
  <si>
    <t>Clay Mineralogical Characteristics of Sediments Deposited during the Late Quaternary in the Larsen Ice Shelf B Embayment, Antarctica</t>
  </si>
  <si>
    <t>MINERALS</t>
  </si>
  <si>
    <t>Larsen ice shelf; clay mineral composition; smectite; illite; isotopic composition; ice shelf retreat and advance</t>
  </si>
  <si>
    <t>SURFACE SEDIMENTS; WEST ANTARCTICA; PENINSULA; SEA; HISTORY; CLIMATE; SHEET; BELLINGSHAUSEN; ASSEMBLAGES; PROVENANCE</t>
  </si>
  <si>
    <t>Variations in grain size, clay mineral composition, and stable isotopes (delta C-13 and delta N-15) are closely linked to the sedimentary facies that reflect mineralogical and geochemical modification during the retreat and advance of the Larsen ice shelf. A whole round core of marine sediment (EAP13-GC17, 236 cm below the sea floor) was collected on the northwestern Larsen B embayment of the Antarctic Peninsula during a marine geological expedition (the ARA13 Cruise Expedition by the Korea Polar Research Institute, 2013). Four sedimentary facies (U1-U4) were clearly distinguishable: bioturbated sandy mud (open marine, U1), laminated sandy mud (sub-floating ice shelf, U2), sandy clay aggregates (deglacial, U3), and muddy diamictons (sub-glacial, U4), as well as interbedded silty. Clay minerals, including smectite, chlorite, illite, and kaolinite, were detected throughout the core. An increase in the clay mineral ratio of smectite/(illite + chlorite) was clearly observed in the open marine condition, which was strongly indicated by both a heavier isotopic composition of delta C-13 and delta N-15 (-24.4 parts per thousand and 4.3 parts per thousand, respectively), and an abrupt increase in Be-10 concentration (similar to 30 times). An increase in the average values of the crystal packet thickness of illite (similar to 1.5 times) in U1 also indicated sediments transported in open marine conditions. Based on the clay mineral composition in U1, the sediments are likely to have been transported from the Weddell Sea. The clay mineralogical assessments conducted in this region have significant implications for our understanding of paleodepositional environments.</t>
  </si>
  <si>
    <t>[Jung, Jaewoo; Lee, Kee-Hwan; Park, Young Kyu; Kim, Jinwook] Yonsei Univ, Dept Earth Syst Sci, Seoul 03722, South Korea; [Yoo, Kyu-Cheul; Lee, Jae Il] Korea Polar Res Inst, Incheon 21990, South Korea</t>
  </si>
  <si>
    <t>Yonsei University; Korea Polar Research Institute (KOPRI)</t>
  </si>
  <si>
    <t>Kim, J (corresponding author), Yonsei Univ, Dept Earth Syst Sci, Seoul 03722, South Korea.</t>
  </si>
  <si>
    <t>jaewoojung87@yonsei.ac.kr; kcyoo@kopri.re.kr; khlee1009@yonsei.ac.kr; pyk125@yonsei.ac.kr; leeji@kopri.re.kr; jinwook@yonsei.ac.kr</t>
  </si>
  <si>
    <t>Kim, Jinwook/AAO-7501-2020</t>
  </si>
  <si>
    <t>JUNG, JAEWOO/0000-0003-4611-2385</t>
  </si>
  <si>
    <t>National Research Foundation of Korea (NRF) [NRF-2018R1A2B6002036]; Antarctic Project of KOPRI [PE18030]</t>
  </si>
  <si>
    <t>National Research Foundation of Korea (NRF)(National Research Foundation of Korea); Antarctic Project of KOPRI(Korea Polar Research Institute of Marine Research Placement (KOPRI))</t>
  </si>
  <si>
    <t>This work was supported by the National Research Foundation of Korea (NRF) grant (No. NRF-2018R1A2B6002036) and the Antarctic Project of KOPRI (PE18030) to J.K.</t>
  </si>
  <si>
    <t>2075-163X</t>
  </si>
  <si>
    <t>MINERALS-BASEL</t>
  </si>
  <si>
    <t>Minerals</t>
  </si>
  <si>
    <t>MAR 3</t>
  </si>
  <si>
    <t>10.3390/min9030153</t>
  </si>
  <si>
    <t>Geochemistry &amp; Geophysics; Mineralogy; Mining &amp; Mineral Processing</t>
  </si>
  <si>
    <t>HT3EY</t>
  </si>
  <si>
    <t>WOS:000464448300001</t>
  </si>
  <si>
    <t>Tin, T; Peden, JG; O'Reilly, J; Bastmeijer, K; Maher, PT</t>
  </si>
  <si>
    <t>Tin, Tina; Peden, John G.; O'Reilly, Jessica; Bastmeijer, Kees; Maher, Patrick T.</t>
  </si>
  <si>
    <t>Preservation amenity, research laboratory, or mineral reserve? International perspectives on the values of Antarctica</t>
  </si>
  <si>
    <t>POLAR RECORD</t>
  </si>
  <si>
    <t>Antarctic Treaty; public perception; environmental management; tourism; wilderness</t>
  </si>
  <si>
    <t>ENVIRONMENTAL ATTITUDES; BUSINESS STUDENTS; COLLEGE-STUDENTS; YOUNG CITIZENS; ACADEMIC MAJOR; UNIVERSITY; MANAGEMENT; PARADIGM; BEHAVIOR; TOURISM</t>
  </si>
  <si>
    <t>Inspired by notions of interest of humankind and intergenerational equity, we explored Antarctic perceptions of a subset of future generations-university students. Students at three universities in Canada, the Netherlands, and the USA were surveyed to determine the relationships between nationality, academic major, opinions on values of Antarctica, and support for a range of human activities in Antarctica (n = 618). Logistic regression was used to model the relationship of these variables with support for designation of Antarctica as a wilderness reserve, construction of new research stations, and mining. Compared with business and economics majors, biological sciences and natural resources/conservation majors were more likely to support wilderness designation and less likely to support mineral resource development. Nationality was not significantly associated with support for construction of new research stations and mineral resource development. Opinions on the value of Antarctica and support for activities also exhibited significant influences on dependent variables. Consistent with earlier studies of Antarctic scientists, personnel, tourists, and other members of the general public, university students valued Antarctica as one of the world's last great wildernesses (66%), an important component of the Earth's climate system (66%), and a science laboratory for the benefit of mankind (62%).</t>
  </si>
  <si>
    <t>[Tin, Tina] 85 Rue St Michel, F-73190 Chaks Ees Eaux, France; [Peden, John G.] Georgia Southern Univ, Sch Human Ecol, POB 8034, Statesboro, GA 30460 USA; [O'Reilly, Jessica] Indiana Univ, Dept Int Studies, 355 North Jordan Ave, Bloomington, IN 47405 USA; [Bastmeijer, Kees] Tilburg Univ, Tilburg Law Sch, Tilburg, Netherlands; [Bastmeijer, Kees] Univ Gothenburg, Gothenburg, Sweden; [Maher, Patrick T.] Cape Breton Univ, Sch Arts &amp; Social Sci, 1250 Grand Lake Rd, Sydney, NS B1P 6L2, Canada</t>
  </si>
  <si>
    <t>University System of Georgia; Georgia Southern University; Indiana University System; Indiana University Bloomington; Tilburg University; University of Gothenburg; Cape Breton University</t>
  </si>
  <si>
    <t>Tin, T (corresponding author), 85 Rue St Michel, F-73190 Chaks Ees Eaux, France.</t>
  </si>
  <si>
    <t>tinatintk@gmail.com</t>
  </si>
  <si>
    <t>Bastmeijer, Kees/ABG-1133-2021; Maher, Patrick/AAU-4377-2020</t>
  </si>
  <si>
    <t>Bastmeijer, Kees/0000-0002-3652-8160; Maher, Patrick Timothy/0000-0001-5059-1062</t>
  </si>
  <si>
    <t>University of Northern British Columbia Undergraduate Research Experience grant</t>
  </si>
  <si>
    <t>This research received a University of Northern British Columbia Undergraduate Research Experience grant.</t>
  </si>
  <si>
    <t>0032-2474</t>
  </si>
  <si>
    <t>1475-3057</t>
  </si>
  <si>
    <t>POLAR REC</t>
  </si>
  <si>
    <t>POLAR REC.</t>
  </si>
  <si>
    <t>MAR</t>
  </si>
  <si>
    <t>10.1017/S0032247419000214</t>
  </si>
  <si>
    <t>KK8NM</t>
  </si>
  <si>
    <t>WOS:000512993100001</t>
  </si>
  <si>
    <t>Harrowfield, DL; Alp, B</t>
  </si>
  <si>
    <t>Harrowfield, David L.; Alp, Bill</t>
  </si>
  <si>
    <t>The diet and incidence of scurvy and adopted preventative measures in the two branches of Shackleton's Imperial Trans-Antarctic Expedition 1914-1917</t>
  </si>
  <si>
    <t>Scurvy; Trans-Antarctic; Shackleton</t>
  </si>
  <si>
    <t>SHIP-BERI-BERI; HEROIC AGE; VITAMIN-C</t>
  </si>
  <si>
    <t>Sir Ernest Henry Shackleton's Imperial Trans-Antarctic Expedition (ITAE) 1914-1917, consisted of two parties - a Weddell Sea party led by Shackleton with Endurance, and a supporting Ross Sea depot-laying party, led by Captain Aeneas L.A. Mackintosh with Aurora. The purpose of this research paper is to consider why the Ross Sea party contracted scurvy and the Weddell Sea party did not. The authors suggest that for the Ross Sea shore party there was ineffectual leadership, insufficient medical care and sledging with excessive loads, and an inadequate diet for sledging, in both energy and vitamin C content. In their second season, depletion of vitamin C was again evident with one person dying. The Weddell Sea party, ably led by Shackleton, not only faced the arduous task of sledging heavy stores and moving camps in thick snow, but also had to haul three boats over pressure ridges, before reaching open water and rowing to Elephant Island. Here, the men lived almost exclusively on a fresh meat diet and were not affected by scurvy. This is the final paper for the trilogy commemorating the Ross Sea party centenary (the others are Harrowfield, 2013, 2015).</t>
  </si>
  <si>
    <t>[Harrowfield, David L.; Alp, Bill] Polar Room,70 Awamoa Rd, Oamaru 9401, New Zealand</t>
  </si>
  <si>
    <t>Harrowfield, DL (corresponding author), Polar Room,70 Awamoa Rd, Oamaru 9401, New Zealand.</t>
  </si>
  <si>
    <t>dh.adelie@gmail.com</t>
  </si>
  <si>
    <t>10.1017/S0032247419000238</t>
  </si>
  <si>
    <t>WOS:000512993100003</t>
  </si>
  <si>
    <t>Hawkes, C; Norris, K; Ayton, J; Paton, D</t>
  </si>
  <si>
    <t>Hawkes, Clare; Norris, Kimberley; Ayton, Jeff; Paton, Douglas</t>
  </si>
  <si>
    <t>Mood fluctuation in Antarctic expeditioners: does one size fit all?</t>
  </si>
  <si>
    <t>Antarctica; adjustment; psychology; mood; expeditioners</t>
  </si>
  <si>
    <t>PSYCHOLOGICAL ADJUSTMENT; HEALTH; WINTER; PERSONALITY; PERFORMANCE; PERSONNEL; STRESS; 1-YEAR; ANALOG</t>
  </si>
  <si>
    <t>It has long been argued that mood fluctuation patterns in Antarctic expeditioners are largely homogeneous. This research investigated mood fluctuation patterns throughout all the stages of Antarctic deployment using latent class growth analysis. Utilising advanced statistical methods, such as latent class growth analysis, can greatly help in identifying if mood fluctuation patterns experienced by Antarctic expeditioners are homogenous, and provide insight into mood fluctuation patterns, which was not possible with traditional group-based quantitative methods. Gaining a greater insight into mood fluctuation patterns in Antarctic expeditioners can assist with the development, and implementation of, strategies to assist with expeditioner well-being. The analysis was conducted on 423 expeditioner from the Australian Antarctic program between the 2005-2009 Antarctic deployment seasons. The results supported the notion that mood fluctuation patterns in expeditioners within the Australian-Antarctic programme were largely homogeneous, as a 1-class cubic latent class growth model was identified as being the optimal fit for the dataset. Theoretical and practical implications are discussed in relation to research and prevention and intervention strategies.</t>
  </si>
  <si>
    <t>[Hawkes, Clare; Norris, Kimberley] Univ Tasmania, Sch Med Psychol, Private Bag 30, Hobart, Tas 7001, Australia; [Ayton, Jeff] Australian Antarctic Div, 202 Channel Highway, Kingston, Tas, Australia; [Paton, Douglas] Charles Darwin Univ, Sch Psychol &amp; Clin Sci, Casuarina, NT 0811, Australia</t>
  </si>
  <si>
    <t>University of Tasmania; Australian Antarctic Division; Charles Darwin University</t>
  </si>
  <si>
    <t>Hawkes, C (corresponding author), Univ Tasmania, Sch Med Psychol, Private Bag 30, Hobart, Tas 7001, Australia.</t>
  </si>
  <si>
    <t>clare.hawkes@utas.edu.au</t>
  </si>
  <si>
    <t>; Norris, Kimberley/J-7260-2014</t>
  </si>
  <si>
    <t>Paton, Douglas/0000-0002-8673-2178; Hawkes, Clare/0000-0001-5326-1886; Norris, Kimberley/0000-0003-3661-2749</t>
  </si>
  <si>
    <t>10.1017/S003224741900024X</t>
  </si>
  <si>
    <t>WOS:000512993100004</t>
  </si>
  <si>
    <t>Houben, AJP; Quaijtaal, W; Wade, BS; Schouten, S; Brinkhuist, H</t>
  </si>
  <si>
    <t>Houben, Alexander J. P.; Quaijtaal, Willemijn; Wade, Bridget S.; Schouten, Stefan; Brinkhuist, Henk</t>
  </si>
  <si>
    <t>Quantitative organic-walled dinoflagellate cyst stratigraphy across the Eocene-Oligocene Transition in the Gulf of Mexico: A record of climate- and sea level change during the onset of Antarctic glaciation</t>
  </si>
  <si>
    <t>NEWSLETTERS ON STRATIGRAPHY</t>
  </si>
  <si>
    <t>Organic-walled dinoflagellate cysts; Eocene-Oligocene Transition; relative sea level; temperature; sequence stratigraphy; Gulf of Mexico</t>
  </si>
  <si>
    <t>ENVIRONMENTAL-CHANGE; THECA RELATIONSHIP; BIOSTRATIGRAPHY; ICEHOUSE; BOUNDARY; GREENHOUSE; ALABAMA; EUSTASY; COAST; RECONSTRUCTION</t>
  </si>
  <si>
    <t>The Eocene - Oligocene Transition (EOT, similar to 34-33.5 Ma) marks a major transition in Cenozoic climate evolution through the relatively rapid establishment of a continental-scale ice sheet on Antarctica. The EOT is characterized by two similar to 200 kyr spaced shifts (termed EOT-1 and Oi-1) in the oxygen isotopic composition (delta O-18) of benthic foraminifera, representing both changes in continental ice-volume and temperature. Estimates of the timing and magnitude of these changes during this critical phase in Earth's climatic evolution are controversial. Here we present marine palynological assemblage data, in particular of organic-walled dinoflagellate cysts (dinocysts), across a classic upper Eocene to lower Oligocene neritic succession cored in Alabama, USA; the Saint Stephens Quarry (SSQ) borehole. These palynological data combined with lithological information allow the identification of three sequence boundaries across the EOT. Critically, we identify a sequence boundary at the level corresponding to the EOT-1. Integrated sea level and paleotemperature records show that EOT-1 primarily represents cooling with some minor and transient continental ice sheet expansion. Furthermore, we identify a significant hiatus, likely caused by major sea level fall at the base of Magnetochron C13 n that corresponds to the Oi-1 shift. This clarifies the delta O-18 records from SSQ that essentially lack the expected pronounced shift to positive delta O-18 values so characteristic for Oi-1. Furthermore, we document originations and extinctions of potentially temperature-sensitive dinocysts associated with the EOT-1. In contrast, the Oi-1 does not stand out as period of substantial dinoflagellate turnover. The combined results illustrate that major cooling, limited and transient ice growth and major biotic change were occurring before the full-size expansion of the Antarctic cryosphere.</t>
  </si>
  <si>
    <t>[Houben, Alexander J. P.; Quaijtaal, Willemijn; Brinkhuist, Henk] Univ Utrecht, Marine Palynol &amp; Paleoceanog, Dept Earth Sci, Fac Geosci, POB 80115, NL-3508 TC Utrecht, Netherlands; [Houben, Alexander J. P.] Geol Survey Netherlands TNO, Princetonlaan 6, NL-3584 CB Utrecht, Netherlands; [Quaijtaal, Willemijn] Univ Ghent, Res Unit Palaeontol, Dept Geol, Krijgslaan 281-S8, B-9000 Ghent, Belgium; [Wade, Bridget S.] UCL, Dept Earth Sci, Gower St, London WC1E 6BT, England; [Schouten, Stefan; Brinkhuist, Henk] NIOZ Netherlands Inst Sea Res, POB 59, NL-1790 AB Den Burg, Netherlands</t>
  </si>
  <si>
    <t>Utrecht University; Netherlands Organization Applied Science Research; Ghent University; University of London; University College London; Utrecht University; Royal Netherlands Institute for Sea Research (NIOZ)</t>
  </si>
  <si>
    <t>Houben, AJP (corresponding author), Univ Utrecht, Marine Palynol &amp; Paleoceanog, Dept Earth Sci, Fac Geosci, POB 80115, NL-3508 TC Utrecht, Netherlands.;Houben, AJP (corresponding author), Geol Survey Netherlands TNO, Princetonlaan 6, NL-3584 CB Utrecht, Netherlands.</t>
  </si>
  <si>
    <t>Alexander.Houben@tno.nl; willemijn.quaijtaal@ugent.be; B.Wade@ucl.ac.uk; Schouten@nioz.nl; H.Brinkhuis@uu.nl</t>
  </si>
  <si>
    <t>Quaijtaal, Willemijn/HNB-5108-2023; Brinkhuis, Henk/IUO-8165-2023; Wade, Bridget S/F-4987-2014</t>
  </si>
  <si>
    <t>Quaijtaal, Willemijn/0000-0001-6016-0194; Brinkhuis, Henk/0000-0003-0253-6610; Wade, Bridget S/0000-0002-7245-8614</t>
  </si>
  <si>
    <t>Equ.inor; UK Natural Environment Research Council (NERC) [NE/G014817]; NERC [NE/G014817/2] Funding Source: UKRI</t>
  </si>
  <si>
    <t>Equ.inor; UK Natural Environment Research Council (NERC)(UK Research &amp; Innovation (UKRI)Natural Environment Research Council (NERC)); NERC(UK Research &amp; Innovation (UKRI)Natural Environment Research Council (NERC))</t>
  </si>
  <si>
    <t>AJPH and HB acknowledge Statoil (now Equ.inor) for funding. BW was supported by UK Natural Environment Research Council (NERC) reference number NE/G014817. Kenneth Miller is acknowledged for providing access to the core samples.</t>
  </si>
  <si>
    <t>GEBRUDER BORNTRAEGER</t>
  </si>
  <si>
    <t>STUTTGART</t>
  </si>
  <si>
    <t>JOHANNESSTR 3A, D-70176 STUTTGART, GERMANY</t>
  </si>
  <si>
    <t>0078-0421</t>
  </si>
  <si>
    <t>NEWSL STRATIGR</t>
  </si>
  <si>
    <t>Newsl. Stratigr.</t>
  </si>
  <si>
    <t>10.1127/nos/2018/0455</t>
  </si>
  <si>
    <t>IX4PT</t>
  </si>
  <si>
    <t>WOS:000485668800001</t>
  </si>
  <si>
    <t>Hazel, JE; Stewart, AL</t>
  </si>
  <si>
    <t>Hazel, Julia E.; Stewart, Andrew L.</t>
  </si>
  <si>
    <t>Are the Near-Antarctic Easterly Winds Weakening in Response to Enhancement of the Southern Annular Mode?</t>
  </si>
  <si>
    <t>SEMIANNUAL OSCILLATION; CIRCUMPOLAR CURRENT; OCEAN; SEA; TRENDS; CIRCULATION; HEMISPHERE; SLOPE; SHELF; VARIABILITY</t>
  </si>
  <si>
    <t>Previous studies have highlighted the sensitivity of the Southern Ocean circulation to the strengthening, poleward-shifting westerlies, associated with the increasingly positive southern annular mode (SAM). The impacts of the SAM have been hypothesized to weaken momentum input to the ocean from the easterly winds around the Antarctic margins. Using ERA-Interim data, the authors show that the circumpolar-averaged easterly wind stress has not weakened over the past 3-4 decades, and, if anything, has slightly strengthened by around 7%. However, there has been a substantial increase in the seasonality of the easterlies, with a weakening of the easterly winds during austral summer and a strengthening during winter. A similar trend in the seasonality of the easterlies is found in three other reanalysis products that compare favorably with Antarctic meteorological observations. The authors associate the strengthening of the easterly winds during winter with an increase in the pressure gradient between the coast and the pole. Although the trend in the overall easterly wind strength is small, the change in the seasonal cycle may be expected to reduce the shoreward Ekman transport of summer surface waters and also to admit more warm Circumpolar Deep Water to the continental shelf in summer. Changes in the seasonal cycle of the near-coastal winds may also project onto seasonal formation and export of sea ice, fluctuations in the strengths of the Weddell and Ross Gyres, and seasonal export of Antarctic Bottom Water from the continental shelf.</t>
  </si>
  <si>
    <t>[Hazel, Julia E.; Stewart, Andrew L.] Univ Calif Los Angeles, Dept Atmospher &amp; Ocean Sci, Los Angeles, CA 90095 USA</t>
  </si>
  <si>
    <t>University of California System; University of California Los Angeles</t>
  </si>
  <si>
    <t>Hazel, JE (corresponding author), Univ Calif Los Angeles, Dept Atmospher &amp; Ocean Sci, Los Angeles, CA 90095 USA.</t>
  </si>
  <si>
    <t>jhazel@atmos.ucla.edu</t>
  </si>
  <si>
    <t>Stewart, Andrew/0000-0001-5861-4070; Hazel, Julia/0000-0002-0576-5251</t>
  </si>
  <si>
    <t>10.1175/JCLI-D-18-0402.1</t>
  </si>
  <si>
    <t>IF7JL</t>
  </si>
  <si>
    <t>WOS:000473259700001</t>
  </si>
  <si>
    <t>Koshlyakov, MN; Repina, IA; Savchenko, DS; Tarakanov, RY; Taroyan, VK</t>
  </si>
  <si>
    <t>Koshlyakov, M. N.; Repina, I. A.; Savchenko, D. S.; Tarakanov, R. Y.; Taroyan, V. K.</t>
  </si>
  <si>
    <t>Structure and Variability of Mesoscale Perturbations of Ocean Currents in the Drake Passage and Scotia Sea</t>
  </si>
  <si>
    <t>OCEANOLOGY</t>
  </si>
  <si>
    <t>ANTARCTIC CIRCUMPOLAR CURRENT</t>
  </si>
  <si>
    <t>Satellite altimeter observation data collected over 22 years are used to analyze the structure and variability of mesoscale fluctuations of ocean currents in the Drake Passage and Scotia Sea. Wavelet analysis of the time series of the absolute dynamic topography of the ocean surface (ADTOS) at a set of points in the study site revealed a high degree of statistical nonstationarity of these time series, which is manifested as short (a few years) intervals of intense ADTOS fluctuations separated by long intervals of weak fluctuations. Analysis of mesoscale ADTOS maps showed that the intervals of strong ocean velocity fluctuations in the vicinity of a specific location are controlled by the alternating cyclonic and anticyclonic formation of eddies and meanders by the jets of the Antarctic Circumpolar Current, intensification of the eddies followed by their decay, and the final confluence with the parent jets. In addition to statistical nonstationarity, considerable spatial variability of the statistical characteristics of mesoscale perturbations of ocean currents was revealed over scales of 150-200 km.</t>
  </si>
  <si>
    <t>[Koshlyakov, M. N.; Savchenko, D. S.; Tarakanov, R. Y.; Taroyan, V. K.] Russian Acad Sci, Shirshov Inst Oceanol, Moscow 117218, Russia; [Repina, I. A.] Russian Acad Sci, Obukhov Inst Atmospher Phys, Moscow 119017, Russia</t>
  </si>
  <si>
    <t>Russian Academy of Sciences; Shirshov Institute of Oceanology; Russian Academy of Sciences; Obukhov Institute of Atmospheric Physics of Russian Academy of Sciences</t>
  </si>
  <si>
    <t>Koshlyakov, MN (corresponding author), Russian Acad Sci, Shirshov Inst Oceanol, Moscow 117218, Russia.</t>
  </si>
  <si>
    <t>mnkoshl@ocean.ru</t>
  </si>
  <si>
    <t>Tarakanov, Roman/R-3325-2016; Repina, Irina A/H-3530-2016</t>
  </si>
  <si>
    <t>Tarakanov, Roman/0000-0002-8711-1859;</t>
  </si>
  <si>
    <t>Russian Science Foundation [16-17-10149]; Russian Foundation for Basic Research [18-05-00283]</t>
  </si>
  <si>
    <t>This study was supported by the Russian Science Foundation (project no. 16-17-10149) (development of the algorithm for distinguishing the eddies on the ADT altimetry charts and development of the eddy database). The work was supported by the Russian Foundation for Basic Research (project no. 18-05-00283) (analysis of variability of mesoscale perturbations of oceanic currents).</t>
  </si>
  <si>
    <t>0001-4370</t>
  </si>
  <si>
    <t>1531-8508</t>
  </si>
  <si>
    <t>OCEANOLOGY+</t>
  </si>
  <si>
    <t>Oceanology</t>
  </si>
  <si>
    <t>10.1134/S0001437019020103</t>
  </si>
  <si>
    <t>IB4DG</t>
  </si>
  <si>
    <t>WOS:000470219000001</t>
  </si>
  <si>
    <t>Dunaev, NN; Leont'yev, IO</t>
  </si>
  <si>
    <t>Dunaev, N. N.; Leont'yev, I. O.</t>
  </si>
  <si>
    <t>Dynamics of Accumulative Coasts in Enclosed Bays of Antarctica (with an Example of the Key Area of the South Georgia Microcontinent)</t>
  </si>
  <si>
    <t>The object of direct study is the accumulative coast of King Edward Bay on the island of South Georgia of the Antarctic microcontinent of the same name. Neotectonic uplift of the island is causing accumulative coastal processes in the conjugate zone between land and sea in areas with relative tectonic subsidence. Geological and geomorphological studies and mathematical modeling of the coastal zone lithodynamics make it possible to identify the main factors of its current state and substantiate the forecast for development in the 21st century. The choice of object is dictated by the demand for different information with respect to its association with the area of active international tourism and the possibility of obtaining original geological and geomorphological material under the Shirshov Institute of Oceanology's Antarctic research program.</t>
  </si>
  <si>
    <t>[Dunaev, N. N.; Leont'yev, I. O.] Russian Acad Sci, Shirshov Inst Oceanol, Moscow 117218, Russia</t>
  </si>
  <si>
    <t>Russian Academy of Sciences; Shirshov Institute of Oceanology</t>
  </si>
  <si>
    <t>Dunaev, NN; Leont'yev, IO (corresponding author), Russian Acad Sci, Shirshov Inst Oceanol, Moscow 117218, Russia.</t>
  </si>
  <si>
    <t>dunaev@ocean.ru; igor.leontiev@gmail.com</t>
  </si>
  <si>
    <t>Leont'yev, Igor O./R-8051-2016</t>
  </si>
  <si>
    <t>Russian Foundation for Basic Research [15-05-00364]; [0149-2018-0015]</t>
  </si>
  <si>
    <t>Russian Foundation for Basic Research(Russian Foundation for Basic Research (RFBR)Spanish Government);</t>
  </si>
  <si>
    <t>The study was carried out in accordance with State Assignment topic no. 0149-2018-0015 and financed by the Russian Foundation for Basic Research (project no. 15-05-00364).</t>
  </si>
  <si>
    <t>10.1134/S0001437019020073</t>
  </si>
  <si>
    <t>WOS:000470219000009</t>
  </si>
  <si>
    <t>Antipov, NN; Bagriantsev, NV; Danilov, FI; Klepikov, FV</t>
  </si>
  <si>
    <t>Antipov, N. N.; Bagriantsev, N. V.; Danilov, F. I.; Klepikov, F. V.</t>
  </si>
  <si>
    <t>Winter Research in the Antarctic Zone of the Southern Ocean (in Commemoration of the 25th Anniversary of Soviet-Russian-American Weddell 1 Drift-Ice Station)</t>
  </si>
  <si>
    <t>[Antipov, N. N.; Bagriantsev, N. V.; Danilov, F. I.; Klepikov, F. V.] Arctic &amp; Antarctic Res Inst, St Petersburg 199397, Russia</t>
  </si>
  <si>
    <t>Antipov, NN (corresponding author), Arctic &amp; Antarctic Res Inst, St Petersburg 199397, Russia.</t>
  </si>
  <si>
    <t>10.1134/S0001437019020012</t>
  </si>
  <si>
    <t>WOS:000470219000015</t>
  </si>
  <si>
    <t>Borisova, TD; Blagoveshchenskaya, NF; Rietveld, MT; Häggström, I</t>
  </si>
  <si>
    <t>Borisova, T. D.; Blagoveshchenskaya, N. F.; Rietveld, M. T.; Haeggstroem, I.</t>
  </si>
  <si>
    <t>Outshifted Plasma Lines Observed in Heating Experiments in the High-Latitude Ionosphere at Pump Frequencies Near Electron Gyroharmonics</t>
  </si>
  <si>
    <t>RADIOPHYSICS AND QUANTUM ELECTRONICS</t>
  </si>
  <si>
    <t>STRONG LANGMUIR TURBULENCE; HF MODIFICATION; F-REGION; EISCAT; EXCITATION; TROMSO; WAVES</t>
  </si>
  <si>
    <t>We present experimental results concerning the features and origin of the outshifted plasma lines in the high-latitude ionospheric F region, which are excited by high-power HF O-mode radio waves radiated by the EISCAT/Heating facility at pump-wave frequencies near the fourth and fifth gyroharmonics. HF pump waves were transmitted towards the magnetic zenith during long-lasting (2-20 min) heater-on cycles. The studies were carried out using the measurement data obtained by the EISCAT incoherent scatter radar in TromsO (the radar operating frequency 930 MHz). The analysis of the radar data has demonstrated the simultaneous excitation of several plasma lines at frequencies close to the pump frequency and at frequencies upshifted by 0.15-0.45 MHz on long-lasting (longer than 30 s) time intervals. The spectral width of the outshifted plasma lines was 0.10-0.15 MHz. The features of their occurrence were analyzed as functions of the relation between the pump-wave frequency and gyroharmonics and the proximity of the pump-wave frequency to the cutoff frequency of the ionospheric F-2 layer. Plausible excitation mechanisms of the outshifted plasma lines are discussed. Comparison between the experimental data and calculation results concerning the features of the outshifted plasma lines for different pump-wave frequencies was made.</t>
  </si>
  <si>
    <t>[Borisova, T. D.; Blagoveshchenskaya, N. F.] Arctic &amp; Antarctic Res Inst, St Petersburg, Russia; [Rietveld, M. T.] EISCAT European Incoherent Scatter Sci Assoc, Tromso, Norway; [Rietveld, M. T.] Univ Tromso, Tromso, Norway; [Haeggstroem, I.] EISCAT European Incoherent Scatter Sci Assoc, Kiruna, Sweden</t>
  </si>
  <si>
    <t>Arctic &amp; Antarctic Research Institute; UiT The Arctic University of Tromso</t>
  </si>
  <si>
    <t>Borisova, TD (corresponding author), Arctic &amp; Antarctic Res Inst, St Petersburg, Russia.</t>
  </si>
  <si>
    <t>borisova@aari.ru</t>
  </si>
  <si>
    <t>Borisova, Tatiana/AAK-7698-2020</t>
  </si>
  <si>
    <t>Haggstrom, Ingemar/0000-0003-1070-6915</t>
  </si>
  <si>
    <t>0033-8443</t>
  </si>
  <si>
    <t>1573-9120</t>
  </si>
  <si>
    <t>RADIOPHYS QUANT EL+</t>
  </si>
  <si>
    <t>Radiophys. Quantum Electron.</t>
  </si>
  <si>
    <t>10.1007/s11141-019-09931-8</t>
  </si>
  <si>
    <t>Engineering, Electrical &amp; Electronic; Physics, Applied; Physics, Fluids &amp; Plasmas</t>
  </si>
  <si>
    <t>Engineering; Physics</t>
  </si>
  <si>
    <t>IA3ZY</t>
  </si>
  <si>
    <t>WOS:000469503000002</t>
  </si>
  <si>
    <t>Balakin, RA; Vilkov, GI</t>
  </si>
  <si>
    <t>Balakin, R. A.; Vilkov, G., I</t>
  </si>
  <si>
    <t>Adaptation of a Hydroacoustic Communication Channel with OFDM Technology to the Negative Influence of a Drifting Ice Cover</t>
  </si>
  <si>
    <t>ACOUSTICAL PHYSICS</t>
  </si>
  <si>
    <t>hydroacoustics; OFDM technology; phase modulation; ice cover; noise immunity</t>
  </si>
  <si>
    <t>SIGNALS</t>
  </si>
  <si>
    <t>Field investigations of the influence of a drifting ice cover on the probability of bit errors in a hydroacoustic communication channel constructed by the orthogonal frequency-division multiplexing (OFDM) technology were carried out. Quantitative estimates of the effect of drifting ice on a multifrequency phase-modulated OFDM signal reflected from the lower ice surface have been determined. The negative influence is seen in the broadening of the carrier frequency spectrum and in the reduction of the mutual correlation of phase-frequency shifts between carrier frequencies at the reception point. As a result of the spectrum broadening and jump-like changes in the phase of information signals, there is a sharp increase in the probability of bit errors during the reception. Methods are proposed for choosing optimum broadband OFDM-signal parameters allowing the negative influence of the ice cover to be neutralized and the signal transmission through a hydroacoustic communication channel with given characteristics to be implemented.</t>
  </si>
  <si>
    <t>[Balakin, R. A.; Vilkov, G., I] Arctic &amp; Antarctic Res Inst, St Petersburg 199397, Russia; [Balakin, R. A.; Vilkov, G., I] AO Radar Mms Res &amp; Prod Assoc, St Petersburg 197375, Russia</t>
  </si>
  <si>
    <t>Balakin, RA (corresponding author), Arctic &amp; Antarctic Res Inst, St Petersburg 199397, Russia.</t>
  </si>
  <si>
    <t>rigms@aari.ru; glebvilkov@gmail.com</t>
  </si>
  <si>
    <t>Ministry of Education and Science of the Russian Federation [14.607.21.0009, RFME-FI60714X0009]</t>
  </si>
  <si>
    <t>The study was supported by the Ministry of Education and Science of the Russian Federation within the framework of applied scientific research according to the federal special purpose program Research and Development in Priority Guidelines of the Scientific and Technological Complex of Russia for 20142020, agreement on subsidy no. 14.607.21.0009 of June 5, 2014 (project unique identifier RFME-FI60714X0009).</t>
  </si>
  <si>
    <t>1063-7710</t>
  </si>
  <si>
    <t>1562-6865</t>
  </si>
  <si>
    <t>ACOUST PHYS+</t>
  </si>
  <si>
    <t>Acoust. Phys.</t>
  </si>
  <si>
    <t>10.1134/S1063771019020039</t>
  </si>
  <si>
    <t>Acoustics</t>
  </si>
  <si>
    <t>HZ5AI</t>
  </si>
  <si>
    <t>WOS:000468862600010</t>
  </si>
  <si>
    <t>Kakad, A; Kakad, B; Omura, Y; Sinha, AK; Upadhyay, A; Rawat, R</t>
  </si>
  <si>
    <t>Kakad, Amar; Kakad, Bharati; Omura, Yoshiharu; Sinha, Ashwini K.; Upadhyay, Aditi; Rawat, Rahul</t>
  </si>
  <si>
    <t>Modulation of Electromagnetic Ion Cyclotron Waves by Pc5 ULF Waves and Energetic Ring Current Ions</t>
  </si>
  <si>
    <t>electromagnetic ion cyclotron waves; wave-particle interaction</t>
  </si>
  <si>
    <t>VAN ALLEN PROBES; COSMIC NOISE ABSORPTION; PITCH-ANGLE SCATTERING; GEOMAGNETIC STORMS; EMIC WAVES; RELATIVISTIC ELECTRONS; TRIGGERED EMISSIONS; ALFVEN WAVES; PRECIPITATION; MAGNETOSPHERE</t>
  </si>
  <si>
    <t>We present a ground observation of modulations of strong electromagnetic ion cyclotron (EMIC) waves by short and long periodicities at Indian Antarctic station, Maitri. The signatures of these waves were evident in the magnetic field variations recorded by an induction coil magnetometer during the interval 4.7-7.2 UT on 17 September 2011, a moderately disturbed day. These waves were preceded by a gradual increase in the solar wind dynamic pressure, which started at 3.88 UT. The discrete rising tone EMIC waves were observed in the Pc1 frequency band (similar to 0.5-0.9 Hz). The investigation of the periodicities of the observed wave spectrogram shows the presence of short (approximate to 2.4 min) and long (approximate to 39-69 min) periodicities. Our analysis shows that the short periodicities are associated with the Pc5 Ultra Low Frequency (ULF) waves generated by magnetic field line oscillations, while long periodicities might be associated with the ring current drifting ions. A new method, based on the cross-correlation technique, is adopted to determine sweep rates of the discrete rising tones. The average sweep rates estimated in the range of 0.44-1.9 mHz/s are relatively low as compared to the past reports of sweep rates derived from the satellite observations of EMIC waves. We found that the higher sweep rates are associated with the stronger EMIC waves on the ground, which is in agreement with the theoretical studies. This suggests that the theoretically proposed dependence of sweep rate on strength of EMIC wave in the generation region is retained even during the propagation of these waves to the ground.</t>
  </si>
  <si>
    <t>[Kakad, Amar; Kakad, Bharati; Sinha, Ashwini K.; Upadhyay, Aditi; Rawat, Rahul] Indian Inst Geomagnetism, Navi Mumbai, India; [Kakad, Bharati; Omura, Yoshiharu] Kyoto Univ, Res Inst Sustainable Humanosphere, Kyoto, Japan</t>
  </si>
  <si>
    <t>Department of Science &amp; Technology (India); Indian Institute of Geomagnetism (IIG); Kyoto University</t>
  </si>
  <si>
    <t>Kakad, A (corresponding author), Indian Inst Geomagnetism, Navi Mumbai, India.</t>
  </si>
  <si>
    <t>amar@iigs.iigm.res.in</t>
  </si>
  <si>
    <t>Omura, Yoshiharu/P-8565-2014; Kakad, Amar/K-3061-2017</t>
  </si>
  <si>
    <t>Omura, Yoshiharu/0000-0002-6683-3940; Upadhyay, Aditi/0000-0001-8779-3135; Rawat, Rahul/0000-0002-7275-8895; Kakad, Amar/0000-0002-1308-4245; Sinha, Ashwini Kumar/0000-0003-1329-6579</t>
  </si>
  <si>
    <t>Indo-JSPS [DSTIINT/JSPS/P-210/2015]; JSPS KAKENHI Grant [17H06140]; Grants-in-Aid for Scientific Research [17H06140] Funding Source: KAKEN</t>
  </si>
  <si>
    <t>Indo-JSPS; JSPS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</si>
  <si>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supported by Indo-JSPS project DSTIINT/JSPS/P-210/2015 and by JSPS KAKENHI Grant 17H06140. We thank N. Tsyganenko and his team for the magnetic field model available at http://ccmc.gsfc.nasa.gov/. We thank omniweb team for interplanetary data available at http://omniweb.gsfc.nasa.gov/ow_min.html and NASA NGDC team for IGRF model available at http://www.ngdc.noaa.gov/geomag-web. We are thankful toWDC Kyoto for SYM-H data. The ICM data will be made available on www.iigm.res.in on request at ashwini@iigs.iigm.res.in.</t>
  </si>
  <si>
    <t>10.1029/2017JA024930</t>
  </si>
  <si>
    <t>HV6IU</t>
  </si>
  <si>
    <t>WOS:000466087900034</t>
  </si>
  <si>
    <t>Santoso, A; Hendon, H; Watkins, A; Power, S; Dommenget, D; England, MH; Frankcombe, L; Holbrook, NJ; Holmes, R; Hope, P; Lim, EP; Luo, JJ; McGregor, S; Neske, S; Nguyen, H; Pepler, A; Rashid, H; Sen Gupta, A; Taschetto, AS; Wang, GM; Abellán, E; Sullivan, A; Huguenin, MF; Gamble, F; Delage, F</t>
  </si>
  <si>
    <t>Santoso, Agus; Hendon, Harry; Watkins, Andrew; Power, Scott; Dommenget, Dietmar; England, Matthew H.; Frankcombe, Leela; Holbrook, Neil J.; Holmes, Ryan; Hope, Pandora; Lim, Eun-Pa; Luo, Jing-Jia; McGregor, Shayne; Neske, Sonja; Hanh Nguyen; Pepler, Acacia; Rashid, Harun; Sen Gupta, Alex; Taschetto, Andrea S.; Wang, Guomin; Abellan, Esteban; Sullivan, Arnold; Huguenin, Maurice F.; Gamble, Felicity; Delage, Francois</t>
  </si>
  <si>
    <t>Dynamics and Predictability of El Nino-Southern Oscillation: An Australian Perspective on Progress and Challenges</t>
  </si>
  <si>
    <t>BULLETIN OF THE AMERICAN METEOROLOGICAL SOCIETY</t>
  </si>
  <si>
    <t>SEA-SURFACE TEMPERATURE; ENSO PHASE-LOCKING; LA-NINA; TROPICAL PACIFIC; EASTERN-PACIFIC; MEAN-STATE; RAINFALL; IMPACT; OCEAN; MODEL</t>
  </si>
  <si>
    <t>El Nino and La Nina, the warm and cold phases of El Nino-Southern Oscillation (ENSO), cause significant year-to-year disruptions in global climate, including in the atmosphere, oceans, and cryosphere. Australia is one of the countries where its climate, including droughts and flooding rains, is highly sensitive to the temporal and spatial variations of ENSO. The dramatic impacts of ENSO on the environment, society, health, and economies worldwide make the application of reliable ENSO predictions a powerful way to manage risks and resources. An improved understanding of ENSO dynamics in a changing climate has the potential to lead to more accurate and reliable ENSO predictions by facilitating improved forecast systems. This motivated an Australian national workshop on ENSO dynamics and prediction that was held in Sydney, Australia, in November 2017. This workshop followed the aftermath of the 2015/16 extreme El Nino, which exhibited different characteristics to previous extreme El Ninos and whose early evolution since 2014 was challenging to predict. This essay summarizes the collective workshop perspective on recent progress and challenges in understanding ENSO dynamics and predictability and improving forecast systems. While this essay discusses key issues from an Australian perspective, many of the same issues are important for other ENSO-affected countries and for the international ENSO research community.</t>
  </si>
  <si>
    <t>[Santoso, Agus; England, Matthew H.; Frankcombe, Leela; Holmes, Ryan; Sen Gupta, Alex; Taschetto, Andrea S.; Abellan, Esteban] Univ New South Wales, Climate Change Res Ctr, Sydney, NSW, Australia; [Santoso, Agus; Abellan, Esteban] Univ New South Wales, ARC Ctr Excellence Climate Syst Sci, Sydney, NSW, Australia; [Santoso, Agus] CSIRO Oceans &amp; Atmosphere, Ctr Southern Hemisphere Oceans Res, Hobart, Tas, Australia; [Hendon, Harry; Watkins, Andrew; Power, Scott; Hope, Pandora; Lim, Eun-Pa; Luo, Jing-Jia; Hanh Nguyen; Pepler, Acacia; Wang, Guomin; Gamble, Felicity; Delage, Francois] Australian Bur Meteorol, Melbourne, Vic, Australia; [Dommenget, Dietmar; McGregor, Shayne; Neske, Sonja] Monash Univ, Sch Earth Atmosphere &amp; Environm, Melbourne, Vic, Australia; [Dommenget, Dietmar; McGregor, Shayne; Neske, Sonja] Monash Univ, ARC Ctr Excellence Climate Syst Sci, Melbourne, Vic, Australia; [England, Matthew H.; Frankcombe, Leela; Holmes, Ryan; Sen Gupta, Alex; Taschetto, Andrea S.] Univ New South Wales, ARC Ctr Excellence Climate Extremes, Sydney, NSW, Australia; [Holbrook, Neil J.] Univ Tasmania, Inst Marine &amp; Antarctic Studies, Hobart, Tas, Australia; [Holbrook, Neil J.] Univ Tasmania, ARC Ctr Excellence Climate Extremes, Hobart, Tas, Australia; [Holmes, Ryan] Univ New South Wales, Sch Math &amp; Stat, Sydney, NSW, Australia; [Luo, Jing-Jia] Nanjing Univ Informat Sci &amp; Technol, Collaborat Innovat Ctr Forecast &amp; Evaluat Meteoro, Nanjing, Jiangsu, Peoples R China; [Rashid, Harun; Sullivan, Arnold] CSIRO Oceans &amp; Atmosphere, Melbourne, Vic, Australia; [Huguenin, Maurice F.] Swiss Fed Inst Technol, Inst Atmospher &amp; Climate Sci, Zurich, Switzerland</t>
  </si>
  <si>
    <t>University of New South Wales Sydney; ARC Centre of Excellence for Climate System Science; University of New South Wales Sydney; Commonwealth Scientific &amp; Industrial Research Organisation (CSIRO); Bureau of Meteorology - Australia; Melbourne Genomics Health Alliance; Monash University; Melbourne Genomics Health Alliance; Monash University; ARC Centre of Excellence for Climate System Science; University of New South Wales Sydney; University of Tasmania; University of Tasmania; University of New South Wales Sydney; Nanjing University of Information Science &amp; Technology; Commonwealth Scientific &amp; Industrial Research Organisation (CSIRO); Melbourne Genomics Health Alliance; Swiss Federal Institutes of Technology Domain; ETH Zurich</t>
  </si>
  <si>
    <t>Santoso, A (corresponding author), Univ New South Wales, Climate Change Res Ctr, Sydney, NSW, Australia.;Santoso, A (corresponding author), Univ New South Wales, ARC Ctr Excellence Climate Syst Sci, Sydney, NSW, Australia.;Santoso, A (corresponding author), CSIRO Oceans &amp; Atmosphere, Ctr Southern Hemisphere Oceans Res, Hobart, Tas, Australia.</t>
  </si>
  <si>
    <t>a.santoso@unsw.edu.au</t>
  </si>
  <si>
    <t>Luo, Jing-Jia/T-9612-2019; Santoso, Agus/J-7350-2012; Dommenget, Dietmar/B-9828-2011; Pepler, Acacia/ABC-6565-2020; England, Matthew/A-7539-2011; Santoso, Agus/P-1918-2019; Sullivan, Arnold/V-7057-2019; Hope, Pandora/ISA-8917-2023; Power, Scott Brendan/AAF-3370-2019; Holmes, Ryan/J-3024-2019; Frankcombe, Leela M/C-7003-2012; Rashid, Harun A/D-9027-2012; McGregor, Shayne/A-9059-2013; Holbrook, Neil/M-7544-2013; Sen Gupta, Alexander/B-7995-2011</t>
  </si>
  <si>
    <t>Luo, Jing-Jia/0000-0003-2181-0638; Pepler, Acacia/0000-0002-1478-2512; England, Matthew/0000-0001-9696-2930; Santoso, Agus/0000-0001-7749-8124; Sullivan, Arnold/0000-0002-5712-6195; Power, Scott Brendan/0000-0002-9596-4368; Holmes, Ryan/0000-0002-6799-9109; Rashid, Harun A/0000-0003-1896-2446; McGregor, Shayne/0000-0003-3222-7042; Holbrook, Neil/0000-0002-3523-6254; Hendon, Harry H./0000-0002-4378-2263; Wang, Guomin/0000-0002-1158-2427; Taschetto, Andrea/0000-0001-6020-1603; Huguenin, Maurice F./0000-0002-1476-0452; Sen Gupta, Alexander/0000-0001-5226-871X; Lim, Eun-Pa/0000-0001-8273-5358</t>
  </si>
  <si>
    <t>Australian Research Council (ARC) Centre of Excellence for Climate Extremes; NESP; ARC; Centre for Southern Hemisphere Oceans Research (CSHOR)</t>
  </si>
  <si>
    <t>Australian Research Council (ARC) Centre of Excellence for Climate Extremes(Australian Research Council); NESP; ARC(Australian Research Council); Centre for Southern Hemisphere Oceans Research (CSHOR)</t>
  </si>
  <si>
    <t>The authors thank the Australian Research Council (ARC) Centre of Excellence for Climate Extremes for supporting the workshop. The workshop stemmed in part from discussions at a meeting of the National Environmental Science Program (NESP) Earth System and Climate Change Hub Project 2.2 science team. Andrew Wittenberg and two anonymous reviewers provided constructive comments and suggestions that improved the manuscript. The writing of this essay is partly supported by NESP, the ARC, and the Centre for Southern Hemisphere Oceans Research (CSHOR), a joint research center for Southern Hemisphere ocean research between QNLM and CSIRO. This paper contributes to the goals of CLIVAR of WCRP and the International Commission on Climate of IAMAS/IUGG.</t>
  </si>
  <si>
    <t>0003-0007</t>
  </si>
  <si>
    <t>1520-0477</t>
  </si>
  <si>
    <t>B AM METEOROL SOC</t>
  </si>
  <si>
    <t>Bull. Amer. Meteorol. Soc.</t>
  </si>
  <si>
    <t>10.1175/BAMS-D-18-0057.1</t>
  </si>
  <si>
    <t>HY3PP</t>
  </si>
  <si>
    <t>Green Accepted, Bronze, Green Published</t>
  </si>
  <si>
    <t>WOS:000468039100005</t>
  </si>
  <si>
    <t>Rigual-Hernández, AS; Pilskaln, CH; Cortina, A; Abrantes, F; Armand, LK</t>
  </si>
  <si>
    <t>Rigual-Hernandez, A. S.; Pilskaln, C. H.; Cortina, A.; Abrantes, F.; Armand, L. K.</t>
  </si>
  <si>
    <t>Diatom species fluxes in the seasonally ice-covered Antarctic Zone:. New data from offshore Prydz Bay and comparison with other regions from the eastern Antarctic and western Pacific sectors of the Southern Ocean</t>
  </si>
  <si>
    <t>DEEP-SEA RESEARCH PART II-TOPICAL STUDIES IN OCEANOGRAPHY</t>
  </si>
  <si>
    <t>2nd International Symposium on the Indian Ocean Expedition (IIOE)</t>
  </si>
  <si>
    <t>NOV 30-DEC 04, 2015</t>
  </si>
  <si>
    <t>Natl Inst Oceanog, INDIA</t>
  </si>
  <si>
    <t>Natl Inst Oceanog</t>
  </si>
  <si>
    <t>ZOOPLANKTON FECAL PELLETS; IRON-FERTILIZED WATERS; POLAR FRONTAL ZONES; SEA-ICE; PARTICLE FLUXES; ORGANIC-CARBON; PHYTOPLANKTON BIOMASS; COMMUNITY STRUCTURE; SURFACE SEDIMENTS; SPATIAL-DISTRIBUTION</t>
  </si>
  <si>
    <t>The Antarctic Zone, the southernmost belt of the Antarctic Circumpolar Current, plays an important role in the control of atmospheric carbon dioxide concentrations. In the last decade, a number of studies have highlighted the importance of diatom assemblage composition in influencing the magnitude of the organic carbon and biogenic silica fluxes exported out of the mixed layer in Southern Ocean ecosystems. Here we investigate the relationship between the makeup of the diatom assemblage, organic carbon and biogenic silica export and several significant environmental parameters using sediment trap records deployed in different sectors of the Antarctic Zone. The study is divided in two parts. We first present unpublished diatom species flux data collected by a sediment trap in the offshore waters of Prydz Bay (Station PZB-1) over a year. The results of this study revealed a major export peak of diatom valves in Austral summer and two small unexpected secondary flux pulses dining full winter conditions. The summer diatom sinking assemblages were largely composed of small and rapidly dividing species such as Fragilariopsis cylindrus, Fragilariopsis curta and Pseudo-nitzschia lineola, while winter assemblages were dominated by Fragilariopsis kerguelensis most reflecting its persistent strategy and selective preservation. In the second part of the study, we compare the annual diatom assemblage composition and biogeochemical fluxes of Station PZB-1 with flux data documented in previous sediment trap studies conducted in other sectors of the Antarctic Zone in order to investigate how diatom floristics influence the composition and magnitude of particle fluxes in the Antarctic Zone. The lack of correlation between the annual diatom valve, organic carbon and biogenic silica fluxes across stations indicates that other factors aside from diatom abundance play a major role in the carbon and silica export in AZ. Among these factors, the composition of the diatom assemblage appears to be critical, as suggested by the strong and significant correlation between Bio-SiO2 and the valve fluxes of F. kerguelensis alone, that this species is the main Bio-SiO2 vector from the surface layer to the deep ocean in the AZ waters, regardless of its relative abundance. Lastly, the good correlation between the annual fluxes of the group of small Fragilariopsis species with satellite-derived chlorophyll-a concentration estimates over the study stations, suggest that high abundances of these species in the Southern Ocean paleorecords could be used as a proxy of high algal biomass accumulation.</t>
  </si>
  <si>
    <t>[Rigual-Hernandez, A. S.] Univ Salamanca, Dept Geol, Area Paleontol, E-37008 Salamanca, Spain; [Pilskaln, C. H.] Univ Massachusetts Dartmouth, Sch Marine Sci &amp; Technol SMAST, New Bedford, MA 02744 USA; [Cortina, A.] IDAEA CSIC, Dept Environm Chem, Barcelona 08034, Spain; [Abrantes, F.] Portuguese Inst Sea &amp; Atmosphere IPMA, Div Geol Marinha DivGM, Rua Alferedo Magalhaes Ramalho 6, Lisbon, Portugal; [Armand, L. K.] Australian Natl Univ, Res Sch Earth Sci, 142 Mills Rd, Acton, ACT 2601, Australia; [Abrantes, F.] Univ Algarve, Ctr Ciencias Mar, CCMAR, Campus Gambelas, P-8005139 Faro, Portugal</t>
  </si>
  <si>
    <t>University of Salamanca; University of Massachusetts System; University Massachusetts Dartmouth; Consejo Superior de Investigaciones Cientificas (CSIC); CSIC - Centro de Investigacion y Desarrollo Pascual Vila (CID-CSIC); CSIC - Instituto de Diagnostico Ambiental y Estudios del Agua (IDAEA); Instituto Portugues do Mar e da Atmosfera; Australian National University; Universidade do Algarve</t>
  </si>
  <si>
    <t>Rigual-Hernández, AS (corresponding author), Univ Salamanca, Dept Geol, Area Paleontol, E-37008 Salamanca, Spain.</t>
  </si>
  <si>
    <t>ariguai@usal.es</t>
  </si>
  <si>
    <t>Armand, Leanne K/C-9004-2009; Rigual-Hernández, Andrés/E-2041-2018; Cortina, Aleix/B-1251-2016; Abrantes, Fatima/B-5985-2013</t>
  </si>
  <si>
    <t>Rigual-Hernández, Andrés/0000-0003-1521-3896; Cortina, Aleix/0000-0002-4772-3404; Abrantes, Fatima/0000-0002-9110-0212; Armand, Leanne/0000-0003-3995-308X</t>
  </si>
  <si>
    <t>NSF [OPP-9726186]; CCMAR [PEstC/MAR/LA0015/2013]</t>
  </si>
  <si>
    <t>NSF(National Science Foundation (NSF)); CCMAR</t>
  </si>
  <si>
    <t>We are grateful to the scientific members of CHINARE 15/16, as well as the many people of the Australian Antarctic Division and at the Antarctic CRC (Hobart, Tasmania) who provided much of the technical assistance in numerous phases of the project. We also thank Captain Shao Yuan of the Xue Long and his crew for assistance in the PZB-1 mooring work. This project was funded by NSF OPP-9726186 to C. Pilskaln and F. Chai. Additional thanks are conveyed to Dr J.J-Pichon (University of Bordeaux) and Dr I. Grigorov (Uni South Hampton) for diatom discussions. F. Abrantes received funding from CCMAR (Associated Lab PEstC/MAR/LA0015/2013). We would like to thank three anonymous reviewers for their valuable comments that helped to improve the manuscript.</t>
  </si>
  <si>
    <t>0967-0645</t>
  </si>
  <si>
    <t>1879-0100</t>
  </si>
  <si>
    <t>DEEP-SEA RES PT II</t>
  </si>
  <si>
    <t>Deep-Sea Res. Part II-Top. Stud. Oceanogr.</t>
  </si>
  <si>
    <t>10.1016/j.dsr2.2018.06.005</t>
  </si>
  <si>
    <t>HZ2YN</t>
  </si>
  <si>
    <t>WOS:000468714800011</t>
  </si>
  <si>
    <t>Dréo, R; Bouffaut, L; Leroy, E; Barruol, G; Samaran, F</t>
  </si>
  <si>
    <t>Dreo, Richard; Bouffaut, Lea; Leroy, Emmanuelle; Barruol, Guilhem; Samaran, Flore</t>
  </si>
  <si>
    <t>Baleen whale distribution and seasonal occurrence revealed by an ocean bottom seismometer network in the Western Indian Ocean</t>
  </si>
  <si>
    <t>Passive acoustic monitoring; Ocean bottom seismometer; Baleen whale; Western Indian Ocean; Seasonal pattern; Distribution; Localization; Tracking</t>
  </si>
  <si>
    <t>BLUE WHALES; BALAENOPTERA-MUSCULUS; SOUTHERN-HEMISPHERE; SOUTHWEST PACIFIC; ACOUSTIC PRESENCE; FIN WHALES; CALLS; CALIFORNIA; MOVEMENTS; SONG</t>
  </si>
  <si>
    <t>From the acoustic data acquired by the RHUM-RUM (Reunion Hotspot and Upper Mantle Reunions Unterer Mantel) Ocean Bottom Seismometer (OBS) network between October 2012 and November 2013, this study revealed baleen whale occurrence in the western Indian Ocean (IO). Low-frequency songs from three species (Antarctic Blue Whales, Pygmy Blue Whales and Fin Whales) as well as P-calls (or Spot-calls) from an unknown species were recorded on the dataset. The wide arrangement of the OBS network (2000 km x 2000 km) provided valuable information to draw seasonal patterns of occurrence and distribution all over the area. These species occurred sympatrically in the western IO, at least during austral autumn months emphasizing the importance of this region for these populations. This data set helped to refine the knowledge on their spatio-temporal distribution and complete the picture built by previous studies. A tighter sub-network of 8 OBSs deployed on the South West Indian Ridge provided ideal inter-sensor spacing for whale tracking. We demonstrated the capability of such array of detecting and tracking the three different whale species up to 50 km and for several hours. As a result and to understand the effect of acoustic wave propagation, songs from the tracking were described at a close and remote distance of the sensor. This work could also help to understand the local behavior of these species during austral autumn months in this area of the western Indian Ocean.</t>
  </si>
  <si>
    <t>[Dreo, Richard; Bouffaut, Lea] French Naval Acad Res Inst BCRM CC600, F-29240 Brest 9, France; [Leroy, Emmanuelle; Samaran, Flore] ENSTA Bretagne, UMR CNRS 6285, Lab STICC, F-29806 Brest, France; [Leroy, Emmanuelle] Univ Brest, F-29280 Plouzane, France; [Leroy, Emmanuelle] CNRS, Lab Geosci Brest, IUEM, F-29280 Plouzane, France; [Barruol, Guilhem] Inst Phys Globe Paris, Sorbonne Paris Cite, CNRS, UMR 7154, Paris, France</t>
  </si>
  <si>
    <t>Universite de Bretagne Occidentale; ENSTA Bretagne; Universite de Bretagne Occidentale; Centre National de la Recherche Scientifique (CNRS); Universite de Bretagne Occidentale; Institut Universitaire Europeen de la Mer (IUEM); Centre National de la Recherche Scientifique (CNRS); CNRS - National Institute for Earth Sciences &amp; Astronomy (INSU); Universite Paris Cite</t>
  </si>
  <si>
    <t>Dréo, R (corresponding author), French Naval Acad Res Inst BCRM CC600, F-29240 Brest 9, France.</t>
  </si>
  <si>
    <t>richard.dreo@ecole-navale.fr; lea.bouffaut@ecole-navale.fr; emmanuelle.leroy@univ-brest.fr; barruol@ipgp.fr; flore.samaran@ensta-bretagne.fr</t>
  </si>
  <si>
    <t>BARRUOL, Guilhem/A-7116-2008; Barruol, guilhem/M-8677-2019; BARRUOL, Guilhem/AAN-4611-2021; Leroy, Emmanuelle/Q-9995-2019</t>
  </si>
  <si>
    <t>BARRUOL, Guilhem/0000-0002-4049-2375; Barruol, guilhem/0000-0002-4049-2375; Leroy, Emmanuelle/0000-0002-6469-1758; Dreo, Richard/0000-0002-7951-9088</t>
  </si>
  <si>
    <t>ANR (Agence Nationale de la Recherche) in France [ANR-11-BS56-0013]; DFG (Deutsche Forschungsgemeinschaft) in Germany [SI1538/2-1, SI1538/4-1]; CNRS (Centre National de la Recherche Scientifique, France); TAAF (Terres Australes et Antarctiques Francaises, France); IPEV (Institut Polaire Franais Paul Emile Victor, France); AWI (Alfred Wegener Institute, Bremerhaven, Germany); Agence Nationale de la Recherche (ANR) [ANR-11-BS56-0013] Funding Source: Agence Nationale de la Recherche (ANR)</t>
  </si>
  <si>
    <t>ANR (Agence Nationale de la Recherche) in France(Agence Nationale de la Recherche (ANR)); DFG (Deutsche Forschungsgemeinschaft) in Germany(German Research Foundation (DFG)); CNRS (Centre National de la Recherche Scientifique, France)(Centre National de la Recherche Scientifique (CNRS)); TAAF (Terres Australes et Antarctiques Francaises, France); IPEV (Institut Polaire Franais Paul Emile Victor, France); AWI (Alfred Wegener Institute, Bremerhaven, Germany); Agence Nationale de la Recherche (ANR)(Agence Nationale de la Recherche (ANR))</t>
  </si>
  <si>
    <t>The RHUM-RUM project (http://www.rhum-rum.net (RHUMRUM)) was funded by ANR (Agence Nationale de la Recherche) in France (project ANR-11-BS56-0013) and by DFG (Deutsche Forschungsgemeinschaft) in Germany (grants SI1538/2-1 and SI1538/4-1). Additional support was provided by CNRS (Centre National de la Recherche Scientifique, France), TAAF (Terres Australes et Antarctiques Francaises, France), IPEV (Institut Polaire Franais Paul Emile Victor, France) and AWI (Alfred Wegener Institute, Bremerhaven, Germany). We thank DEPAS (Deutsche Gerate-Pool fur Amphibische Seismologie, Germany), GEOMAR (GEOMAR Helmholtz-Zentrum flir Ozeanforschung Kiel, Germany) and INSU-IPGP (Institut National des Sciences de l'Univers - Institut de Physique du Globe de Paris, France) for providing 57 ocean -bottom seismometers. The RHUM-RUM data set (http://dx.doi.org/10.15778/RESIF.YV2011 (Rhum-rum dataset)) is hosted and served by the French RESIF data centre (http://seismology.resif.fr (RESIF)) under the FDSN network code YV. Thanks to all cruise participants on RN Marion Dufresne, cruise MD192 and on R/V Meteor, cruise M101.</t>
  </si>
  <si>
    <t>10.1016/j.dsr2.2018.04.005</t>
  </si>
  <si>
    <t>WOS:000468714800014</t>
  </si>
  <si>
    <t>Okuwaki, R; Kasahara, A; Yagi, Y; Hirano, S; Fukahata, Y</t>
  </si>
  <si>
    <t>Okuwaki, Ryo; Kasahara, Amato; Yagi, Yuji; Hirano, Shiro; Fukahata, Yukitoshi</t>
  </si>
  <si>
    <t>Backprojection to image slip</t>
  </si>
  <si>
    <t>Image processing; Time series analysis; Earthquake dynamics; Earthquake source observations; Theoretical seismology</t>
  </si>
  <si>
    <t>HIGH-FREQUENCY RADIATION; W 8.3 ILLAPEL; ALONG-DIP RUPTURE; GROUND-MOTION; STRESS DROP; 2015 GORKHA; EARTHQUAKE; FAULT; DYNAMICS; CHILE</t>
  </si>
  <si>
    <t>Waveform backprojection (BP) is a key technique of earthquake-source imaging, which has been widely used for extracting information of earthquake source evolution that cannot be obtained by kinematic source inversion. The technique enjoys considerable popularity, owing to the simplicity of its implementation and the robustness of its processing, but the physical meaning of BP images has remained elusive. In this study, we reviewed the mathematical representation of BP and hybrid BP (HBP) methods, following the pioneering work of Fukahata et al. (2014), to clarify the physical implications of BP images. We found that signal intensity in BP and HBP images is scaled with the amplitude of the Green's function that corresponds to a unit-step slip, which results in the signal intensity being depth dependent. We propose variants of BP and HBP, which we call kinematic BP and HBP, respectively, to relate the BP signal intensity to slip motion of an earthquake by modifying the normalizing factors used in the original BP and HBP methods. The original BP and HBP images remain useful for assessing the spatiotemporal strength of the wave radiation, which scales with the amplitude of the Green's function, whereas the kinematic BP and HBP methods are suitable for imaging the slip motion that is responsible for the high-frequency radiation produced during the source-rupture process.</t>
  </si>
  <si>
    <t>[Okuwaki, Ryo; Kasahara, Amato] Univ Tsukuba, Grad Sch Life &amp; Environm Sci, Tsukuba, Ibaraki 3058572, Japan; [Yagi, Yuji] Univ Tsukuba, Fac Life &amp; Environm Sci, Tsukuba, Ibaraki 3058572, Japan; [Hirano, Shiro] Ritsumeikan Univ, Coll Sci &amp; Engn, Kusatsu, Shiga 5258577, Japan; [Fukahata, Yukitoshi] Kyoto Univ, Disaster Prevent Res Inst, Uji, Kyoto 6110011, Japan</t>
  </si>
  <si>
    <t>University of Tsukuba; University of Tsukuba; Ritsumeikan University; Kyoto University</t>
  </si>
  <si>
    <t>Okuwaki, R (corresponding author), Univ Tsukuba, Grad Sch Life &amp; Environm Sci, Tsukuba, Ibaraki 3058572, Japan.</t>
  </si>
  <si>
    <t>rokuwaki@geol.tsukuba.ac.jp</t>
  </si>
  <si>
    <t>Fukahata, Yukitoshi/AAL-7557-2021; Okuwaki, Ryo/A-1601-2016; Yagi, Yuji/D-8301-2014</t>
  </si>
  <si>
    <t>Okuwaki, Ryo/0000-0001-7149-4763; Yagi, Yuji/0000-0001-5327-9277; Hirano, Shiro/0000-0001-8906-5983</t>
  </si>
  <si>
    <t>JSPS [JP16K05529, JP16H01842, JP16K05539]; [JP16J00298]</t>
  </si>
  <si>
    <t>JSPS(Ministry of Education, Culture, Sports, Science and Technology, Japan (MEXT)Japan Society for the Promotion of Science);</t>
  </si>
  <si>
    <t>We appreciate the editor Martin Mai and the anonymous reviewer and Zengxi Ge for their thorough review and constructive comments and suggestions that significantly improved our paper. This work was supported by Grant-in-aid for Japan Society for the Promotion of Science (JSPS) Research Fellow (JP16J00298) and JSPS Grants-in-aid for Scientific Research (JP16K05529, JP16H01842 and JP16K05539). The authors thank Hisahiko Kubo, Lingsen Meng, Takahiko Uchide and Wenyuan Fan for their valuable comments on the early stage of this study. Teleseismic waveforms from Antarctic Seismographic Argentinean Italian Network (AI; https://doi.org/10.7914/SN/AI), Canadian National Seismograph Network (CN; https://doi.org/10.7914/SN/CN), GEOSCOPE (G; https://doi.org/10.18715/GEOSCOPE.G), Global Telemetered Seismograph Network (USAF/USGS, GT; https://doi.org/10.7914/SN/GT), Global Seismograph Network (GSN IRIS/IDA, II; https://doi.org/10.7914/SN/II) and Global Seismograph Network (GSN IRIS/USGS, IU; https://doi.org/10.7914/SN/IU) are downloaded through the IRIS-DMC (https://ds.iris.edu/ds/nodes/dmc/). The figures are generated with matplotlib [Hunter (2007), Version v2.2.2; https://doi.org/10.5281/zenodo.1202077].All the data and results shown in this study are stored in Github (https://github.com/rokuw aki).</t>
  </si>
  <si>
    <t>10.1093/gji/ggy505</t>
  </si>
  <si>
    <t>HU9GB</t>
  </si>
  <si>
    <t>WOS:000465601500004</t>
  </si>
  <si>
    <t>Dubinin, EP; Leitchenkov, GL; Grokholsky, AL; Sergeeva, VM; Agranov, GD</t>
  </si>
  <si>
    <t>Dubinin, E. P.; Leitchenkov, G. L.; Grokholsky, A. L.; Sergeeva, V. M.; Agranov, G. D.</t>
  </si>
  <si>
    <t>Structure-Forming Peculiarities at the Early Stage of Antarctic-Australia Separation Based on Physical Modeling</t>
  </si>
  <si>
    <t>IZVESTIYA-PHYSICS OF THE SOLID EARTH</t>
  </si>
  <si>
    <t>Antarctic; Mawson Sea; passive margin; ocean; ultraslow sea-floor spreading; crustal structure; physical modeling</t>
  </si>
  <si>
    <t>MAGNETIC-ANOMALIES; EVOLUTION; ZONES</t>
  </si>
  <si>
    <t>The peculiarities of the formation of the structure of the Earth's crust in the Australian-Antarctic basin during the early break-up between Australia and Antarctica are considered. The study period encompasses long-lasting rifting (similar to 160-80 Ma), ultraslow spreading (similar to 80-45 Ma) with the formation of the proto-oceanic mainly ultrabasic crust, spreading (similar to 45-40 Ma), and stationary sea-floor spreading with intermediate velocities (after 40 Ma). The various stages of the oceanic opening clearly manifest themselves by the change in the basement morphology (the top of the second oceanic layer) on the seismic profiles. Physical modeling has made it possible to reveal the peculiarities of the surface morphology of the oceanic (magmatic) crust which developed in the conditions of the transition from ultraslow to slow and intermediate spreading. Our experiments established that (1) the presence of a stronger block in the pre-breakup model lithosphere in the pathway of the propagating rift faults can significantly affect the geometry of the spreading axis in its vicinity and lead to the development of transverse structures and a highly rugged relief; (2) under the conditions of ultraslow spreading, numerous ridge jumps occur; (3) the temporary cessation of the sea-floor spreading leads to the development of linear high-amplitude rises which in the natural conditions correspond to amagmatic ridges.</t>
  </si>
  <si>
    <t>[Dubinin, E. P.; Grokholsky, A. L.; Agranov, G. D.] Moscow MV Lomonosov State Univ, Earth Sci Museum, Museum Nat Hist, Moscow 119991, Russia; [Leitchenkov, G. L.; Sergeeva, V. M.] All Russian Res Inst Geol &amp; Mineral Resources Wor, St Petersburg 190121, Russia; [Leitchenkov, G. L.; Sergeeva, V. M.] St Petersburg State Univ, Inst Earth Sci, St Petersburg 199034, Russia</t>
  </si>
  <si>
    <t>Lomonosov Moscow State University; A.P. Karpinsky Russian Geological Research Institute (VSEGEI); Saint Petersburg State University</t>
  </si>
  <si>
    <t>Dubinin, EP (corresponding author), Moscow MV Lomonosov State Univ, Earth Sci Museum, Museum Nat Hist, Moscow 119991, Russia.</t>
  </si>
  <si>
    <t>edubinin08@rambler.ru</t>
  </si>
  <si>
    <t>Sergeeva, Valentina M./F-9823-2014</t>
  </si>
  <si>
    <t>Russian Science Foundation [16-17-10139]; Russian Science Foundation [16-17-10139] Funding Source: Russian Science Foundation</t>
  </si>
  <si>
    <t>Russian Science Foundation(Russian Science Foundation (RSF)); Russian Science Foundation(Russian Science Foundation (RSF))</t>
  </si>
  <si>
    <t>The work was supported by the Russian Science Foundation (project no. 16-17-10139).</t>
  </si>
  <si>
    <t>1069-3513</t>
  </si>
  <si>
    <t>1555-6506</t>
  </si>
  <si>
    <t>IZV-PHYS SOLID EART+</t>
  </si>
  <si>
    <t>Izv.-Phys. Solid Earth</t>
  </si>
  <si>
    <t>10.1134/S1069351319020022</t>
  </si>
  <si>
    <t>HY5NJ</t>
  </si>
  <si>
    <t>WOS:000468174400006</t>
  </si>
  <si>
    <t>Borchhardt, N; Baum, C; Thiem, D; Köpcke, T; Karsten, U; Leinweber, P; Hrynkiewicz, K</t>
  </si>
  <si>
    <t>Borchhardt, Nadine; Baum, Christel; Thiem, Dominika; Koepcke, Tina; Karsten, Ulf; Leinweber, Peter; Hrynkiewicz, Katarzyna</t>
  </si>
  <si>
    <t>Soil microbial phosphorus turnover and identity of algae and fungi in biological soil crusts along a transect in a glacier foreland</t>
  </si>
  <si>
    <t>EUROPEAN JOURNAL OF SOIL BIOLOGY</t>
  </si>
  <si>
    <t>Biocrust; Microfungi; Soil algae; P mobilization; Succession; Glacier retreat</t>
  </si>
  <si>
    <t>GREEN-ALGA; FUNCTIONAL SHIFTS; SUCCESSION; STREPTOPHYTA; COMMUNITIES; TREBOUXIOPHYCEAE; KLEBSORMIDIALES; ULTRASTRUCTURE; PERFORMANCE; TOLERANCE</t>
  </si>
  <si>
    <t>Although biological soil crusts (BSCs) are known for a variety of ecological functions, the role of individual biocrust organism species in BSCs on their P cycling is almost unknown. To evaluate the hypothesis that the contribution of defined cultivable taxa of fungi and algea might influence the microbial P storage and mobilization in the underlying soil, a transect was investigated in a glacier foreland in the mountain plateau Hardangervidda in Southern Norway. Microbial biomass P storage in soil under BSC increased continuously with increasing distance to the glacier and increasing fungal species richness. Lowest soil phosphatase activity and soil organic matter content were linked with highest number of algal and fungal in the overlaying BSCs. Enhanced soil microbial biomass P was linked with an increasing water content and decreasing PHCaCl2 of the soil. Nine to 21 algal and 5 to 10 fungal taxa were identified per test site from BSCs along the transect. Members of the Eustigmatophyceae and Xanthophyceae were observed exclusively close to the glacier, those of Klebsormidiophyceae exclusively in larger distance. The most common fungal genera in the BSCs were Lecythophora, Penicillium, Rhizoscyphus and Pholiota, whereas Cosmospora sp., Thelebolus globosus and Mucor hiemalis were found exclusively close to the glacier. The presence of usually biomass-rich taxa in the soil crusts was related to an increased microbial P storage in total. An increasing impact of microbial P storage under BSCs on the subsequent successional vegetation development is suggested.</t>
  </si>
  <si>
    <t>[Borchhardt, Nadine; Karsten, Ulf] Univ Rostock, Appl Ecol &amp; Phycol, Albert Einstein Str 21, D-18059 Rostock, Germany; [Baum, Christel; Koepcke, Tina; Leinweber, Peter] Univ Rostock, Soil Sci, Justus von Liebig Weg 6, D-18059 Rostock, Germany; [Thiem, Dominika; Hrynkiewicz, Katarzyna] Nicolaus Copernicus Univ Torun, Fac Biol &amp; Environm Protect, Dept Microbiol, Lwowska 1, PL-87100 Torun, Poland</t>
  </si>
  <si>
    <t>University of Rostock; Justus Liebig University Giessen; University of Rostock; Nicolaus Copernicus University</t>
  </si>
  <si>
    <t>Borchhardt, N (corresponding author), Univ Rostock, Appl Ecol &amp; Phycol, Albert Einstein Str 21, D-18059 Rostock, Germany.</t>
  </si>
  <si>
    <t>nadine.borchhardt@uni-rostock.de</t>
  </si>
  <si>
    <t>Hrynkiewicz, Katarzyna/O-3485-2015; Baum, Christel/AAF-5352-2019</t>
  </si>
  <si>
    <t>, Dominika/0000-0001-7621-7060; Baum, Christel/0000-0003-1179-2149</t>
  </si>
  <si>
    <t>European Union Seventh Framework Program [FP7/2007-2013] [262693]; DFG (Deutsche Forschungsgemeinschaft) [KA899/23-1]</t>
  </si>
  <si>
    <t>European Union Seventh Framework Program [FP7/2007-2013]; DFG (Deutsche Forschungsgemeinschaft)(German Research Foundation (DFG))</t>
  </si>
  <si>
    <t>We are very grateful to the staff of the Finse Scientific Research Station (Norway) for their kind support. We thank M. Baum for his field assistance during sampling. The research leading to these results has received funding from the European Union Seventh Framework Program [FP7/2007-2013] under grant agreement no. 262693 [INTERACT]. The project MICRO-P-MOBIL has been performed within the scope of the Leibniz Science Campus Phosphorus Research Rostock (Germany). NB and UK thank the DFG (Deutsche Forschungsgemeinschaft) for financial support through the project Polarcrust [KA899/23-1] in the frame of the Priority Program 1158 Antarctic Research.</t>
  </si>
  <si>
    <t>ELSEVIER FRANCE-EDITIONS SCIENTIFIQUES MEDICALES ELSEVIER</t>
  </si>
  <si>
    <t>ISSY-LES-MOULINEAUX</t>
  </si>
  <si>
    <t>65 RUE CAMILLE DESMOULINS, CS50083, 92442 ISSY-LES-MOULINEAUX, FRANCE</t>
  </si>
  <si>
    <t>1164-5563</t>
  </si>
  <si>
    <t>1778-3615</t>
  </si>
  <si>
    <t>EUR J SOIL BIOL</t>
  </si>
  <si>
    <t>Eur. J. Soil Biol.</t>
  </si>
  <si>
    <t>MAR-APR</t>
  </si>
  <si>
    <t>10.1016/j.ejsobi.2018.12.006</t>
  </si>
  <si>
    <t>Ecology; Soil Science</t>
  </si>
  <si>
    <t>Environmental Sciences &amp; Ecology; Agriculture</t>
  </si>
  <si>
    <t>HU6CG</t>
  </si>
  <si>
    <t>WOS:000465365700002</t>
  </si>
  <si>
    <t>Salamon, SJ; Hansen, HJ; Abbott, D</t>
  </si>
  <si>
    <t>Salamon, S. J.; Hansen, H. J.; Abbott, D.</t>
  </si>
  <si>
    <t>How real are observed trends in small correlated datasets?</t>
  </si>
  <si>
    <t>ROYAL SOCIETY OPEN SCIENCE</t>
  </si>
  <si>
    <t>regression analysis; autoregressive processes; prediction methods; supervised learning; trend estimation; statistical significance</t>
  </si>
  <si>
    <t>The eye may perceive a significant trend in plotted time-series data, but if the model errors of nearby data points are correlated, the trend may be an illusion. We examine generalized least-squares (GLS) estimation, finding that error correlation may be underestimated in highly correlated small datasets by conventional techniques. This risks indicating a significant trend when there is none. A new correlation estimate based on the Durbin-Watson statistic is developed, leading to an improved estimate of autoregression with highly correlated data, thus reducing this risk. These techniques are generalized to randomly located data points in space, through the new concept of the nearest new neighbour path. We describe tests on the validity of the GLS schemes, allowing verification of the models employed. Examples illustrating our method include a 40-year record of atmospheric carbon dioxide, and Antarctic ice core data. While more conservative than existing techniques, our new GLS estimate finds a statistically significant increase in background carbon dioxide concentration, with an accelerating trend. We conclude with an example of a worldwide empirical climate model for radio propagation studies, to illustrate dealing with spatial correlation in unevenly distributed data points over the surface of the Earth. The method is generally applicable, not only to climate-related data, but to many other kinds of problems (e.g. biological, medical and geological data), where there are unequally (or randomly) spaced observations in temporally or spatially distributed datasets.</t>
  </si>
  <si>
    <t>[Salamon, S. J.; Hansen, H. J.; Abbott, D.] Univ Adelaide, Sch Elect &amp; Elect Engn, Adelaide, SA 5005, Australia</t>
  </si>
  <si>
    <t>University of Adelaide</t>
  </si>
  <si>
    <t>Salamon, SJ (corresponding author), Univ Adelaide, Sch Elect &amp; Elect Engn, Adelaide, SA 5005, Australia.</t>
  </si>
  <si>
    <t>stephen.salamon@adelaide.edu.au</t>
  </si>
  <si>
    <t>Hansen, Hedley Jes/AAH-2024-2020; Abbott, Derek/E-8352-2011</t>
  </si>
  <si>
    <t>Hansen, Hedley Jes/0000-0003-3049-6505; Abbott, Derek/0000-0002-0945-2674</t>
  </si>
  <si>
    <t>Australian Government Research Training Scholarship</t>
  </si>
  <si>
    <t>Australian Government Research Training Scholarship(Australian Government)</t>
  </si>
  <si>
    <t>This work was supported by an Australian Government Research Training Scholarship.</t>
  </si>
  <si>
    <t>2054-5703</t>
  </si>
  <si>
    <t>ROY SOC OPEN SCI</t>
  </si>
  <si>
    <t>R. Soc. Open Sci.</t>
  </si>
  <si>
    <t>10.1098/rsos.181089</t>
  </si>
  <si>
    <t>HU7OC</t>
  </si>
  <si>
    <t>WOS:000465470300010</t>
  </si>
  <si>
    <t>Webster, TA; Van Parijs, SM; Rayment, WJ; Dawson, SM</t>
  </si>
  <si>
    <t>Webster, T. A.; Van Parijs, S. M.; Rayment, W. J.; Dawson, S. M.</t>
  </si>
  <si>
    <t>Temporal variation in the vocal behaviour of southern right whales in the Auckland Islands, New Zealand</t>
  </si>
  <si>
    <t>acoustic behaviour; passive acoustic monitoring; vocalizations; diel variation; seasonality; right whales</t>
  </si>
  <si>
    <t>ATLANTIC RIGHT WHALES; DIEL VARIATION; ACOUSTIC REPERTOIRE; EUBALAENA-GLACIALIS; SEASONAL OCCURRENCE; SOUND PRODUCTION; PREDATION; PRESSURE; CONTEXT; RISK</t>
  </si>
  <si>
    <t>Autonomous recorders are frequently used for examining vocal behaviour of animals, and are particularly effective in remote habitats. Southern right whales are known to have an extensive acoustic repertoire. A recorder was moored at the isolated sub-Antarctic Auckland Islands for a year to examine whether the acoustic behaviour of southern right whales differed seasonally and throughout the day at their main calving ground in New Zealand. Recordings were made in each month except June, and vocalizations were audible in all months with recordings except January. A total of 35 487 calls were detected, of which upcalls were the most common (11 623). Call rate peaked in August (288 +/- 5.9 [s.e.] calls/hour) and July (194 +/- 8.3). Vocal behaviour varied diurnally with highest call rates detected at dusk and night, consistent with the concept that upcalls function primarily as contact calls. Zero-inflated model results confirmed that seasonal variation was the most important factor for explaining differences in vocal behaviour. An automated detector designed to expedite the analysis process for North Atlantic right whales correctly identified 80% of upcalls, although false detections were frequent, particularly when call rates were low. This study is the first to attempt year-round monitoring of southern right whale presence in New Zealand.</t>
  </si>
  <si>
    <t>[Webster, T. A.; Rayment, W. J.; Dawson, S. M.] Univ Otago, Dept Marine Sci, 310 Castle St, Dunedin 9016, New Zealand; [Webster, T. A.] Otago Museum, 419 Great King St, Dunedin 9016, New Zealand; [Van Parijs, S. M.] Northeast Fisheries Sci Ctr, Protected Species Branch, 166 Water St, Woods Hole, MA 02543 USA</t>
  </si>
  <si>
    <t>Webster, TA (corresponding author), Univ Otago, Dept Marine Sci, 310 Castle St, Dunedin 9016, New Zealand.;Webster, TA (corresponding author), Otago Museum, 419 Great King St, Dunedin 9016, New Zealand.</t>
  </si>
  <si>
    <t>science@yeptrust.org.nz</t>
  </si>
  <si>
    <t>Webster, Trudi/0000-0002-3507-1162</t>
  </si>
  <si>
    <t>Foundation for Research Science and Technology; New Zealand Whale and Dolphin Trust; University of Otago; Otago Museum</t>
  </si>
  <si>
    <t>Foundation for Research Science and Technology(New Zealand Foundation for Research, Science and Technology); New Zealand Whale and Dolphin Trust; University of Otago; Otago Museum</t>
  </si>
  <si>
    <t>This project was funded by the Foundation for Research Science and Technology, Otago Museum, University of Otago and the New Zealand Whale and Dolphin Trust. T.W. was supported by a PhD scholarship and publishing bursary from the University of Otago.</t>
  </si>
  <si>
    <t>10.1098/rsos.181487</t>
  </si>
  <si>
    <t>WOS:000465470300024</t>
  </si>
  <si>
    <t>Sivkov, VV; Bashirova, LD; Dorokhova, EV; Kapustina, MV; Ponomarenko, EP</t>
  </si>
  <si>
    <t>Sivkov, V. V.; Bashirova, L. D.; Dorokhova, E. V.; Kapustina, M. V.; Ponomarenko, E. P.</t>
  </si>
  <si>
    <t>Study of the Contourite Drift north of the Kane Gap (eastern equatorial Atlantic)</t>
  </si>
  <si>
    <t>RUSSIAN JOURNAL OF EARTH SCIENCES</t>
  </si>
  <si>
    <t>Seismoacoustic profiling; Antarctic Bottom Water; Kane Drift; paleoceanography</t>
  </si>
  <si>
    <t>SORTABLE SILT; BOTTOM WATER; TRANSPORT; SIZE</t>
  </si>
  <si>
    <t>The sediment drift north of the Kane Gap has been investigated by means of the seismoacoustic profiling. The surface area of the drift is about 500 km(2) and maximal thickness is 70 m. The contourite drift was formed under the control of the Antarctic Bottom Water (AABW) flow in the Kane Gap. It is suggested naming this contourite fan as the Kane Drift. Variations in the activity of the AABW current were registered in the sediment core ANS-33056, retrieved near the summit of the drift. For this purpose, the mean size of sortable silt ((SS) over bar, mineral fraction 10-63 mu m) was used. It was shown that during the Mid-Pleistocene to Holocene, the speed of the AABW flow north of the Kane Gap was not strictly determined by the alternation of the climatic cycles. A strong relationship between the AABW flow and the short-time climatic fluctuations was found only during the marine isotope stages (MIS) 4 and 5: intensification of the near-bottom current coincides with the cold intervals. Moreover, during the Terminations II and I (MIS 2/1 and MIS 6/5, respectively), the intensity of the current also increased. Maximal near-bottom current activity was registered at the end of the MIS 2.</t>
  </si>
  <si>
    <t>[Sivkov, V. V.; Bashirova, L. D.; Dorokhova, E. V.; Kapustina, M. V.; Ponomarenko, E. P.] RAS, Shirshov Inst Oceanol, Moscow, Russia; [Sivkov, V. V.; Bashirova, L. D.; Kapustina, M. V.; Ponomarenko, E. P.] Immanuel Kant Balt Fed Univ, Kaliningrad, Russia</t>
  </si>
  <si>
    <t>Russian Academy of Sciences; Shirshov Institute of Oceanology; Immanuel Kant Baltic Federal University</t>
  </si>
  <si>
    <t>Bashirova, LD (corresponding author), RAS, Shirshov Inst Oceanol, Moscow, Russia.;Bashirova, LD (corresponding author), Immanuel Kant Balt Fed Univ, Kaliningrad, Russia.</t>
  </si>
  <si>
    <t>bas_leila@mail.ru</t>
  </si>
  <si>
    <t>Dorokhova, Evgenia V/L-3075-2016; Bashirova, Leyla D/L-1546-2016; Kapustina, Mariia/L-2625-2016</t>
  </si>
  <si>
    <t>Bashirova, Leyla D/0000-0003-3083-0649; Kapustina, Mariia/0000-0002-7507-3170; Dorokhova, Evgenia/0000-0002-0079-7342</t>
  </si>
  <si>
    <t>IO RAS [0149-20190013]; RSF [14-50-00095]; IKBFU 5-100 Russian academic excellence Project; RFBR [17-08-00085-a]</t>
  </si>
  <si>
    <t>IO RAS; RSF(Russian Science Foundation (RSF)); IKBFU 5-100 Russian academic excellence Project(Ministry of Education and Science, Russian FederationProject 5-100, Ministry of Education and Science, Russian Federation); RFBR(Russian Foundation for Basic Research (RFBR))</t>
  </si>
  <si>
    <t>The authors are very grateful to V. A. Chechko for conducting of the lithological description of the core section, to V. N. Lukashin and the anonymous reviewer for their valuable advice and constructive comments. The field research, grain size analysis, and geoacoustic study were supported by the state assignment of IO RAS (Theme No. 0149-20190013); micropaleontological study and measurements of CaCO3 content were done with the support of RSF project No. 14-50-00095; stratigraphic subdivision of the core was supported by the IKBFU 5-100 Russian academic excellence Project; data processing of the multibeam echo sounder was partly supported by RFBR project No. 17-08-00085-a</t>
  </si>
  <si>
    <t>GEOPHYSICAL CENTER RAS</t>
  </si>
  <si>
    <t>MOLODEZHNAYA ST 3, MOSCOW, 119296, RUSSIA</t>
  </si>
  <si>
    <t>1681-1208</t>
  </si>
  <si>
    <t>RUSS J EARTH SCI</t>
  </si>
  <si>
    <t>Russ. J. Earth Sci.</t>
  </si>
  <si>
    <t>ES2008</t>
  </si>
  <si>
    <t>10.2205/2019ES000658</t>
  </si>
  <si>
    <t>HW2TC</t>
  </si>
  <si>
    <t>WOS:000466540100007</t>
  </si>
  <si>
    <t>Labib, B; Yan, JG; Barriot, JP; Zhang, FZ; Feng, P</t>
  </si>
  <si>
    <t>Labib, Benachour; Yan, Jianguo; Barriot, Jean-Pierre; Zhang, Fangzhao; Feng, Peng</t>
  </si>
  <si>
    <t>Monitoring Zenithal Total Delays over the three different climatic zones from IGS GPS final products: A comparison between the use of the VMF1 and GMF mapping functions</t>
  </si>
  <si>
    <t>GEODESY AND GEODYNAMICS</t>
  </si>
  <si>
    <t>International GNSS Service (IGS); Vienna Mapping Function 1 (VMF1); Global Mapping Function (GMF); Precise Point Positioning (PPP); Zenith Total Delay (ZTD); Zenith Wet Delay (ZWD); Integrated Precipitable Water Vapor (IPWV)</t>
  </si>
  <si>
    <t>PRECIPITABLE WATER; METEOROLOGY</t>
  </si>
  <si>
    <t>The International GNSS Service (IGS) final products (ephemeris and clocks-correction) have made the GNSS an indispensable low-cost tool for scientific research, for example sub-daily atmospheric water vapor monitoring. In this study, we investigate if there is a systematic difference coming from the choice between the Vienna Mapping Function 1 (VMF1) and the Global Mapping Function (GMF) for the modeling of Zenith Total Delay (ZTD) estimates, as well as the Integrated Precipitable Water Vapor (IPWV) estimates that are deduced from them. As ZTD estimates cannot be fully separated from coordinate estimates, we also investigated the coordinate repeatability between subsequent measurements. For this purpose, we monitored twelve GNSS stations on a global scale, for each of the three climatic zones (polar, mid-latitudes and tropical), with four stations on each zone. We used an automated processing based on the Bernese GNSS Software Version 5.2 by applying the Precise Point Positioning (PPP) approach, L3 Ionosphere-free linear combination, 7 cutoff elevation angle and 2 h sampling. We noticed an excellent agreement with the ZTD estimates and coordinate repeatability for all the stations w.r.t to CODE (the Center for Orbit Determination in Europe) and USNO (US Naval Observatory) products, except for the Antarctic station (Davis) which shows systematic biases for the GMF related results. As a final step, we investigated the effect of using two mapping functions (VMF1 and GMF) to estimate the IPWV, w.r.t the IPWV estimates provided by the Integrated Global Radiosonde Archive (IGRA). The GPS-derived IPWV estimates are very close to the radiosonde-derived IPWV estimates, except for one station in the tropics (Tahiti). (C) 2019 Institute of Seismology, China Earthquake Administration, etc. Production and hosting by Elsevier B.V. on behalf of KeAi Communications Co., Ltd.</t>
  </si>
  <si>
    <t>[Labib, Benachour; Yan, Jianguo; Barriot, Jean-Pierre; Feng, Peng] Wuhan Univ, State Key Lab Informat Engn Surveying Mapping &amp; R, Wuhan 430072, Peoples R China; [Barriot, Jean-Pierre; Zhang, Fangzhao] Univ French Polynesia, Geodesy Observ Tahiti, F-98702 Faaa, French Polynesi, France</t>
  </si>
  <si>
    <t>Barriot, JP (corresponding author), Univ French Polynesia, Geodesy Observ Tahiti, F-98702 Faaa, French Polynesi, France.</t>
  </si>
  <si>
    <t>louaai@hotmail.com; jean-pierre.barriot@upf.pf</t>
  </si>
  <si>
    <t>University of Wuhan; Zhejiang provincial science and Technology Department [2017F10008]; French Space Agency (CNES) through a DAR grant</t>
  </si>
  <si>
    <t>University of Wuhan; Zhejiang provincial science and Technology Department; French Space Agency (CNES) through a DAR grant</t>
  </si>
  <si>
    <t>We would like to thank the International GNSS Service (IGS) for providing GPS data and the National Oceanic and Atmospheric Administration (NOAA) for providing radiosondes profiles and the anonymous reviewers of APSG 2017. Funding to participate in the APSG 2017 meeting was provided by the University of Wuhan. Labib Benachour and Yan Jianguo thank the innovation carrier project by Zhejiang provincial science and Technology Department (2017F10008). Jean-Pierre Barriot and Fangzhao Zhang thank the French Space Agency (CNES) for their funding, through a DAR grant to the Geodesy Observatory of Tahiti. Jean-Pierre Barriot is a 1000 Talents Foreign Expert at the University of Wuhan.</t>
  </si>
  <si>
    <t>1674-9847</t>
  </si>
  <si>
    <t>GEOD GEODYN</t>
  </si>
  <si>
    <t>J. Geod. Geodyn.</t>
  </si>
  <si>
    <t>10.1016/j.geog.2018.11.005</t>
  </si>
  <si>
    <t>HW2LI</t>
  </si>
  <si>
    <t>WOS:000466515500001</t>
  </si>
  <si>
    <t>Hou, YH; Qiao, CH; Wang, YF; Wang, YT; Ren, XL; Wei, QF; Wang, QF</t>
  </si>
  <si>
    <t>Hou, Yanhua; Qiao, Chenhui; Wang, Yifan; Wang, Yatong; Ren, Xiulian; Wei, Qifeng; Wang, Quanfu</t>
  </si>
  <si>
    <t>Cold-Adapted Glutathione S-Transferases from Antarctic Psychrophilic Bacterium Halomonas sp. ANT108: Heterologous Expression, Characterization, and Oxidative Resistance</t>
  </si>
  <si>
    <t>glutathione S-transferases; cold-adapted; Antarctic; antioxidant defense; homology modeling</t>
  </si>
  <si>
    <t>FUNCTIONAL-CHARACTERIZATION; MOLECULAR CHARACTERIZATION; CYDIA-POMONELLA; CLONING; STRESS; IDENTIFICATION; PEROXIDASE; ADAPTATION; ACTIVATION; PROTEINS</t>
  </si>
  <si>
    <t>Glutathione S-transferases are one of the most important antioxidant enzymes to protect against oxidative damage induced by reactive oxygen species. In this study, a novel gst gene, designated as hsgst, was derived from Antarctic sea ice bacterium Halomonas sp. ANT108 and expressed in Escherichia coli (E. coli) BL21. The hsgst gene was 603 bp in length and encoded a protein of 200 amino acids. Compared with the mesophilic EcGST, homology modeling indicated HsGST had some structural characteristics of cold-adapted enzymes, such as higher frequency of glycine residues, lower frequency of proline and arginine residues, and reduced electrostatic interactions, which might be in relation to the high catalytic efficiency at low temperature. The recombinant HsGST (rHsGST) was purified to apparent homogeneity with Ni-affinity chromatography and its biochemical properties were investigated. The specific activity of the purified rHsGST was 254.20 nmol/min/mg. The optimum temperature and pH of enzyme were 25 degrees C and 7.5, respectively. Most importantly, rHsGST retained 41.67% of its maximal activity at 0 degrees C. 2.0 M NaCl and 0.2% H2O2 had no effect on the enzyme activity. Moreover, rHsGST exhibited its protective effects against oxidative stresses in E. coli cells. Due to its high catalytic efficiency and oxidative resistance at low temperature, rHsGST may be a potential candidate as antioxidant in low temperature health foods.</t>
  </si>
  <si>
    <t>[Hou, Yanhua; Qiao, Chenhui; Wang, Yifan; Wang, Yatong; Ren, Xiulian; Wei, Qifeng; Wang, Quanfu] Harbin Inst Technol, Sch Marine Sci &amp; Technol, Weihai 264209, Peoples R China</t>
  </si>
  <si>
    <t>Harbin Institute of Technology</t>
  </si>
  <si>
    <t>Wang, QF (corresponding author), Harbin Inst Technol, Sch Marine Sci &amp; Technol, Weihai 264209, Peoples R China.</t>
  </si>
  <si>
    <t>marry7718@163.com; mariahit@163.com; daid01@126.com; wangyatong199311@163.com; renxiulian@126.com; weiqifeng163@163.com; wangquanfuhit@hit.edu.cn</t>
  </si>
  <si>
    <t>wang, yatong/KDN-3824-2024; hou, yan hua/K-9703-2018; wang, quan fu/K-9703-2018</t>
  </si>
  <si>
    <t>hou, yan hua/0000-0002-2305-2968; wang, quan fu/0000-0002-3885-5464</t>
  </si>
  <si>
    <t>National Natural Science Foundation of China [41876149]; Natural Science Foundation of Shandong Province [ZR2017MC046]; Key Research and Development Plan of Shandong Province [2018GHY115021]</t>
  </si>
  <si>
    <t>National Natural Science Foundation of China(National Natural Science Foundation of China (NSFC)); Natural Science Foundation of Shandong Province(Natural Science Foundation of Shandong Province); Key Research and Development Plan of Shandong Province</t>
  </si>
  <si>
    <t>This study was funded by the National Natural Science Foundation of China (41876149), the Natural Science Foundation of Shandong Province (ZR2017MC046) and the Key Research and Development Plan of Shandong Province (2018GHY115021).</t>
  </si>
  <si>
    <t>10.3390/md17030147</t>
  </si>
  <si>
    <t>HW0UW</t>
  </si>
  <si>
    <t>WOS:000466398200011</t>
  </si>
  <si>
    <t>Gu, SF; Liu, ZY; Jahn, A; Rempfer, J; Zhang, JX; Joos, F</t>
  </si>
  <si>
    <t>Gu, Sifan; Liu, Zhengyu; Jahn, Alexandra; Rempfer, Johannes; Zhang, Jiaxu; Joos, Fortunat</t>
  </si>
  <si>
    <t>Modeling Neodymium Isotopes in the Ocean Component of the Community Earth System Model (CESM1)</t>
  </si>
  <si>
    <t>Nd isotopes; isotope modeling; CESM</t>
  </si>
  <si>
    <t>ANTARCTIC INTERMEDIATE WATER; MERIDIONAL OVERTURNING CIRCULATION; ND-ISOTOPES; ATLANTIC; NORTH; SEAWATER; TH-230; SEDIMENTS; PA-231; FLUX</t>
  </si>
  <si>
    <t>Neodymium (Nd) isotopic composition (epsilon(Nd)) is an important tracer for water mass mixing and the reconstruction of past ocean circulation. To allow for a direct model-data comparison, we have implemented Nd isotopes in the ocean component of the Community Earth System Model (CESM1.3). The model is able to capture the major features of the observed modern distribution of both epsilon(Nd) and Nd concentrations. Our model provides a useful tool for the interpretation of epsilon(Nd) reconstructions. For example, we show that in an idealized North Atlantic freshwater hosing experiment, epsilon(Nd) changes in the Atlantic are documenting primarily the changes in water mass mixing and are hardly affected by the concomitant and large changes in the marine biological productivity and organic matter fluxes. However, the hosing experiment also shows that the end-member changes due to the change of ocean circulation can influence the interpretation of epsilon(Nd) in the Atlantic, depending on the location. The implementation of Nd, together with other existing tracers, such as delta O-18, Pa-231/Th-230, delta C-13, and radiocarbon in the same model, can improve our understanding of past ocean circulation significantly.</t>
  </si>
  <si>
    <t>[Gu, Sifan] Univ Wisconsin, Dept Atmospher &amp; Ocean Sci, Madison, WI 53706 USA; [Gu, Sifan] Ocean Univ China, Phys Oceanog Lab, Qingdao, Shandong, Peoples R China; [Liu, Zhengyu] Ohio State Univ, Dept Geog, Atmospher Sci Program, Columbus, OH 43210 USA; [Jahn, Alexandra] Univ Colorado, Dept Atmospher &amp; Ocean Sci, Boulder, CO 80309 USA; [Jahn, Alexandra] Univ Colorado, Inst Arctic &amp; Alpine Res, Boulder, CO 80309 USA; [Rempfer, Johannes; Joos, Fortunat] Univ Bern, Phys Inst, Climate &amp; Environm Phys, Bern, Switzerland; [Rempfer, Johannes; Joos, Fortunat] Univ Bern, Oeschger Ctr Climate Change Res, Bern, Switzerland; [Zhang, Jiaxu] Los Alamos Natl Lab, Computat Phys &amp; Methods CCS 2, Los Alamos, NM USA; [Zhang, Jiaxu] Los Alamos Natl Lab, Ctr Nonlinear Studies CNLS, Los Alamos, NM USA</t>
  </si>
  <si>
    <t>University of Wisconsin System; University of Wisconsin Madison; Ocean University of China; University System of Ohio; Ohio State University; University of Colorado System; University of Colorado Boulder; University of Colorado System; University of Colorado Boulder; University of Bern; University of Bern; United States Department of Energy (DOE); Los Alamos National Laboratory; United States Department of Energy (DOE); Los Alamos National Laboratory</t>
  </si>
  <si>
    <t>Gu, SF (corresponding author), Univ Wisconsin, Dept Atmospher &amp; Ocean Sci, Madison, WI 53706 USA.;Gu, SF (corresponding author), Ocean Univ China, Phys Oceanog Lab, Qingdao, Shandong, Peoples R China.</t>
  </si>
  <si>
    <t>gusifan@gmail.com</t>
  </si>
  <si>
    <t>Joos, Fortunat/B-4118-2018; Jahn, Alexandra/C-6545-2008; Zhang, Jiaxu/J-9571-2019</t>
  </si>
  <si>
    <t>Joos, Fortunat/0000-0002-9483-6030; Jahn, Alexandra/0000-0002-6580-2579; Zhang, Jiaxu/0000-0002-8564-3026; Gu, Sifan/0000-0002-7605-5353</t>
  </si>
  <si>
    <t>U.S. National Science Foundation (NSF) P2C2 projects [1401778, 1401802, 1566432]; Department of Energy (DOE) [DE-SC0006744]; National Science Foundation of China [41630527]; Swiss National Science Foundation [200020_172476]; Swiss National Supercomputing Centre CSCS; DOE Regional and Global Climate Modeling program through HiLAT project; Center for Nonlinear Studies - Laboratory Directed Research and Development at Los Alamos National Laboratory; NSF; Directorate For Geosciences; Division Of Ocean Sciences [1566432] Funding Source: National Science Foundation; Div Atmospheric &amp; Geospace Sciences; Directorate For Geosciences [1401778] Funding Source: National Science Foundation; Div Atmospheric &amp; Geospace Sciences; Directorate For Geosciences [1401802] Funding Source: National Science Foundation; U.S. Department of Energy (DOE) [DE-SC0006744] Funding Source: U.S. Department of Energy (DOE)</t>
  </si>
  <si>
    <t>U.S. National Science Foundation (NSF) P2C2 projects; Department of Energy (DOE)(United States Department of Energy (DOE)); National Science Foundation of China(National Natural Science Foundation of China (NSFC)); Swiss National Science Foundation(Swiss National Science Foundation (SNSF)); Swiss National Supercomputing Centre CSCS; DOE Regional and Global Climate Modeling program through HiLAT project(United States Department of Energy (DOE)); Center for Nonlinear Studies - Laboratory Directed Research and Development at Los Alamos National Laboratory; NSF(National Science Foundation (NSF)); Directorate For Geosciences; Division Of Ocean Sciences(National Science Foundation (NSF)NSF - Directorate for Geosciences (GEO)); Div Atmospheric &amp; Geospace Sciences; Directorate For Geosciences(National Science Foundation (NSF)NSF - Directorate for Geosciences (GEO)); Div Atmospheric &amp; Geospace Sciences; Directorate For Geosciences(National Science Foundation (NSF)NSF - Directorate for Geosciences (GEO)); U.S. Department of Energy (DOE)(United States Department of Energy (DOE))</t>
  </si>
  <si>
    <t>This work is supported by U.S. National Science Foundation (NSF) P2C2 projects (1401778, 1401802, and 1566432), Department of Energy (DOE) project DE-SC0006744, and the National Science Foundation of China 41630527. F. J. thanks for the support by the Swiss National Science Foundation (200020_172476) and the Swiss National Supercomputing Centre CSCS. J. Z. is supported by the DOE Regional and Global Climate Modeling program through support of the HiLAT project and the Center for Nonlinear Studies sponsored by Laboratory Directed Research and Development at Los Alamos National Laboratory. Computing resources (ark:/85065/d7wd3xhc) were provided by the Climate Simulation Laboratory at NCAR's Computational and Information Systems Laboratory, sponsored by the NSF and other agencies. Data used to produce the results can be obtained from HPSS at CISL: /home/sgu28/ND_implementation or by contacting the authors. Access to the NCAR HPSS can be freely obtained by anyone (https://www2.cisl.ucar.edu/resources/storage-and-file-systems/hpss/access). The code for simulating Nd in the CESM1 is stored here: https://zenodo.org/record/1468108#. XDR9wc8zYxg website. This code works with CESM version 1.3.</t>
  </si>
  <si>
    <t>10.1029/2018MS001538</t>
  </si>
  <si>
    <t>HU2DB</t>
  </si>
  <si>
    <t>WOS:000465080300004</t>
  </si>
  <si>
    <t>Pickering, J; McGee, JS; Karlsson-Vinkhuyzen, SI; Wenta, J</t>
  </si>
  <si>
    <t>Pickering, Jonathan; McGee, Jeffrey S.; Karlsson-Vinkhuyzen, Sylvia I.; Wenta, Joseph</t>
  </si>
  <si>
    <t>Global Climate Governance Between Hard and Soft Law: Can the Paris Agreement's Creme Brulee' Approach Enhance Ecological Reflexivity?</t>
  </si>
  <si>
    <t>JOURNAL OF ENVIRONMENTAL LAW</t>
  </si>
  <si>
    <t>Climate change; ecological reflexivity; legalisation; Paris Agreement; soft law; UNFCCC</t>
  </si>
  <si>
    <t>LEGALITY</t>
  </si>
  <si>
    <t>In the face of global environmental concerns, legal institutions must cultivate a reflexive capacity to monitor global ecological shifts and to reconfigure their practices accordingly. But, it remains unclear whether harder or softer legal norms are more capable of enhancing such ecological reflexivity. This article traces variations in harder and softer norms in two aspects of the evolution of the global climate change regimenational contributions to mitigation and review mechanismsand their implications for ecological reflexivity. We find the regime's reflexivity has increased moderately and slowly over time but without a consistent shift towards harder or softer norms. The Paris Agreement's innovative approach, combining harder procedural commitments with softer substantive provisions (a 'creme brulee'), has potential to encourage flexible responses to changing conditions within a stable, long-term architecture. However, the Agreement's softer, transparency-based compliance framework provides limited assurance that countries will make and fulfill ambitious commitments.</t>
  </si>
  <si>
    <t>[Pickering, Jonathan] Univ Canberra, Inst Governance &amp; Policy Anal, Ctr Deliberat Democracy &amp; Global Governance, Canberra, ACT, Australia; [McGee, Jeffrey S.] Univ Tasmania, Fac Law, Climate Change Marine &amp; Antarctic Law, Hobart, Tas, Australia; [McGee, Jeffrey S.] Univ Tasmania, Inst Marine &amp; Antarctic Studies, Hobart, Tas, Australia; [McGee, Jeffrey S.; Wenta, Joseph] Ctr Marine Socioecol, Hobart, Tas, Australia; [Karlsson-Vinkhuyzen, Sylvia I.] Wageningen Univ, Publ Adm &amp; Policy Grp, Wageningen, Netherlands; [Wenta, Joseph] Univ Tasmania, Fac Law, Hobart, Tas, Australia</t>
  </si>
  <si>
    <t>University of Canberra; University of Tasmania; University of Tasmania; Wageningen University &amp; Research; University of Tasmania</t>
  </si>
  <si>
    <t>Pickering, J (corresponding author), Univ Canberra, Inst Governance &amp; Policy Anal, Ctr Deliberat Democracy &amp; Global Governance, Canberra, ACT, Australia.</t>
  </si>
  <si>
    <t>jonathan.pickering@canberra.edu.au</t>
  </si>
  <si>
    <t>; Pickering, Jonathan/Q-5744-2018; McGee, Jeffrey/K-7322-2015</t>
  </si>
  <si>
    <t>Wenta, Joseph/0000-0003-0946-6133; Pickering, Jonathan/0000-0002-1862-3623; McGee, Jeffrey/0000-0002-2093-5896</t>
  </si>
  <si>
    <t>Australian Research Council's Laureate Fellowship funding scheme [FL140100154]</t>
  </si>
  <si>
    <t>Australian Research Council's Laureate Fellowship funding scheme(Australian Research Council)</t>
  </si>
  <si>
    <t>For insightful comments on drafts, we are grateful to John Dryzek and Peter Lawrence. Previous versions of this article were presented at the University of Tasmania, the Earth System Governance Conference at the Australian National University (ANU) in 2015 and at the Australia New Zealand Society of International Law conference at ANU in 2016. This research was supported under the Australian Research Council's Laureate Fellowship funding scheme (project number FL140100154).</t>
  </si>
  <si>
    <t>0952-8873</t>
  </si>
  <si>
    <t>1464-374X</t>
  </si>
  <si>
    <t>J ENVIRON LAW</t>
  </si>
  <si>
    <t>J. Environ. Law</t>
  </si>
  <si>
    <t>10.1093/jel/eqy018</t>
  </si>
  <si>
    <t>Environmental Sciences; Environmental Studies; Law; Multidisciplinary Sciences</t>
  </si>
  <si>
    <t>Environmental Sciences &amp; Ecology; Government &amp; Law; Science &amp; Technology - Other Topics</t>
  </si>
  <si>
    <t>HU2MN</t>
  </si>
  <si>
    <t>WOS:000465105400001</t>
  </si>
  <si>
    <t>St-Laurent, P; Yager, PL; Sherrell, RM; Oliver, H; Dinniman, MS; Stammerjohn, SE</t>
  </si>
  <si>
    <t>St-Laurent, P.; Yager, P. L.; Sherrell, R. M.; Oliver, H.; Dinniman, M. S.; Stammerjohn, S. E.</t>
  </si>
  <si>
    <t>Modeling the Seasonal Cycle of Iron and Carbon Fluxes in the Amundsen Sea Polynya, Antarctica</t>
  </si>
  <si>
    <t>polynyas; Antarctica; ice shelves; phytoplankton; sea ice; oceanography</t>
  </si>
  <si>
    <t>SOUTHERN-OCEAN PHYTOPLANKTON; MELTING GLACIERS FUELS; DISSOLVED IRON; ICE; PRODUCTIVITY; VARIABILITY; TOPOGRAPHY; RETREAT; BLOOMS</t>
  </si>
  <si>
    <t>The Amundsen Sea Polynya (ASP) is distinguished by having the highest net primary production per unit area in the coastal Antarctic. Recent studies have related this high productivity to the presence of fast-melting ice shelves, but the mechanisms involved are not well understood. In this study we describe the first numerical model of the ASP to represent explicitly the ocean-ice interactions, nitrogen and iron cycles, and the coastal circulation at high resolution. The study focuses on the seasonal cycle of iron and carbon, and the results are broadly consistent with field observations collected during the summer of 2010-2011. The simulated biogeochemical cycle is strongly controlled by light availability(dictated by sea ice, phytoplankton self-shading, and variable sunlight). The micronutrient iron exhibits strong seasonality, where scavenging by biogenic particles and remineralization play large compensating roles. Lateral fluxes of iron are also important to the iron budget, and our results confirm the key role played by inputs of dissolved iron from the buoyancy-driven circulation of melting ice shelf cavities (the meltwater pump). The model suggests that westward flowing coastal circulation plays two important roles: it provides additional iron to the ASP and it collects particulate organic matter generated by the bloom and transports it to the west of the ASP. As a result, maps of vertical particulate organic matter fluxes show highest fluxes in shelf regions located west of the productive central ASP. Overall, these model results improve our mechanistic understanding of the ASP bloom, while suggesting testable hypotheses for future field efforts. Plain Language Summary Winds in the coastal Antarctic regions tend to create openings in the sea ice cover called coastal polynyas. Such polynyas are found in multiple locations around the Antarctic continent including in the Amundsen Sea. This particular embayment features the fastest-melting ice shelves of the continent, but it is also distinguished by a large production of algae during the austral summer season. Recent studies have reported a statistical link between these two features but the mechanisms involved are not well understood. We use advanced computer simulations to gain insight into these mechanisms and use measurements collected in the Amundsen Sea to evaluate how realistic the simulations are. The results emphasize the two roles of the coastal circulation: it provides a necessary micronutrient (iron) to the algae and it also transports the algae away from where it grows during the summer. The computer simulations improve our understanding of why the Amundsen Sea Polynya is so productive, and they suggest new hypotheses that can be tested in future field efforts.</t>
  </si>
  <si>
    <t>[St-Laurent, P.; Dinniman, M. S.] Old Dominion Univ, Ctr Coastal Phys Oceanog, Norfolk, VA 23529 USA; [St-Laurent, P.] Virginia Inst Marine Sci, William &amp; Mary, Gloucester Point, VA 23062 USA; [Yager, P. L.; Oliver, H.] Univ Georgia, Dept Marine Sci, Athens, GA 30602 USA; [Sherrell, R. M.] Rutgers State Univ, Dept Marine &amp; Coastal Sci, New Brunswick, NJ USA; [Sherrell, R. M.] Rutgers State Univ, Dept Earth &amp; Planetary Sci, Piscataway, NJ USA; [Stammerjohn, S. E.] Univ Colorado, Inst Arctic &amp; Alpine Res, Boulder, CO 80309 USA</t>
  </si>
  <si>
    <t>Old Dominion University; William &amp; Mary; Virginia Institute of Marine Science; University System of Georgia; University of Georgia; Rutgers University System; Rutgers University New Brunswick; Rutgers University System; Rutgers University New Brunswick; University of Colorado System; University of Colorado Boulder</t>
  </si>
  <si>
    <t>St-Laurent, P (corresponding author), Old Dominion Univ, Ctr Coastal Phys Oceanog, Norfolk, VA 23529 USA.;St-Laurent, P (corresponding author), Virginia Inst Marine Sci, William &amp; Mary, Gloucester Point, VA 23062 USA.</t>
  </si>
  <si>
    <t>pst-laurent@vims.edu</t>
  </si>
  <si>
    <t>; Yager, Patricia/K-8020-2014</t>
  </si>
  <si>
    <t>Dinniman, Michael/0000-0001-7519-9278; Oliver, Hilde/0000-0002-5507-3333; St-Laurent, Pierre/0000-0002-1700-9509; STAMMERJOHN, SHARON/0000-0002-1697-8244; Yager, Patricia/0000-0002-8462-6427</t>
  </si>
  <si>
    <t>National Science Foundation Office of Polar Programs [1443657, 1443604, 1443315, 1443569]; Directorate For Geosciences; Office of Polar Programs (OPP) [1443569, 1443604, 1443315] Funding Source: National Science Foundation; Office of Polar Programs (OPP); Directorate For Geosciences [1443657]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</si>
  <si>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</si>
  <si>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research was supported by the National Science Foundation Office of Polar Programs (collaborative grants 1443657, 1443604, 1443315, and 1443569) and by the Turing High Performance Computing cluster at Old Dominion University. We thank the reviewers for their helpful comments. We thank the crew and scientific personnel involved in the collection of the data during ASPIRE. AMPS atmospheric data were provided by Ohio State University. This paper is contribution 3809 of the Virginia Institute of Marine Science, William &amp; Mary. The model data used in the manuscript will be permanently archived at W&amp;M Scholar Works (https://scholarworks.wm.edu/) after the manuscript is accepted.</t>
  </si>
  <si>
    <t>10.1029/2018JC014773</t>
  </si>
  <si>
    <t>HT6EL</t>
  </si>
  <si>
    <t>WOS:000464656900011</t>
  </si>
  <si>
    <t>Webb, DJ; Holmes, RM; Spence, P; England, MH</t>
  </si>
  <si>
    <t>Webb, D. J.; Holmes, R. M.; Spence, P.; England, M. H.</t>
  </si>
  <si>
    <t>Barotropic Kelvin Wave-Induced Bottom Boundary Layer Warming Along the West Antarctic Peninsula</t>
  </si>
  <si>
    <t>barotropic Kelvin waves; Antarctic shelf-water warming; bottom Ekman transport; circumpolar deep water; West Antarctic Peninsula</t>
  </si>
  <si>
    <t>CIRCUMPOLAR DEEP-WATER; CONTINENTAL-SHELF; PINE ISLAND; TRANSPORT; SLOPE; OCEAN; WIND; CIRCULATION; CLIMATE; ACCELERATION</t>
  </si>
  <si>
    <t>Intrusions of warm circumpolar deep water onto the Antarctic continental shelf are thought to drive accelerated loss of Antarctic glacial ice mass by triggering melt at the ice shelf grounding line. However, the mechanisms responsible for driving on-shelf circumpolar deep water intrusions are not well understood. Here we examine how sea surface height (SSH) anomalies propagating around the Antarctic coastline as coastal-trapped waves can drive warm water intrusions through changes in bottom Ekman transport. A wind perturbation motivated by the recent intensification and poleward shift of the southern annular mode during its positive phase is applied over Eastern Antarctica between 20 degrees E and 120 degrees E in two global ocean sea-ice models (1/4 degrees and 1/10 degrees) and a single-layer shallow water model. The changes in winds generate a drop in coastal SSH that propagates around Antarctica as a barotropic Kelvin wave. The SSH drop is accompanied by a barotropic flow, which alters the bottom stress, generating an onshore transport of warm water wherever thermal gradients are favorable. We estimate the resulting anomalous bottom Ekman flow and use temperature gradients calculated from the Southern Ocean State Estimate, along with the 1/4 degrees and 1/10 degrees models, to evaluate the resultant heat advection. We find that this mechanism can drive warming of up to 0.7 degrees C along the West Antarctic Peninsula within a year, depending on the mean state of the cross-shelf temperature gradient and the barotropic flow strength. Over longer time scales, warming eventually ceases due to saturation of the SSH field and arrest of the Ekman transport by buoyancy forces. Plain Language Summary Antarctic glacial ice melt has accelerated in recent years, yet we still do not fully understand the mechanisms driving this increased melt. Part of the answer is thought to lie in intrusions of warm subsurface waters that come into contact with the base of Antarctica's ice shelves. However, the processes that drive these warm water intrusions are not yet well understood. Here we examine a mechanism for wind-driven changes in coastal sea level that propagate around Antarctica as coastal-trapped waves and consequently drive onshore heat transport via changes in bottom layer flow. We calculate an estimate for the warming rate associated with this mechanism using theory; model simulations; and, where available, observations. We further test the sensitivity of heat transport to local stratification as well as a parameter that determines the bottom flow strength. Each model simulation is forced with winds based on projections of an intensified westerly wind belt over the East Antarctic sector of the Southern Ocean. In each case we find substantial subsurface warming to develop along the West Antarctic Peninsula within 1year, with the strongest warming seen where the net coastal flow, and the temperature gradients over the Antarctic continental shelf are greatest.</t>
  </si>
  <si>
    <t>[Webb, D. J.; Holmes, R. M.; Spence, P.; England, M. H.] Univ New South Wales, Climate Change Res Ctr, ARC Ctr Excellence Climate Syst Sci, Sydney, NSW, Australia; [Holmes, R. M.] Univ New South Wales, Sch Math &amp; Stat, Sydney, NSW, Australia</t>
  </si>
  <si>
    <t>University of New South Wales Sydney; ARC Centre of Excellence for Climate System Science; University of New South Wales Sydney</t>
  </si>
  <si>
    <t>Webb, DJ (corresponding author), Univ New South Wales, Climate Change Res Ctr, ARC Ctr Excellence Climate Syst Sci, Sydney, NSW, Australia.</t>
  </si>
  <si>
    <t>d.webb@unsw.edu.au</t>
  </si>
  <si>
    <t>Holmes, Ryan/J-3024-2019; England, Matthew/A-7539-2011; Spence, Paul/IZE-7366-2023</t>
  </si>
  <si>
    <t>Holmes, Ryan/0000-0002-6799-9109; England, Matthew/0000-0001-9696-2930; Spence, Paul/0000-0001-5156-2204; Webb, David/0000-0001-5847-7002</t>
  </si>
  <si>
    <t>Australian Research Council, including the ARC Centre of Excellence for Climate System Science [CE110001028]; Centre for Southern Hemisphere Oceans Research (CSHOR); ARC [DE150100223]; Australian Research Council [DE150100223] Funding Source: Australian Research Council</t>
  </si>
  <si>
    <t>Australian Research Council, including the ARC Centre of Excellence for Climate System Science(Australian Research Council); Centre for Southern Hemisphere Oceans Research (CSHOR); ARC(Australian Research Council); Australian Research Council(Australian Research Council)</t>
  </si>
  <si>
    <t>This work was supported by the Australian Research Council, including the ARC Centre of Excellence for Climate System Science (CE110001028). M.H.E. is also supported by the Centre for Southern Hemisphere Oceans Research (CSHOR), a joint research centre between QNLM, CSIRO, UNSW, and UTAS. P. Spence is supported by the ARC DECRA Fellowship DE150100223. Numerical simulations were conducted at the NCI National Facility systems at the Australian National University through the National Computational Merit Allocation Scheme supported by the Australian Government. The model output data are available at https://doi.org/10.25914/5becb179a75cd. The authors would also like to thank Stephen Griffies, Bill Dewer, Jan Zika, and Andy Hogg for insightful discussions.</t>
  </si>
  <si>
    <t>10.1029/2018JC014227</t>
  </si>
  <si>
    <t>WOS:000464656900014</t>
  </si>
  <si>
    <t>Kersalé, M; Perez, RC; Speich, S; Meinen, CS; Lamont, T; Le Hénaff, M; van den Berg, MA; Majumder, S; Ansorge, IJ; Dong, SF; Schmid, C; Terre, T; Garzoli, SL</t>
  </si>
  <si>
    <t>Kersale, Marion; Perez, Renellys C.; Speich, Sabrina; Meinen, Christopher S.; Lamont, Tarron; Le Henaff, Matthieu; van den Berg, Marcel A.; Majumder, Sudip; Ansorge, Isabelle J.; Dong, Shenfu; Schmid, Claudia; Terre, Thierry; Garzoli, Silvia L.</t>
  </si>
  <si>
    <t>Shallow and Deep Eastern Boundary Currents in the South Atlantic at 34.5°S: Mean Structure and Variability</t>
  </si>
  <si>
    <t>MERIDIONAL OVERTURNING CIRCULATION; INVERTED ECHO SOUNDERS; ANTARCTIC CIRCUMPOLAR CURRENT; MULTIPLE EQUILIBRIA REGIME; INTER-OCEAN EXCHANGE; BENGUELA CURRENT; TRANSPORT VARIABILITY; AGULHAS CURRENT; TIME-SERIES; HEAT-TRANSPORT</t>
  </si>
  <si>
    <t>The first in situ continuous full-water-column observations of the eastern boundary currents (EBCs) at 34.5 degrees S in the South Atlantic are obtained using 23months of data from a line of Current and Pressure recording Inverted Echo Sounders (CPIES) spanning the Cape Basin. The CPIES are used to evaluate the mean structure of the EBC, the associated water masses, and the volume transport variability. The estimated northward time-mean Benguela Current absolute geostrophic transport is 24Sv, with a temporal standard deviation of 17Sv. Beneath this current the time-mean transport is southward, indicating the presence of a deep-EBC (DEBC), with a time-mean transport of 12Sv, and a standard deviation of 17Sv. Offshore of these currents, the shallow and deep flows are more variable with weak time means, likely influenced by Agulhas Rings transiting through the region. Hydrographic data collected along the CPIES line demonstrate that the DEBC is carrying recently ventilated North Atlantic Deep Water, as it flows along the continental slope. This is consistent with a previously hypothesized interior pathway bringing recently ventilated North Atlantic Deep Water from the Deep Western Boundary Current across the Atlantic to the Cape Basin. The observations further indicate that much of the DEBC must recirculate within the basin. Spectral analyses of the shallow and deep EBC transport time series demonstrate that the strongest variability occurs on timescales ranging from 30 to 90days, associated with the propagation of Agulhas Rings. Plain Language Summary Heat and freshwater transported by the overturning circulation in the Atlantic have been shown to have significant influences on global climate. Boundary current variations in the Southeast Atlantic have furthermore been shown to play a major role in the overturning circulation. This study presents, for the first time, full-depth, daily observations of the eastern boundary currents at 34.5 degrees S based on moored instruments. The 23months of observations (velocity and water mass properties) reveal the presence of two distinct eastern boundary currents, with equatorward flow in the upper layer and poleward flow in the deep layer. The variability of both currents is characterized, in unprecedented detail, and is shown to be dominated by large anticyclonic eddies transiting across the moorings. The observations further indicate that much of the deep current must recirculate within the Cape Basin, with a smaller portion of the flow participating in the global overturning circulation.</t>
  </si>
  <si>
    <t>[Kersale, Marion; Le Henaff, Matthieu; Majumder, Sudip; Garzoli, Silvia L.] Univ Miami, Cooperat Inst Marine &amp; Atmospher Studies, Miami, FL 33149 USA; [Kersale, Marion; Perez, Renellys C.; Meinen, Christopher S.; Le Henaff, Matthieu; Majumder, Sudip; Dong, Shenfu; Schmid, Claudia; Garzoli, Silvia L.] NOAA, Atlantic Oceanog &amp; Meteorol Lab, Miami, FL 33149 USA; [Speich, Sabrina] Ecole Polytech, CNRS, UMR 8539, Lab Meteorol Dynam,ENS, Paris, France; [Lamont, Tarron; Ansorge, Isabelle J.] Univ Cape Town, Dept Oceanog, Marine Res Inst, Rondebosch, South Africa; [Lamont, Tarron; van den Berg, Marcel A.] Dept Environm Affairs Oceans &amp; Coastal Res, Cape Town, South Africa; [Terre, Thierry] Univ Brest, IFREMER, CNRS, IRD,LOPS,IUEM, Plouzane, France</t>
  </si>
  <si>
    <t>University of Miami; National Oceanic Atmospheric Admin (NOAA) - USA; Atlantic Oceanographic &amp; Meteorological Laboratory (AOML); Centre National de la Recherche Scientifique (CNRS); CNRS - National Institute for Earth Sciences &amp; Astronomy (INSU); Universite PSL; Ecole Normale Superieure (ENS); Sorbonne Universite; University of Cape Town; Universite de Bretagne Occidentale; Institut Universitaire Europeen de la Mer (IUEM); Ifremer; Centre National de la Recherche Scientifique (CNRS); Institut de Recherche pour le Developpement (IRD)</t>
  </si>
  <si>
    <t>Kersalé, M (corresponding author), Univ Miami, Cooperat Inst Marine &amp; Atmospher Studies, Miami, FL 33149 USA.;Kersalé, M (corresponding author), NOAA, Atlantic Oceanog &amp; Meteorol Lab, Miami, FL 33149 USA.</t>
  </si>
  <si>
    <t>marion.kersale@noaa.gov</t>
  </si>
  <si>
    <t>Majumder, Sudip/A-9712-2017; Garzoli, Silvia/JCP-1471-2023; Speich, Sabrina/L-3780-2014; Perez, Renellys C/D-1976-2012; Le Hénaff, Matthieu/P-8480-2018; Schmid, Claudia/D-5875-2013; Majumder, Sudip/AAI-3743-2020; Dong, Shenfu/I-4435-2013; ANSORGE, ISABELLE/AAY-7396-2020; Meinen, Christopher/G-1902-2012; KERSALE, Marion/L-2975-2015</t>
  </si>
  <si>
    <t>Speich, Sabrina/0000-0002-5452-8287; Dong, Shenfu/0000-0001-8247-8072; Meinen, Christopher/0000-0002-8846-6002; KERSALE, Marion/0000-0001-8998-5536; Ansorge, Isabelle/0000-0001-7071-8147</t>
  </si>
  <si>
    <t>Cooperative Institute for Marine and Atmospheric Studies (CIMAS), a cooperative institute of the University of Miami [NA10OAR4320143]; NOAA [NA10OAR4320143]; NOAA Climate Variability Program [GC16-212, NA13OAR4310131]; NASA [NNX14AH60G]; NOAA's Ocean Observing and Monitoring Division [100007298]; NOAA Atlantic Oceanographic and Meteorological Laboratory; SAMOC Research Project [11-ANR-56-004]; European Union [633211]; DST-NRF-SANAP Programme; South African DEA; National Oceanic and Atmospheric Administration (NOAA); NASA [681751, NNX14AH60G] Funding Source: Federal RePORTER</t>
  </si>
  <si>
    <t>Cooperative Institute for Marine and Atmospheric Studies (CIMAS), a cooperative institute of the University of Miami; NOAA(National Oceanic Atmospheric Admin (NOAA) - USA); NOAA Climate Variability Program(National Oceanic Atmospheric Admin (NOAA) - USA); NASA(National Aeronautics &amp; Space Administration (NASA)); NOAA's Ocean Observing and Monitoring Division(National Oceanic Atmospheric Admin (NOAA) - USA); NOAA Atlantic Oceanographic and Meteorological Laboratory(National Oceanic Atmospheric Admin (NOAA) - USA); SAMOC Research Project; European Union(European Union (EU)); DST-NRF-SANAP Programme; South African DEA; National Oceanic and Atmospheric Administration (NOAA)(National Oceanic Atmospheric Admin (NOAA) - USA); NASA(National Aeronautics &amp; Space Administration (NASA))</t>
  </si>
  <si>
    <t>The authors would like to express their great appreciation to the Captain, officers, and crew of the RV SA Agulhas II, who have supported this program to date. We are also very grateful to the technical staff who worked on the preparation, deployment, and the recovery of the instruments, and our thanks to those who have helped coordinate these challenging international cruise collaborations. M.K., M. L. H., S. G., and S. M. were supported in part under the auspices of the Cooperative Institute for Marine and Atmospheric Studies (CIMAS), a cooperative institute of the University of Miami and NOAA, cooperative agreement NA10OAR4320143. M. K., M. L. H., and R. P. acknowledge support from the NOAA Climate Variability Program (GC16-212 and NA13OAR4310131) and NASA (Grant NNX14AH60G). C. M., C. S., R. P., and S. D. were supported by NOAA's Ocean Observing and Monitoring Division (FundRef 100007298). The Miami authors all also acknowledge additional support from the NOAA Atlantic Oceanographic and Meteorological Laboratory. S. S. and T. T. acknowledge support from the 11-ANR-56-004 SAMOC Research Project. S. S. also received support from the European Union Horizon 2020 Research and Innovation Programme under grant 633211 (AtlantOS). IA, M. v. d. B., and T. L. acknowledge support from the DST-NRF-SANAP Programme and the South African DEA. Users can access the CPIES data from the SAMOC initiative web page (aoml. noaa. gov/phod/SAMOC_international/samoc_data.php). Data from the hydrographic casts are being uploaded to the Marine Information Management System (data.ocean.gov.za/). The Argo/altimetry synthesis and the XBT/WOA products can be obtained from the AOML/PhOD website (respectively, www.aoml.noaa.gov/phod/samoc_argo_altimetry/data.php; www.aoml.noaa.gov/phod/goos/xbtscience/data.php). The altimeter products were developed by SSALTO/DUACS and distributed by AVISO, with support from CNES (www.aviso.oceanobs.com/duacs/). The Mesoscale Eddy Trajectory Atlas Product was produced by SSALTO/DUACS and distributed by AVISO+ (aviso.altimetry.fr/) with support from CNES, in collaboration with Oregon State University with support from NASA. Argo data were collected and made freely available by the Coriolis Project and Programmes that contribute to it (coriolis.eu.org). The OFES outputs were provided by Asia-Pacific Data Research Center, which is a part of the International Pacific Research Center at the University of Hawai'i at Manoa, funded in part by the National Oceanic and Atmospheric Administration (NOAA). The authors received several helpful suggestions for improving an earlier version of this manuscript from Hally B. Stone and two anonymous reviewers, and their help is gratefully noted.</t>
  </si>
  <si>
    <t>10.1029/2018JC014554</t>
  </si>
  <si>
    <t>WOS:000464656900016</t>
  </si>
  <si>
    <t>Purkey, SG; Johnson, GC; Talley, LD; Sloyan, BM; Wijffels, SE; Smethie, W; Mecking, S; Katsumata, K</t>
  </si>
  <si>
    <t>Purkey, Sarah G.; Johnson, Gregory C.; Talley, Lynne D.; Sloyan, Bernadette M.; Wijffels, Susan E.; Smethie, William; Mecking, Sabine; Katsumata, Katsuro</t>
  </si>
  <si>
    <t>Unabated Bottom Water Warming and Freshening in the South Pacific Ocean</t>
  </si>
  <si>
    <t>abyssal warming; Pacific deep circulation; deep steric sea level; deep warming variability; Antarctic Bottom Water</t>
  </si>
  <si>
    <t>SEA-LEVEL RISE; GLOBAL HEAT; WESTERN-BOUNDARY; ROSS SEA; DEEP; CIRCULATION; ABYSSAL; VENTILATION; SURFACE</t>
  </si>
  <si>
    <t>Abyssal ocean warming contributed substantially to anthropogenic ocean heat uptake and global sea level rise between 1990 and 2010. In the 2010s, several hydrographic sections crossing the South Pacific Ocean were occupied for a third or fourth time since the 1990s, allowing for an assessment of the decadal variability in the local abyssal ocean properties among the 1990s, 2000s, and 2010s. These observations from three decades reveal steady to accelerated bottom water warming since the 1990s. Strong abyssal (z&gt;4,000m) warming of 3.5 (1.4) m degrees C/year (m degrees C=10(-3)degrees C) is observed in the Ross Sea, directly downstream from bottom water formation sites, with warming rates of 2.5 (0.4) m degrees C/year to the east in the Amundsen-Bellingshausen Basin and 1.3 (0.2) m degrees C/year to the north in the Southwest Pacific Basin, all associated with a bottom-intensified descent of the deepest isotherms. Warming is consistently found across all sections and their occupations within each basin, demonstrating that the abyssal warming is monotonic, basin-wide, and multidecadal. In addition, bottom water freshening was strongest in the Ross Sea, with smaller amplitude in the Amundsen-Bellingshausen Basin in the 2000s, but is discernible in portions of the Southwest Pacific Basin by the 2010s. These results indicate that bottom water freshening, stemming from strong freshening of Ross Shelf Waters, is being advected along deep isopycnals and mixed into deep basins, albeit on longer timescales than the dynamically driven, wave-propagated warming signal. We quantify the contribution of the warming to local sea level and heat budgets. Plain Language Summary Over 90% of the excess energy gained by Earth's climate system has been absorbed by the oceans, with about 10% found deeper than 2,000m. The rates and patterns of deep and abyssal (deeper than 4,000m) ocean warming, while vital for understanding how this heat sink might behave in the future, are poorly known owing to limited data. Here we use highly accurate data collected by ships along oceanic transects with decadal revisits to quantify how much heat and freshwater has entered the South Pacific Ocean between the 1990s and 2010s. We find widespread warming throughout the deep basins there and evidence that the warming rate has accelerated in the 2010s relative to the 1990s. The warming is strongest near Antarctica where the abyssal ocean is ventilated by surface waters that sink to the sea floor and hence become bottom water, but abyssal warming is observed everywhere. In addition, we observe an infusion of freshwater propagating along the pathway of the bottom water as it moves northward from Antarctica. We quantify the deep ocean warming contributions to heat uptake as well as sea level rise through thermal expansion.</t>
  </si>
  <si>
    <t>[Purkey, Sarah G.; Talley, Lynne D.] Univ Calif San Diego, Scripps Inst Oceanog, San Diego, CA 92103 USA; [Johnson, Gregory C.] NOAA, Pacific Marine Environm Lab, 7600 Sand Point Way Ne, Seattle, WA 98115 USA; [Sloyan, Bernadette M.; Wijffels, Susan E.] CSIRO, Oceans &amp; Atmosphere, Hobart, Tas, Australia; [Sloyan, Bernadette M.; Wijffels, Susan E.] Ctr Southern Hemisphere Oceans Res, Hobart, Tas, Australia; [Wijffels, Susan E.] Woods Hole Oceanog Inst, Dept Phys Oceanog, Woods Hole, MA 02543 USA; [Smethie, William] Columbia Univ, Lamont Doherty Earth Observ, Palisades, NY USA; [Mecking, Sabine] Univ Washington, Appl Phys Lab, Seattle, WA 98105 USA; [Katsumata, Katsuro] JAMSTEC, Res Inst Global Change, Yokosuka, Kanagawa, Japan</t>
  </si>
  <si>
    <t>University of California System; University of California San Diego; Scripps Institution of Oceanography; National Oceanic Atmospheric Admin (NOAA) - USA; Commonwealth Scientific &amp; Industrial Research Organisation (CSIRO); Woods Hole Oceanographic Institution; Columbia University; University of Washington; University of Washington Seattle; Japan Agency for Marine-Earth Science &amp; Technology (JAMSTEC)</t>
  </si>
  <si>
    <t>Purkey, SG (corresponding author), Univ Calif San Diego, Scripps Inst Oceanog, San Diego, CA 92103 USA.</t>
  </si>
  <si>
    <t>spurkey@ucsd.edu</t>
  </si>
  <si>
    <t>Wijffels, Susan E/I-8215-2012; Purkey, Sarah G/K-1983-2012; Johnson, Gregory C/I-6559-2012; Sloyan, Bernadette/N-8989-2014; Katsumata, Katsuro/AAR-5034-2020</t>
  </si>
  <si>
    <t>Johnson, Gregory C/0000-0002-8023-4020; Sloyan, Bernadette/0000-0003-0250-0167; Katsumata, Katsuro/0000-0002-4683-7610; Smethie, William/0000-0001-7580-8918; Talley, Lynne/0000-0003-1574-729X; Wijffels, Susan/0000-0002-4717-0811; Purkey, Sarah/0000-0002-1893-6224</t>
  </si>
  <si>
    <t>U.S. GO-SHIP postdoctoral fellowship through NSF [OCE-1437015]; Global Ocean Monitoring and Observation Program, National Oceanic and Atmospheric Administration (NOAA), U.S. Department of Commerce; NOAA Research; Australian Government Department of the Environment; CSIRO through the Australian Climate Change Science Programme; National Environmental Science Program</t>
  </si>
  <si>
    <t>U.S. GO-SHIP postdoctoral fellowship through NSF; Global Ocean Monitoring and Observation Program, National Oceanic and Atmospheric Administration (NOAA), U.S. Department of Commerce(National Oceanic Atmospheric Admin (NOAA) - USA); NOAA Research(National Oceanic Atmospheric Admin (NOAA) - USA); Australian Government Department of the Environment(Australian Government); CSIRO through the Australian Climate Change Science Programme; National Environmental Science Program</t>
  </si>
  <si>
    <t>S. G. P. was supported by a U.S. GO-SHIP postdoctoral fellowship through NSF grant OCE-1437015, which also supported L.D.T. and S. M. and collection of U.S. GO-SHIP data since 2014 on P06, S4P, P16, and P18. G. C. J. is supported by the Global Ocean Monitoring and Observation Program, National Oceanic and Atmospheric Administration (NOAA), U.S. Department of Commerce and NOAA Research. B. M. S and S. E. W. were supported by the Australian Government Department of the Environment and CSIRO through the Australian Climate Change Science Programme and by the National Environmental Science Program. We are grateful for the hard work of the science parties, officers, and crew of all the research cruises on which these CTD data were collected. We also thank the two anonymous reviewers for their helpful comments that improve the manuscript. This is PMEL contribution 4870. All CTD data sets used in this analysis are publicly available at the website (https://cchdo.ucsd.edu).</t>
  </si>
  <si>
    <t>10.1029/2018JC014775</t>
  </si>
  <si>
    <t>WOS:000464656900024</t>
  </si>
  <si>
    <t>Tamsitt, V; Talley, LD; Mazloff, MR</t>
  </si>
  <si>
    <t>Tamsitt, V.; Talley, L. D.; Mazloff, M. R.</t>
  </si>
  <si>
    <t>A Deep Eastern Boundary Current Carrying Indian Deep Water South of Australia</t>
  </si>
  <si>
    <t>Indian Ocean; boundary currents; deep ocean; Lagrangian particle tracking; hydrography; water masses</t>
  </si>
  <si>
    <t>LEEUWIN CURRENT; OVERTURNING CIRCULATION; ABYSSAL CIRCULATION; WORLD OCEAN; SHELVES; SECTIONS; PACIFIC; BOTTOM; MODEL; MASS</t>
  </si>
  <si>
    <t>In the Southern Hemisphere, the ocean's deep waters are predominantly transported from low to high latitudes via boundary currents. In addition to the Deep Western Boundary Currents, pathways along the eastern boundaries of the southern Atlantic, Indian, and Pacific transport deep water poleward into the Southern Ocean where these waters upwell to the sea surface. These deep eastern boundary currents and their physical drivers are not well characterized, particularly those carrying carbon and nutrient-rich deep waters from the Indian and Pacific basins. Here we describe the poleward deep eastern boundary current that carries Indian Deep Water along the southern boundary of Australia to the Southern Ocean using a combination of hydrographic observations and Lagrangian experiments in an eddy-permitting ocean state estimate. We find strong evidence for a deep boundary current carrying the low-oxygen, carbon-rich signature of Indian Deep Water extending between 1,500 and 3,000m along the Australian continental slope, from 30 degrees S to the Antarctic Circumpolar Current southwest of Tasmania. From the Lagrangian particles it is estimated that this pathway transports approximately 5.8 +/- 1.3Sv southward from 30 degrees S to the northern boundary of the Antarctic Circumpolar Current. The volume transport of this pathway is highly variable and is closely correlated with the overlying westward volume transport of the Flinders Current. Plain Language Summary Heat and carbon exchange between the atmosphere and the ocean has a big impact on our climate. It is important to understand the routes by which the ocean delivers heat and carbon to the sea surface. In the Southern Hemisphere, deep waters (below 1,000-m depth) flow southward toward Antarctica along the boundaries of the Atlantic, Indian, and Pacific Oceans. In the Indian and Pacific Oceans, the eastern boundaries carry old, carbon-rich waters south until they reach the sea surface in the Southern Ocean. However, many aspects of the deep southward flow from the eastern Indian Ocean are not well understood. Although this flow was identified in observations from ships in the 1990's, there are few observations and the importance of this deep flow has not been fully appreciated. The goal of this study is to describe the Indian deep eastern boundary current by revisiting observations from ships and tracking virtual particles in an ocean model. The results show that deep water from the Indian Ocean flows along the southern coast of Australia until it reaches the Antarctic Circumpolar Current. The strength of the deep flow is highly variable and is related to variations in the overlying Flinders Current.</t>
  </si>
  <si>
    <t>[Tamsitt, V.] Univ New South Wales, Climate Change Res Ctr, Kensington, NSW, Australia; [Tamsitt, V.] CSIRO Oceans &amp; Atmosphere, CSHOR, Hobart, Tas, Australia; [Talley, L. D.; Mazloff, M. R.] Scripps Inst Oceanog, La Jolla, CA USA</t>
  </si>
  <si>
    <t>University of New South Wales Sydney; Commonwealth Scientific &amp; Industrial Research Organisation (CSIRO); University of California System; University of California San Diego; Scripps Institution of Oceanography</t>
  </si>
  <si>
    <t>Tamsitt, V (corresponding author), Univ New South Wales, Climate Change Res Ctr, Kensington, NSW, Australia.;Tamsitt, V (corresponding author), CSIRO Oceans &amp; Atmosphere, CSHOR, Hobart, Tas, Australia.</t>
  </si>
  <si>
    <t>veronica.tamsitt@gmail.com</t>
  </si>
  <si>
    <t>Tamsitt, Veronica/U-1838-2019; Mazloff, Matthew/AAG-6463-2019</t>
  </si>
  <si>
    <t>Mazloff, Matthew/0000-0002-1650-5850; Tamsitt, Veronica/0000-0001-8816-2239; Talley, Lynne/0000-0003-1574-729X</t>
  </si>
  <si>
    <t>NSF [PLR-1425989, OCE-1357072]</t>
  </si>
  <si>
    <t>CSHOR is a joint research Centre for Southern Hemisphere Ocean Research between QNLM and CSIRO. V.T. and L.D.T. were supported by NSF OCE-1357072. L.D.T. was also supported by NSF PLR-1425989 (SOCCOM), which provided support for M.R.M. Hydrographic section data were obtained from the CCHDO (https:/cchdo.ucsd.edu). The Deep Argo trajectory was obtained from the USGODAE Argo GDAC (http://www.usgodae.org/argo/argo.html). Argo data were collected and made freely available by the International Argo Program and the national programs that contribute to it (http://www.argo.ucsd.edu,http://argo.jcommops.org). The Argo Program is part of the Global Ocean Observing System. We acknowledge S. Riser for development of the Deep Argo float used in this work and N. Zilberman for advice on working with Deep Argo trajectories. SOSE iteration 100 model output is available at their website (http://sose.ucsd.edu). The Lagrangian code used for the particle experiment is available at their website (https://github.com/jinbow/Octopus). Lagrangian trajectories used in this paper are available from the corresponding author upon request. V. T. would like to thank J. Wang for expert guidance and support in using Octopus, S. Escher for assistance with working withWOCE data, and H. Drake and A. Morrison for extensive discussions on Lagrangian analysis and early discussions on the dynamics of the Indian DEBC. The authors thank two anonymous reviewers whose comments significantly improved the quality of this manuscript.</t>
  </si>
  <si>
    <t>10.1029/2018JC014569</t>
  </si>
  <si>
    <t>WOS:000464656900047</t>
  </si>
  <si>
    <t>Jovane, L; Florindo, F; Acton, G; Ohneiser, C; Sagnotti, L; Strada, E; Verosub, KL; Wilson, GS; Iacoviello, F; Levy, RH; Passchier, S</t>
  </si>
  <si>
    <t>Jovane, Luigi; Florindo, Fabio; Acton, Gary; Ohneiser, Christian; Sagnotti, Leonardo; Strada, Eleonora; Verosub, Kenneth L.; Wilson, Gary S.; Iacoviello, Francesco; Levy, Richard H.; Passchier, Sandra</t>
  </si>
  <si>
    <t>Miocene Glacial Dynamics Recorded by Variations in Magnetic Properties in the ANDRILL-2A Drill Core</t>
  </si>
  <si>
    <t>JOURNAL OF GEOPHYSICAL RESEARCH-SOLID EARTH</t>
  </si>
  <si>
    <t>ANDRILL; Ross Sea; Southern McMurdo Sound; Antarctica; early Miocene; magnetic properties</t>
  </si>
  <si>
    <t>SOUTHERN MCMURDO SOUND; VICTORIA LAND BASIN; ROSS SEA REGION; ICE-SHEET; DRY VALLEYS; AND-2A CORE; LATE EOCENE; NEW-JERSEY; TRANSANTARCTIC MOUNTAINS; ANTARCTIC PALEOCLIMATE</t>
  </si>
  <si>
    <t>During the 2007 ANtarctic geological DRILLing (ANDRILL) campaign in the Ross Sea, Antarctica, the AND-2A core was recovered through a stratigraphic succession spanning 1,138.54m of Neogene sedimentary rocks that include an expanded early to middle Miocene sequence. The study reported here focuses on the magnetic properties of the interval from 778.63m below sea floor (mbsf) to 1,138.54mbsf, which comprises a time interval spanning 1.5Myr, from 18.7 to 20.2Ma. We recognize three main pulses of increased input of magnetic materials to the drill site between 778.34-903.06, 950.55-995.78, and 1,040-1,103.96mbsf. Trends in the magnetic mineral concentration dependent parameters mirror changes in the proportion of sediments derived from McMurdo Volcanic Group rocks. We suggest that these pulses in magnetic mineral concentration reflect changes in sediment transport processes associated with changing glacial conditions at the drill site that included (1) subglacial and grounding zone proximal settings, (2) hemipelagic and neritic conditions with abundant sediment-rich icebergs, and (3) grounding zone-distal environment that was covered by land-fast multiyear sea ice or a fringing ice shelf. The magnetic minerals record preserved in the AND-2A core supports other data that indicate a highly dynamic and variable coastal environment during the early Miocene, where glaciers retreated inland under warm climatic conditions and advanced beyond the drill site across the continental shelf when cold climate prevailed.</t>
  </si>
  <si>
    <t>[Jovane, Luigi; Florindo, Fabio; Iacoviello, Francesco] Univ Sao Paulo, Inst Oceanog, Sao Paulo, SP, Brazil; [Jovane, Luigi] Western Washington Univ, Dept Geol, Bellingham, WA 98225 USA; [Florindo, Fabio; Sagnotti, Leonardo; Strada, Eleonora] Ist Nazl Geofis &amp; Vulcanol, Rome, Italy; [Acton, Gary] Texas A&amp;M Univ, Int Ocean Discovery Program, College Stn, TX USA; [Ohneiser, Christian; Wilson, Gary S.] Univ Otago, Dept Geol, Dunedin, New Zealand; [Verosub, Kenneth L.] Univ Calif Davis, Dept Earth &amp; Planetary Sci, Davis, CA 95616 USA; [Iacoviello, Francesco] UCL, Dept Chem Engn, London, England; [Levy, Richard H.] GNS Sci, Dept Paleontol, Lower Hutt, New Zealand; [Passchier, Sandra] Montclair State Univ, Dept Earth &amp; Environm Sci, Montclair, NJ USA</t>
  </si>
  <si>
    <t>Universidade de Sao Paulo; Western Washington University; Istituto Nazionale Geofisica e Vulcanologia (INGV); Texas A&amp;M University System; Texas A&amp;M University College Station; University of Otago; University of California System; University of California Davis; University of London; University College London; GNS Science - New Zealand; Montclair State University</t>
  </si>
  <si>
    <t>Florindo, F (corresponding author), Univ Sao Paulo, Inst Oceanog, Sao Paulo, SP, Brazil.;Florindo, F (corresponding author), Ist Nazl Geofis &amp; Vulcanol, Rome, Italy.</t>
  </si>
  <si>
    <t>fabio.florindo@ingv.it</t>
  </si>
  <si>
    <t>Sagnotti, Leonardo/AFM-3916-2022; Passchier, Sandra/GYU-2381-2022; Passchier, Sandra/AAQ-2243-2021; Acton, Gary D/B-6108-2016; Florindo, Fabio/AAU-2548-2021; Florindo, Fabio/M-1459-2019; Florindo, Fabio/F-4119-2010; Iacoviello, Francesco/AAW-9047-2020; Wilson, Gary S/B-3803-2010; Jovane, Luigi/AAH-5438-2020</t>
  </si>
  <si>
    <t>Sagnotti, Leonardo/0000-0003-3944-201X; Passchier, Sandra/0000-0001-7204-7025; Florindo, Fabio/0000-0002-6058-9748; Florindo, Fabio/0000-0002-6058-9748; Iacoviello, Francesco/0000-0003-3564-2380; Jovane, Luigi/0000-0003-4348-4714; Wilson, Gary/0000-0003-0025-3641; Acton, Gary/0000-0002-3285-4022; Ohneiser, Christian/0000-0002-2781-2522</t>
  </si>
  <si>
    <t>Antarctica New Zealand; Raytheon Polar Services; U.S. National Science Foundation (NSF); NZ Foundation for Research (FRST); Italian Antarctic Research Program (PNRA); German Research Foundation (DFG); Alfred Wegener Institute for Polar and Marine Research (AWI); Fundacao de Amparo a Pesquisa do Estado de Sao Paulo (FAPESP) [2011/22018-3]; Coordenacao de Aperfeicoamento de Pessoal de Nivel Superior (CAPES); Fundacao de Amparo a Pesquisa do Estado de Sao Paulo (FAPESP) [11/22018-3] Funding Source: FAPESP</t>
  </si>
  <si>
    <t>Antarctica New Zealand; Raytheon Polar Services; U.S. National Science Foundation (NSF)(National Science Foundation (NSF)); NZ Foundation for Research (FRST); Italian Antarctic Research Program (PNRA); German Research Foundation (DFG)(German Research Foundation (DFG)); Alfred Wegener Institute for Polar and Marine Research (AWI); Fundacao de Amparo a Pesquisa do Estado de Sao Paulo (FAPESP)(Fundacao de Amparo a Pesquisa do Estado de Sao Paulo (FAPESP)); Coordenacao de Aperfeicoamento de Pessoal de Nivel Superior (CAPES)(Coordenacao de Aperfeicoamento de Pessoal de Nivel Superior (CAPES)); Fundacao de Amparo a Pesquisa do Estado de Sao Paulo (FAPESP)(Fundacao de Amparo a Pesquisa do Estado de Sao Paulo (FAPESP))</t>
  </si>
  <si>
    <t>The ANDRILL program is a multinational partnership between Germany, Italy, New Zealand, and the United States. We thank the SMS drillers who recovered the AND-2A core; Robin Frisch-Gleason, Graziano Scotto di Clemente, and Bob Williams who assisted with sample collection; and the SMS curatorial staff for administering the many sample requests and professional core handling. The drilling system was developed by Alex Pyne at Victoria University of Wellington and Webster Drilling and Exploration Ltd in collaboration with Antarctica New Zealand, which is the project operator. Antarctica New Zealand supported the drilling team at Scott Base, and Raytheon Polar Services supported the scientists at McMurdo Station and the Crary Science and Engineering Center. The ANDRILL Science Management Office at the University of NebraskaLincoln provided scientific support, and scientific studies were jointly funded by the U.S. National Science Foundation (NSF), NZ Foundation for Research (FRST), the Italian Antarctic Research Program (PNRA), the German Research Foundation (DFG), and the Alfred Wegener Institute for Polar and Marine Research (AWI). L. J. is supported by Fundacao de Amparo a Pesquisa do Estado de Sao Paulo (FAPESP) project 2011/22018-3 and Coordenacao de Aperfeicoamento de Pessoal de Nivel Superior (CAPES) project Ciencias do Mar II. The data are openly available in PANGAEA at https://doi.pangaea.de/10.1594/PANGAEA.743224 (core description), https://doi.org/10.1594/PANGAEA.743270 (whole core images), and https://doi.pangaea.de/10.1594/PANGAEA.897964 (magnetic properties). Additional data that support the findings of this study are available from the authors upon request.</t>
  </si>
  <si>
    <t>2169-9313</t>
  </si>
  <si>
    <t>2169-9356</t>
  </si>
  <si>
    <t>J GEOPHYS RES-SOL EA</t>
  </si>
  <si>
    <t>J. Geophys. Res.-Solid Earth</t>
  </si>
  <si>
    <t>10.1029/2018JB016865</t>
  </si>
  <si>
    <t>HT9WG</t>
  </si>
  <si>
    <t>WOS:000464922800005</t>
  </si>
  <si>
    <t>Vokhmyanin, MV; Stepanov, NA; Sergeev, VA</t>
  </si>
  <si>
    <t>Vokhmyanin, M. V.; Stepanov, N. A.; Sergeev, V. A.</t>
  </si>
  <si>
    <t>On the Evaluation of Data Quality in the OMNI Interplanetary Magnetic Field Database</t>
  </si>
  <si>
    <t>SPACE WEATHER-THE INTERNATIONAL JOURNAL OF RESEARCH AND APPLICATIONS</t>
  </si>
  <si>
    <t>interplanetary magnetic field; PC index; OMNI database; cross-correlation analysis; data validation</t>
  </si>
  <si>
    <t>POLAR-CAP; WIND; MAGNETOSPHERE; PROPAGATION; PLASMA</t>
  </si>
  <si>
    <t>The OMNI database is formed by propagating the solar wind measured at around Lagrange point L1, whose result may differ from the actual solar wind in the vicinity of the bow shock nose. To test the quality of the OMNI database, we cross-correlate the 2-hr intervals of 1-min interplanetary magnetic field (IMF) data provided mostly by ACE and WIND spacecraft with Geotail measurements in front of the bow shock (10,409 cases in 1997-2016). We used two metrics: Pearson correlation coefficient (CC) and prediction efficiency (PE). Confirming previous studies, we found that the prediction quality of actual IMF degrades continuously with increasing distance of OMNI spacecraft from the Sun-Earth line, with the amounts of poor and good predictions become nearly equal for R-YZ &gt;= 65 R-E (they constitute similar to 12% of the entire database). In roughly 20% of the analyzed data, low CC and PE values were the consequence of low IMF variability (a low signal-to-noise ratio). The remaining data set includes 42% of very good data (CC &gt;= 0.8), 33% of relatively good data (0.5 &lt;= CC &lt; 0.8 and PE &gt;= 0), 10% of data having correct variability but wrong absolute values (0.5 &lt;= CC &lt; 0.8 and PE &lt; 0), and 15% of poor data (CC &lt; 0.5). We also discovered that the OMNI data are generally of a good quality when the PC index of geomagnetic activity correlates well with the solar wind-magnetosphere coupling factor suggested by Kan and Lee (1979, https://doi.org/10.1029/GL006i007p00577).</t>
  </si>
  <si>
    <t>[Vokhmyanin, M. V.; Stepanov, N. A.; Sergeev, V. A.] St Petersburg State Univ, Inst &amp; Dept Phys, St Petersburg, Russia; [Stepanov, N. A.] Arctic &amp; Antarctic Res Inst, St Petersburg, Russia</t>
  </si>
  <si>
    <t>Saint Petersburg State University; Arctic &amp; Antarctic Research Institute</t>
  </si>
  <si>
    <t>Vokhmyanin, MV (corresponding author), St Petersburg State Univ, Inst &amp; Dept Phys, St Petersburg, Russia.</t>
  </si>
  <si>
    <t>m.vokhmyanin@spbu.ru</t>
  </si>
  <si>
    <t>Vokhmyanin, Mikhail/CAG-3723-2022; Vokhmyanin, Mikhail Vladimirovich/H-7303-2013; Никита, Степанов/AAB-8570-2022; Sergeev, Victor A/H-1173-2013</t>
  </si>
  <si>
    <t>Vokhmyanin, Mikhail/0000-0002-4017-6233; Vokhmyanin, Mikhail Vladimirovich/0000-0002-4017-6233; Никита, Степанов/0000-0003-0014-5886; Sergeev, Victor A/0000-0002-4569-9631</t>
  </si>
  <si>
    <t>Russian Science Foundation [14-05-00072]; Russian Science Foundation [17-17-00005] Funding Source: Russian Science Foundation</t>
  </si>
  <si>
    <t>This work was supported by the Russian Science Foundation Grant 14-05-00072. The PC index data are available at the Polar Cap Magnetic Index website (https://pcindex.org/).The OMNI data are available at the SPDF-OMNIWeb Service-Nasa website (https://omniweb.gsfc.nasa.gov/).We thank O. Troshichev for useful discussions.</t>
  </si>
  <si>
    <t>1542-7390</t>
  </si>
  <si>
    <t>SPACE WEATHER</t>
  </si>
  <si>
    <t>Space Weather</t>
  </si>
  <si>
    <t>10.1029/2018SW002113</t>
  </si>
  <si>
    <t>Astronomy &amp; Astrophysics; Geochemistry &amp; Geophysics; Meteorology &amp; Atmospheric Sciences</t>
  </si>
  <si>
    <t>HT6ET</t>
  </si>
  <si>
    <t>WOS:000464657700007</t>
  </si>
  <si>
    <t>Ma, RF; Sépulcre, S; Licari, L; Bassinot, F; Liu, ZF; Tisnérat-Laborde, N; Kallel, N; Yu, ZJ; Colin, C</t>
  </si>
  <si>
    <t>Ma, Ruifang; Sepulcre, Sophie; Licari, Laetitia; Bassinot, Franck; Liu, Zhifei; Tisnerat-Laborde, Nadine; Kallel, Nejib; Yu, Zhaojie; Colin, Christophe</t>
  </si>
  <si>
    <t>Changes in Intermediate Circulation in the Bay of Bengal Since the Last Glacial Maximum as Inferred From Benthic Foraminifera Assemblages and Geochemical Proxies</t>
  </si>
  <si>
    <t>Bay of Bengal; intermediate water masses; glacial Holocene; benthic foraminiferal assemblages; carbon and oxygen stable isotopes; B-P C-14 age</t>
  </si>
  <si>
    <t>MERIDIONAL OVERTURNING CIRCULATION; NORTHEAST INDIAN-OCEAN; DEEP-WATER; ATMOSPHERIC CO2; SOUTHERN-OCEAN; ISOTOPE COMPOSITION; ATLANTIC CLIMATE; OXYGEN ISOTOPES; ORGANIC-CARBON; SEA</t>
  </si>
  <si>
    <t>Benthic foraminiferal assemblages and geochemical tracers (delta O-18, delta C-13 and C-14) have been analyzed on benthic and planktonic foraminifera from core MD77-176, located in the northern Bay of Bengal, in order to reconstruct the evolution of intermediate circulation in the northern Indian Ocean since the last glaciation. Results indicate that during the Last Glacial Maximum (LGM), Southern Sourced Water masses were dominant at the core site. A high relative abundance of intermediate and deep infaunal species during the LGM reflects low oxygen concentration and/or mesotropic to eutrophic deep water conditions, associated with depleted benthic delta C-13 values. During the Holocene, benthic foraminiferal assemblages indicate an oligotropic to mesotrophic environment with well-ventilated bottom water conditions compared with LGM. Higher values for benthic foraminifera delta C-13 and B-P C-14 age offsets suggest an increased contribution of North Atlantic Deep Water to the northern Bay of Bengal during the Late Holocene compared to the LGM. Millennial-scale events punctuated the last deglaciation, with a shift in the delta C-13 and the epsilon(Nd) values coincident with low B-P C-14 age offsets, providing strong evidence for an increased contribution of Antarctic Intermediate Water at the studied site. This was associated with enhanced upwelling in the Southern Ocean, reflecting a strong sea-atmospheric CO2 exchange through Southern Ocean ventilation during the last deglaciation.</t>
  </si>
  <si>
    <t>[Ma, Ruifang; Sepulcre, Sophie; Colin, Christophe] Univ Paris Saclay, Univ Paris Sud, CNRS, GEOPS, Orsay, France; [Licari, Laetitia] Aix Marseille Univ, Europole Arbois, CEREGE, BP80, Aix En Provence, France; [Bassinot, Franck; Tisnerat-Laborde, Nadine] CNRS, CEA, UVSQ, LSCE,IPSL,UMR 8212, Gif Sur Yvette, France; [Liu, Zhifei] Tongji Univ, State Key Lab Marine Geol, Shanghai, Peoples R China; [Kallel, Nejib] Univ Sfax, Fac Sci Sfax, Lab Georessources Mat Environnem &amp; Changements Gl, LR13ES23, Sfax, Tunisia; [Yu, Zhaojie] Chinese Acad Sci, Inst Oceanol, Key Lab Marine Geol &amp; Environm, Qingdao, Shandong, Peoples R China</t>
  </si>
  <si>
    <t>Universite Paris Saclay; Universite Paris Cite; Centre National de la Recherche Scientifique (CNRS); Aix-Marseille Universite; Universite Paris Saclay; Universite Paris Cite; CEA; Centre National de la Recherche Scientifique (CNRS); CNRS - National Institute for Earth Sciences &amp; Astronomy (INSU); Tongji University; Universite de Sfax; Faculty of Sciences Sfax; Chinese Academy of Sciences; Institute of Oceanology, CAS</t>
  </si>
  <si>
    <t>Ma, RF (corresponding author), Univ Paris Saclay, Univ Paris Sud, CNRS, GEOPS, Orsay, France.</t>
  </si>
  <si>
    <t>rui-fang.ma@u-psud.fr</t>
  </si>
  <si>
    <t>YU, ZHAOJIE/L-8930-2019</t>
  </si>
  <si>
    <t>Ma, Ruifang/0000-0002-3873-1445; Colin, Christophe/0000-0002-3934-5191; Tisnerat Laborde, Nadine/0000-0002-7697-3605; Yu, Zhaojie/0000-0003-4135-9418</t>
  </si>
  <si>
    <t>National Natural Science Foundation of China [41806060]; China Scholarship Council; INSU-LEFE-IMAGO-CITRON GLACE program</t>
  </si>
  <si>
    <t>National Natural Science Foundation of China(National Natural Science Foundation of China (NSFC)); China Scholarship Council(China Scholarship Council); INSU-LEFE-IMAGO-CITRON GLACE program</t>
  </si>
  <si>
    <t>This work was supported by the National Natural Science Foundation of China (41806060). R. Ma acknowledges the China Scholarship Council for providing funding for her study in France. We thank F. Thil for the 14C measurements taken using the ECHoMICADAS and two anonymous reviewers for useful suggestions and discussions. This work has been supported by grants from the INSU-LEFE-IMAGO-CITRON GLACE program. All data are given in Tables 1-3 and S1 and S2.</t>
  </si>
  <si>
    <t>10.1029/2018GC008179</t>
  </si>
  <si>
    <t>HT6AV</t>
  </si>
  <si>
    <t>WOS:000464647100018</t>
  </si>
  <si>
    <t>Pappa, F; Ebbing, J; Ferraccioli, F</t>
  </si>
  <si>
    <t>Pappa, F.; Ebbing, J.; Ferraccioli, F.</t>
  </si>
  <si>
    <t>Moho Depths of Antarctica: Comparison of Seismic, Gravity, and Isostatic Results</t>
  </si>
  <si>
    <t>Antarctica; Moho; gravity; inversion; lithosphere</t>
  </si>
  <si>
    <t>WILKES SUBGLACIAL BASIN; UPPER-MANTLE STRUCTURE; TRANSANTARCTIC MOUNTAINS; EAST ANTARCTICA; RAYLEIGH-WAVE; BENEATH; CRUSTAL; MARGIN; AUSTRALIA; EVOLUTION</t>
  </si>
  <si>
    <t>The lithospheric structure of Antarctica is still underexplored. Moho depth estimate studies are in disagreement by more than 10km in several regions, including, for example, the hinterland of the Transantarctic Mountains. Taking account the sparseness of seismological stations and the nonuniqueness of potential field methods, inversions of Moho depth are performed here based on satellite gravity data in combination with currently available seismically constrained Moho depth estimates. Our results confirm that a lower density contrast at the Moho is present under East Antarctica than beneath West Antarctica. A comparison between the Moho depth derived from our inversion and an Airy-isostatic Moho model also reveals a spatially variable buoyancy contribution from the lithospheric mantle beneath contrasting sectors of East Antarctica. Finally, to test the plausibility of different Moho depths scenarios for the Transantarctic Mountains-Wilkes Subglacial Basin system, we present 2-D lithospheric models along the Trans-Antarctic Mountain Seismic Experiment/Gamburtsev Mountain Seismic experiment seismic profile. Our models show that if a moderately depleted lithospheric mantle of inferred Proterozoic age underlies the region, then a shallower Moho is more likely beneath the Wilkes Subglacial Basin. If however, refertilization processes occurred in the upper mantle, for example, in response to Ross-age subduction, then a deeper Moho scenario is preferred. We conclude that 3-D lithospheric modeling, coupled with the availability of new seismic information in the hinterland of the Transantarctic Mountains, is required to help resolve this controversy, thereby also reducing the ambiguities in geothermal heat flux estimation beneath this key part of the East Antarctic Ice Sheet. Plain Language Summary Antarctica is a vast and remote continent that is mostly buried beneath the largest ice sheets left on Earth. Consequently, its deep structure is still poorly known, despite its importance as the cradle on which the overlying ice sheets flow. By studying anomalies in the gravitational field of the Earth as measured by satellites and using independent constraints derived by measuring seismic wave travel times from distant earthquakes, we investigate the variations in the depth of the boundary between Earth's crust and mantle (known as the Moho) beneath Antarctica. Our models confirm that the older cratonic regions of East Antarctica have generally deeper Moho compared to the younger geological provinces of West Antarctica. They also highlight that large regions of East Antarctica may exhibit contrasting mantle characteristics, and this lends further weight to recent geological and geophysical studies, indicating that East Antarctica is composed of different Precambrian provinces. In our study we re-evaluated in particular two Moho depth scenarios derived from previous seismic studies for the hinterland of the Transantarctic Mountains, where the enigmatic Wilkes Subglacial Basin lies. We show that if an old Precambrian mantle is assumed, then a thin crust scenario beneath the basin is more likely, but if the mantle has been in part modified by more recent (ca. 500Ma old) subduction, then a thicker crust scenario would become more viable. Overall, our study calls for combining gravity, seismological, and petrological modeling for enhanced Antarctic lithosphere and isostatic studies.</t>
  </si>
  <si>
    <t>[Pappa, F.; Ebbing, J.] Univ Kiel, Dept Geosci, Kiel, Germany; [Ferraccioli, F.] British Antarctic Survey, Cambridge, England</t>
  </si>
  <si>
    <t>University of Kiel; UK Research &amp; Innovation (UKRI); Natural Environment Research Council (NERC); NERC British Antarctic Survey</t>
  </si>
  <si>
    <t>Pappa, F (corresponding author), Univ Kiel, Dept Geosci, Kiel, Germany.</t>
  </si>
  <si>
    <t>folker.pappa@ifg.uni-kiel.de</t>
  </si>
  <si>
    <t>Ebbing, Joerg/B-8796-2013</t>
  </si>
  <si>
    <t>Ebbing, Joerg/0000-0001-7492-5338; Ferraccioli, Fausto/0000-0002-9347-4736</t>
  </si>
  <si>
    <t>European Space Agency ESA; ESA; Geology and Geophysics Team of the British Antarctic Survey; NERC [bas0100029] Funding Source: UKRI</t>
  </si>
  <si>
    <t>European Space Agency ESA(European Space Agency); ESA(European Space Agency); Geology and Geophysics Team of the British Antarctic Survey; NERC(UK Research &amp; Innovation (UKRI)Natural Environment Research Council (NERC))</t>
  </si>
  <si>
    <t>This study was carried out in the course of the project GOCE+ Antarctica, funded by the European Space Agency ESA as a Support to Science Element. Fausto Ferraccioli acknowledges support from ESA and the Geology and Geophysics Team of the British Antarctic Survey. All grid files and maps were created using Generic Mapping Tools (GMT) version 5 (Wessel et al., 2013). The data and modeling software used are listed in the references.</t>
  </si>
  <si>
    <t>10.1029/2018GC008111</t>
  </si>
  <si>
    <t>WOS:000464647100020</t>
  </si>
  <si>
    <t>Greenop, R; Sosdian, SM; Henehan, MJ; Wilson, PA; Lear, CH; Foster, GL</t>
  </si>
  <si>
    <t>Greenop, Rosanna; Sosdian, Sindia M.; Henehan, Michael J.; Wilson, Paul A.; Lear, Caroline H.; Foster, Gavin L.</t>
  </si>
  <si>
    <t>Orbital Forcing Ice Volume, and CO2 Across the Oligocene -Miocene Transition</t>
  </si>
  <si>
    <t>CARBON-DIOXIDE CONCENTRATIONS; BORON ISOTOPIC COMPOSITION; PLANKTONIC-FORAMINIFERA; CALCITE COMPENSATION; CENOZOIC HISTORY; TIME-SERIES; CLIMATE; SHEET; PH; EVOLUTION</t>
  </si>
  <si>
    <t>Paleoclimate records suggest that a rapid major transient Antarctic glaciation occurred across the Oligocene-Miocene transition (OMT; ca. 23 Ma; similar to 50-m sea level equivalent in 200-300 kyr). Orbital forcing has long been cited as an important factor determining the timing of the OMT glacial event. A similar orbital configuration occurred 1.2 Myr prior to the OMT, however, and was not associated with a major climate event, suggesting that additional mechanisms play an important role in ice sheet growth and decay. To improve our understanding of the OMT, we present a boron isotope-based CO2 record between 22 and 24 Ma. This new record shows that delta B-11/CO2 was comparatively stable in the million years prior to the OMT glaciation and decreased by 0.7%o (equivalent to a CO2 increase of similar to 65 ppm) over similar to 300 kyr during the subsequent deglaciation. More data are needed, but we propose that the OMT glaciation was triggered by the same forces that initiated sustained Antarctic glaciation at the Eocene-Oligocene transition: long-term decline in CO2 to a critical threshold and a superimposed orbital configuration favorable to glaciation (an eccentricity minimum and low-amplitude obliquity change). When comparing the reconstructed CO2 increase with estimates of delta O-18(sw) during the deglaciation phase of the OMT, we find that the sensitivity of the cryosphere to CO2 forcing is consistent with recent ice sheet modeling studies that incorporate retreat into subglacial basins via ice cliff collapse with modest CO2 increase, with clear implications for future sea level rise.</t>
  </si>
  <si>
    <t>[Greenop, Rosanna; Wilson, Paul A.; Foster, Gavin L.] Univ Southampton, Natl Oceanog Ctr Southampton, Sch Ocean &amp; Earth Sci, Southampton, Hants, England; [Greenop, Rosanna] Univ St Andrews, Sch Earth &amp; Environm Sci, St Andrews, Fife, Scotland; [Sosdian, Sindia M.; Lear, Caroline H.] Cardiff Univ, Sch Earth &amp; Ocean Sci, Cardiff, S Glam, Wales; [Henehan, Michael J.] GFZ German Res Ctr Geosci, Potsdam, Germany</t>
  </si>
  <si>
    <t>NERC National Oceanography Centre; University of Southampton; University of St Andrews; Cardiff University; Helmholtz Association; Helmholtz-Center Potsdam GFZ German Research Center for Geosciences</t>
  </si>
  <si>
    <t>Greenop, R (corresponding author), Univ Southampton, Natl Oceanog Ctr Southampton, Sch Ocean &amp; Earth Sci, Southampton, Hants, England.;Greenop, R (corresponding author), Univ St Andrews, Sch Earth &amp; Environm Sci, St Andrews, Fife, Scotland.</t>
  </si>
  <si>
    <t>rg200@st-andrews.ac.uk</t>
  </si>
  <si>
    <t>Lear, Caroline H/D-2582-2009; Foster, Gavin/CAF-4654-2022; Foster, Gavin/W-5968-2019; Henehan, Michael James/AAY-8536-2020</t>
  </si>
  <si>
    <t>Foster, Gavin/0000-0003-3688-9668; Henehan, Michael James/0000-0003-4706-1233; Wilson, Paul/0000-0001-6425-8906; Lear, Caroline/0000-0002-7533-4430; sosdian, sindia/0000-0002-4599-5529</t>
  </si>
  <si>
    <t>U.S. National Science Foundation; Natural Environment Research Council (NERC) [NE/I006176/1, NE/I006427/1, NE/K014137/1]; Royal Society Wolfson Award; NERC studentship; Welsh Government; Higher Education Funding Council for Wales through the Ser Cymru National Research Network for Low Carbon, Energy and Environment; NERC [NE/I006176/1, NE/K014137/1, NE/I006427/1] Funding Source: UKRI; Natural Environment Research Council [NE/K014137/1] Funding Source: researchfish</t>
  </si>
  <si>
    <t>U.S. National Science Foundation(National Science Foundation (NSF)); Natural Environment Research Council (NERC)(UK Research &amp; Innovation (UKRI)Natural Environment Research Council (NERC)); Royal Society Wolfson Award(Royal Society); NERC studentship(UK Research &amp; Innovation (UKRI)Natural Environment Research Council (NERC)); Welsh Government; Higher Education Funding Council for Wales through the Ser Cymru National Research Network for Low Carbon, Energy and Environment; NERC(UK Research &amp; Innovation (UKRI)Natural Environment Research Council (NERC)); Natural Environment Research Council(UK Research &amp; Innovation (UKRI)Natural Environment Research Council (NERC))</t>
  </si>
  <si>
    <t>This work used samples provided by (I) ODP, which is sponsored by the U.S. National Science Foundation and participating countries under the management of Joint Oceanographic Institutions, Inc. We thank Walter Hale and Alex Wuelbers of the Bremen Core Repository for their kind assistance. The work was supported by Natural Environment Research Council (NERC) grants NE/I006176/1 (Gavin L. Foster and Caroline H. Lear), NE/I006427/1 (Caroline H. Lear), and NE/K014137/1 (Paul A. Wilson), a Royal Society Wolfson Award (Paul A. Wilson), a NERC studentship (Rosanna Greenop), and financial support from the Welsh Government and Higher Education Funding Council for Wales through the Ser Cymru National Research Network for Low Carbon, Energy and Environment (Sindia Sosdian). Diederik Liebrand and Richard Smith are thanked for helpful comments and discussion. Matthew Cooper, J. Andy Milton, and the B-team are acknowledged for their assistance in the laboratory. All data are available as supporting information to this paper.</t>
  </si>
  <si>
    <t>10.1029/2018PA003420</t>
  </si>
  <si>
    <t>HT6DX</t>
  </si>
  <si>
    <t>Green Published, Green Accepted</t>
  </si>
  <si>
    <t>WOS:000464655500003</t>
  </si>
  <si>
    <t>Collins, JA; Lamy, F; Kaiser, J; Ruggieri, N; Henkel, S; De Pol-Holz, R; Garreaud, R; Arz, HW</t>
  </si>
  <si>
    <t>Collins, James A.; Lamy, Frank; Kaiser, Jerome; Ruggieri, Nicoletta; Henkel, Susann; De Pol-Holz, Ricardo; Garreaud, Rene; Arz, Helge W.</t>
  </si>
  <si>
    <t>Centennial-Scale SE Pacific Sea Surface Temperature Variability Over the 2,300 Years</t>
  </si>
  <si>
    <t>MERIDIONAL OVERTURNING CIRCULATION; EL-NINO/SOUTHERN-OSCILLATION; HOLOCENE CLIMATE EVOLUTION; TROPICAL PACIFIC; SOUTHERN-OSCILLATION; WEST ANTARCTICA; HIGH-LATITUDE; ANNULAR MODE; ICE; RECORD</t>
  </si>
  <si>
    <t>Detailed temperature reconstructions over the past 2,000 years are important for contextualizing modern climate change. The midlatitude SE Pacific is a key region in this regard in terms of understanding the climatic linkages between the tropics and southern high latitudes. Multicentennial timescale temperature variability remains, however, poorly understood, due to a lack of long, high-temporal-resolution temperature records from this region and from the southern high latitudes in general. We present a unique alkenone sea surface temperature (SST) record from 44 degrees S on the southern Chilean margin in the SE Pacific spanning the last 2,300 years at decadal resolution. The record displays relatively large changes including a cooling transition from 14 to 12.5 degrees C between 1,100 and 600 cal yr BP, in line with other Chile margin SST records and coeval with Antarctic cooling. This cooling is attributable to reduced Southern Ocean deep convection, driven by a late Holocene sea-ice increase in the Weddell Sea associated with increased El-Nino Southern Oscillation variability. Superimposed on the late Holocene cooling, we observe multicentennial timescale SST variability, including relatively cool SSTs (12.5 degrees C) from 950 to 500 cal yr BP, corresponding to the Medieval Climate Anomaly, and warmer SSTs (13 degrees C) from 500 to 200 cal yr BP, corresponding to the Little Ice Age. These oscillations may reflect either multicentennial internal variability of the Southern Ocean deep convection and/or multicentennial variability in the phasing of El-Nino Southern Oscillation and Southern Annular Mode events.</t>
  </si>
  <si>
    <t>[Collins, James A.; Lamy, Frank; Ruggieri, Nicoletta] Alfred Wegener Inst Helmholtz Ctr Polar &amp; Marine, Alten Hafen 21, Bremerhaven, Germany; [Kaiser, Jerome; Arz, Helge W.] IOW Inst Baltic Sea Res, Warnemunde, Germany; [Henkel, Susann] Alfred Wegener Inst Helmholtz Ctr Polar &amp; Marine, Handelshafen 12, Bremerhaven, Germany; [De Pol-Holz, Ricardo] Univ Magallanes, GAIA Antart, Punta Arenas, Chile; [De Pol-Holz, Ricardo; Garreaud, Rene] Univ Chile, CR2, Santiago, Chile; [Garreaud, Rene] Univ Chile, Dept Geophys, Santiago, Chile</t>
  </si>
  <si>
    <t>Helmholtz Association; Alfred Wegener Institute, Helmholtz Centre for Polar &amp; Marine Research; Helmholtz Association; Alfred Wegener Institute, Helmholtz Centre for Polar &amp; Marine Research; Universidad de Magallanes; Universidad de Chile; Universidad de Chile</t>
  </si>
  <si>
    <t>Collins, JA (corresponding author), Alfred Wegener Inst Helmholtz Ctr Polar &amp; Marine, Alten Hafen 21, Bremerhaven, Germany.</t>
  </si>
  <si>
    <t>jcollins@gfz-potsdam.de</t>
  </si>
  <si>
    <t>Garreaud, Rene/JFS-4440-2023; Henkel, Susann/AAR-3270-2021; Garreaud, Rene/I-6298-2016; Henkel, Susann/S-4924-2016; Arz, Helge W/A-6659-2013; De Pol-Holz, Ricardo/E-3740-2013</t>
  </si>
  <si>
    <t>Garreaud, Rene/0000-0002-7875-2443; Henkel, Susann/0000-0001-7490-0237; Arz, Helge Wolfgang/0000-0002-1997-1718; De Pol-Holz, Ricardo/0000-0002-3281-8232</t>
  </si>
  <si>
    <t>Helmholtz Postdoc Programme [PD-001]; Alfred Wegener Institute, Bremerhaven; CONICYT FONDAP [15110009]; FONDECYT [1140536, ICM-NC120066]</t>
  </si>
  <si>
    <t>Helmholtz Postdoc Programme; Alfred Wegener Institute, Bremerhaven; CONICYT FONDAP(Comision Nacional de Investigacion Cientifica y Tecnologica (CONICYT)CONICYT FONDAP); FONDECYT(Comision Nacional de Investigacion Cientifica y Tecnologica (CONICYT)CONICYT FONDECYT)</t>
  </si>
  <si>
    <t>J.A.C. was funded by the Helmholtz Postdoc Programme (PD-001) and the Alfred Wegener Institute, Bremerhaven. R.D.P.-H. and R.G. were funded by CONICYT FONDAP 15110009. R.D.P.-H. also acknowledges FONDECYT 1140536 and ICM-NC120066. We would like to thank Walter Luttmer, Nilay Sasa, Nicole Syring, Ingrid Stimac, Kirsten Fahl, and Stefan Mulitza for their assistance and expertise. The data are available on the PANGAEA database (https://doi.pangaea.de/10.1594/PANGAEA.893143).</t>
  </si>
  <si>
    <t>10.1029/2018PA003465</t>
  </si>
  <si>
    <t>WOS:000464655500005</t>
  </si>
  <si>
    <t>Wang, Y; Das, O; Xu, XM; Liu, J; Jahan, S; Means, GH; Donoghue, J; Jiang, SJ</t>
  </si>
  <si>
    <t>Wang, Yang; Das, Oindrila; Xu, Xiaomei; Liu, Jin; Jahan, Shakura; Means, Guy H.; Donoghue, Joseph; Jiang, Shijun</t>
  </si>
  <si>
    <t>Implications of radiocarbon ages of organic and inorganic carbon in coastal lakes in Florida for establishing a reliable chronology for sediment-based paleoclimate reconstruction</t>
  </si>
  <si>
    <t>QUATERNARY RESEARCH</t>
  </si>
  <si>
    <t>Radiocarbon deficiency; Reservoir effect; Coastal lake sediment cores; Paleotempestology; Paleoclimate; Radiocarbon dating</t>
  </si>
  <si>
    <t>INTENSE-HURRICANE ACTIVITY; MARINE SAMPLES; GEOCHEMICAL PROXIES; EL-NINO; HOLOCENE; RECORD; CALIBRATION; HISTORY; GULF; EVOLUTION</t>
  </si>
  <si>
    <t>Coastal lake sediments are valuable paleoclimate archives provided that they can be accurately dated. Here, we report radiocarbon ages of bulk sediment organic matter (OM), plants, shells, particulate OM, and dissolved OM from coastal lakes in Florida. Bulk sediment OM yielded ages that are consistently older than contemporaneous plants and shells, indicating significant radiocarbon deficiencies in sedimentary OM in these lakes. The data show that the OM radiocarbon deficiency varies over time and with location, making it impossible to determine a proper correction factor for radiocarbon ages of bulk sediments from these lakes. As a result, we consider ages obtained from bulk sediment OM from these lakes unreliable. The age reversals in bulk sediment OM observed in the sediment cores are likely caused by rapid increases in erosion and sedimentation resulting from large storm events. The data also show that sedimentation rate can vary considerably within a given lake, implying that an age-depth model established for one core cannot be directly applied to other cores despite their close proximity. Analyses of shells from one of the lakes suggest that fresh/brackish-water shells may serve as a good substrate for radiocarbon dating owing to a small reservoir effect on inorganic carbon.</t>
  </si>
  <si>
    <t>[Wang, Yang; Das, Oindrila; Liu, Jin; Jahan, Shakura] Florida State Univ, Dept Earth Ocean &amp; Atmospher Sci, Tallahassee, FL 32306 USA; [Wang, Yang; Das, Oindrila; Liu, Jin; Jahan, Shakura] Natl High Magnet Field Lab, Tallahassee, FL 32310 USA; [Wang, Yang; Jiang, Shijun] Jinan Univ, Inst Groundwater &amp; Earth Sci, Guangzhou 510632, Guangdong, Peoples R China; [Das, Oindrila] Univ Alabama, Dept Geosci, Tuscaloosa, AL 35487 USA; [Xu, Xiaomei] Univ Calif Irvine, Keck Carbon Cycle AMS Facil, Irvine, CA 92697 USA; [Liu, Jin] Chinese Acad Geol Sci, Inst Geol, Beijing 100037, Peoples R China; [Means, Guy H.] Florida Geol Survey, Florida Dept Environm Protect, Tallahassee, FL 32303 USA; [Donoghue, Joseph] Univ Cent Florida, Dept Phys, Planetary Sci, Orlando, FL 32816 USA</t>
  </si>
  <si>
    <t>State University System of Florida; Florida State University; State University System of Florida; Florida State University; Jinan University; University of Alabama System; University of Alabama Tuscaloosa; University of California System; University of California Irvine; China Geological Survey; Institute of Geology, Chinese Academy of Geological Sciences; Chinese Academy of Geological Sciences; State University System of Florida; University of Central Florida</t>
  </si>
  <si>
    <t>Wang, Y (corresponding author), Florida State Univ, Dept Earth Ocean &amp; Atmospher Sci, Tallahassee, FL 32306 USA.;Wang, Y (corresponding author), Natl High Magnet Field Lab, Tallahassee, FL 32306 USA.</t>
  </si>
  <si>
    <t>ywang@magnet.fsu.edu</t>
  </si>
  <si>
    <t>jiang, shijun/J-2443-2014</t>
  </si>
  <si>
    <t>jiang, shijun/0000-0001-6259-7912</t>
  </si>
  <si>
    <t>U.S. National Science Foundation [EAR1566134, EAR1566180]; National Science Foundation [DMR-1644779]; state of Florida</t>
  </si>
  <si>
    <t>U.S. National Science Foundation(National Science Foundation (NSF)); National Science Foundation(National Science Foundation (NSF)); state of Florida</t>
  </si>
  <si>
    <t>This study was supported by grants from the U.S. National Science Foundation (EAR1566134, EAR1566180). Some of the radiocarbon analyses were carried out at the National Ocean Sciences Accelerator Mass Spectrometry facility, Woods Hole, Massachusetts. Fieldwork was carried out with the cooperation of the Florida Geological Survey and the Florida Park Service. We thank two anonymous reviewers and associate editor Dr. Pigati for helpful comments on an earlier version of this paper. We are grateful to Steve Petrushak at the Antarctic Marine Geology Research Facility at Florida State University for assistance with obtaining core imagery and X-radiography; to undergraduate student Emily Benayoun for assistance in fieldwork and lab work; to Rupsa Roy for assistance in lab work; and to Dan Phelps of the Florida Geological Survey, Chris Horkman and Patrick Hartsford at the Grayton Beach State Park, Bill Wilkinson at Bald Point State Park, Mike Legare of the Merritt Island National Wildlife Refuge, and Larry Woodward of the Cedar Key National Wildlife Refuge for their invaluable assistance with the fieldwork. Sample preparation was performed at the National High Magnetic Field Laboratory, which is supported by National Science Foundation Cooperative Agreement No. DMR-1644779 and the state of Florida.</t>
  </si>
  <si>
    <t>0033-5894</t>
  </si>
  <si>
    <t>1096-0287</t>
  </si>
  <si>
    <t>QUATERNARY RES</t>
  </si>
  <si>
    <t>Quat. Res.</t>
  </si>
  <si>
    <t>10.1017/qua.2018.96</t>
  </si>
  <si>
    <t>HT5DY</t>
  </si>
  <si>
    <t>WOS:000464585000012</t>
  </si>
  <si>
    <t>Pitulko, VV; Pavlova, EY; Basilyan, AE; Nikolskiy, PA</t>
  </si>
  <si>
    <t>Pitulko, Vladimir V.; Pavlova, Elena Y.; Basilyan, Aleksandr E.; Nikolskiy, Pavel A.</t>
  </si>
  <si>
    <t>Another perspective on the age and origin of the Berelyokh mammoth site-Comment to the paper published by Lozhkin and Anderson, Quaternary Research 89 (2018), 459-477</t>
  </si>
  <si>
    <t>Letter</t>
  </si>
  <si>
    <t>Berelekh; Mammoth accumulation; Chronometry; Beringia; Pleistocene environment; Stone Age archaeology</t>
  </si>
  <si>
    <t>YANA-INDIGHIRKA LOWLAND; GRAVEYARD; RHS</t>
  </si>
  <si>
    <t>[Pitulko, Vladimir V.] Russian Acad Sci, Inst Hist Mat Culture, St Petersburg, Russia; [Pavlova, Elena Y.] Arctic &amp; Antarctic Res Inst, St Petersburg, Russia; [Basilyan, Aleksandr E.; Nikolskiy, Pavel A.] Russian Acad Sci, Geol Inst, Moscow, Russia</t>
  </si>
  <si>
    <t>Russian Academy of Sciences; Institute for the History of Material Culture, Russian Academy of Sciences; St. Petersburg Scientific Centre of the Russian Academy of Sciences; Arctic &amp; Antarctic Research Institute; Geological Institute, Russian Academy of Sciences; Russian Academy of Sciences</t>
  </si>
  <si>
    <t>Pitulko, VV (corresponding author), Russian Acad Sci, Inst Hist Mat Culture, St Petersburg, Russia.</t>
  </si>
  <si>
    <t>pitulkov@gmail.com</t>
  </si>
  <si>
    <t>Nikolskiy, Pavel/JNT-4697-2023; Pitulko, Vladimir/N-4009-2019; Pavlova, Elena/AAA-3291-2019; Nikolskiy, Pavel A/C-5041-2012; Pitulko, Vladimir/E-2200-2015</t>
  </si>
  <si>
    <t>Pitulko, Vladimir/0000-0001-5672-2756; Pavlova, Elena/0000-0002-3010-6290</t>
  </si>
  <si>
    <t>Russian Science Foundation [16-18-10265- RNF]; Russian Science Foundation [16-18-10265] Funding Source: Russian Science Foundation</t>
  </si>
  <si>
    <t>The authors would like to thank the Editorial Board for the opportunity to present this response. We are also grateful to the Russian Science Foundation (Project No. 16-18-10265- RNF) for supporting our work.</t>
  </si>
  <si>
    <t>10.1017/qua.2018.86</t>
  </si>
  <si>
    <t>WOS:000464585000029</t>
  </si>
  <si>
    <t>Lotz, SI; Clilverd, M</t>
  </si>
  <si>
    <t>Lotz, S. I.; Clilverd, M.</t>
  </si>
  <si>
    <t>Demonstrating the Use of a Class of Min-Max Smoothers for D Region Event Detection in Narrow Band VLF Phase</t>
  </si>
  <si>
    <t>RADIO SCIENCE</t>
  </si>
  <si>
    <t>DISCRETE PULSE TRANSFORM; ELECTRON-PRECIPITATION</t>
  </si>
  <si>
    <t>This paper describes the use of a class of nonlinear smoothers for the identification of interesting phenomena in narrow band very low frequency (VLF) transmission phase caused by perturbation events in the D region of the ionosphere. The LULU smoothers, named for their smoothing of upward (L) and downward (U) peaks in a signal, usually used for image processing tasks, are described, and examples are shown where these operators are used to automatically isolate and identify features in the phase of narrow band transmissions received at high and high-middle latitudes (Antarctica and Marion Island, respectively). Identification of solar flare events, electromagnetic ion cyclotron wave precipitation, and substorm injection events are demonstrated, showing the potential for this technique to be used for space weather monitoring.</t>
  </si>
  <si>
    <t>[Lotz, S. I.] SANSA Space Sci, Hermanus, South Africa; [Clilverd, M.] British Antarctic Survey, Cambridge, England</t>
  </si>
  <si>
    <t>Lotz, SI (corresponding author), SANSA Space Sci, Hermanus, South Africa.</t>
  </si>
  <si>
    <t>slotz@sansa.org.za</t>
  </si>
  <si>
    <t>Lotz, Stefan/0000-0002-1037-348X</t>
  </si>
  <si>
    <t>Newton International Exchanges grant from the Royal Society, United Kingdom [NI150103]; NERC [bas0100031, NE/P01738X/1] Funding Source: UKRI</t>
  </si>
  <si>
    <t>Newton International Exchanges grant from the Royal Society, United Kingdom; NERC(UK Research &amp; Innovation (UKRI)Natural Environment Research Council (NERC))</t>
  </si>
  <si>
    <t>This research was funded in part by a Newton International Exchanges grant (NI150103) from the Royal Society, United Kingdom. The data displayed in Figures 4 -7 may be downloaded from ftp://ftp.spacesci.sansa.org.za/pub/slotz/lotz_clilverd_201808/data/. We are grateful to Mark Engebreston and Mark Lessard for the long-term management of the search coil magnetometer at Halley base in Antarctica.</t>
  </si>
  <si>
    <t>0048-6604</t>
  </si>
  <si>
    <t>1944-799X</t>
  </si>
  <si>
    <t>RADIO SCI</t>
  </si>
  <si>
    <t>Radio Sci.</t>
  </si>
  <si>
    <t>10.1029/2018RS006701</t>
  </si>
  <si>
    <t>Astronomy &amp; Astrophysics; Geochemistry &amp; Geophysics; Meteorology &amp; Atmospheric Sciences; Remote Sensing; Telecommunications</t>
  </si>
  <si>
    <t>HT6EK</t>
  </si>
  <si>
    <t>WOS:000464656800003</t>
  </si>
  <si>
    <t>Zundel, M; Spiegel, C; Mehling, A; Lisker, F; Hillenbrand, CD; Monien, P; Klügel, A</t>
  </si>
  <si>
    <t>Zundel, Maximilian; Spiegel, Cornelia; Mehling, Andre; Lisker, Frank; Hillenbrand, Claus-Dieter; Monien, Patrick; Kluegel, Andreas</t>
  </si>
  <si>
    <t>Thurston Island (West Antarctica) Between Gondwana Subduction and Continental Separation: A Multistage Evolution Revealed by Apatite Thermochronology</t>
  </si>
  <si>
    <t>TECTONICS</t>
  </si>
  <si>
    <t>MARIE-BYRD-LAND; SEISMIC STRATIGRAPHIC RECORD; U-PB GEOCHRONOLOGY; PACIFIC MARGIN; TECTONIC EVOLUTION; TRANSANTARCTIC MOUNTAINS; BELLINGSHAUSEN SEA; STOPPING DISTANCES; GRAVITY-DATA; HISTORY</t>
  </si>
  <si>
    <t>The first low-temperature thermochronological data from Thurston Island, West Antarctica, provide insights into the poorly constrained thermotectonic evolution of the paleo-Pacific margin of Gondwana since the Late Paleozoic. Here we present the first apatite fission track and apatite (U-Th-Sm)/He data from Carboniferous to mid-Cretaceous (meta-) igneous rocks from the Thurston Island area. Thermal history modeling of apatite fission track dates of 145-92 Ma and apatite (U-Th-Sm)/He dates of 112-71 Ma, in combination with kinematic indicators, geological information, and thermobarometrical measurements, indicate a complex thermal history with at least six episodes of cooling and reheating. Thermal history models are interpreted to reflect Late Paleozoic to Early Mesozoic tectonic uplift of pre-Jurassic arc sequences, prior to the formation of an extensional Jurassic-Early Cretaceous back-arc basin up to 4.5 km deep, which was deepened during intrusion and rapid exhumation of rocks of the Late Jurassic granite suite. Overall Early to mid-Cretaceous exhumation and basin inversion coincided with an episode of intensive magmatism and crustal thickening and was followed by exhumation during formation of the Zealandia-West Antarctica rift and continental breakup. Final exhumation since the Oligocene was likely triggered by activity of the West Antarctic rift system and by glacial erosion.</t>
  </si>
  <si>
    <t>[Zundel, Maximilian; Spiegel, Cornelia; Mehling, Andre; Lisker, Frank] Univ Bremen, Dept Geosci Geodynam Polar Reg, Bremen, Germany; [Hillenbrand, Claus-Dieter] British Antarctic Survey, Cambridge, England; [Monien, Patrick; Kluegel, Andreas] Univ Bremen, Dept Geosci, Petrol Ocean Crust, Bremen, Germany</t>
  </si>
  <si>
    <t>University of Bremen; UK Research &amp; Innovation (UKRI); Natural Environment Research Council (NERC); NERC British Antarctic Survey; University of Bremen</t>
  </si>
  <si>
    <t>Zundel, M (corresponding author), Univ Bremen, Dept Geosci Geodynam Polar Reg, Bremen, Germany.</t>
  </si>
  <si>
    <t>zundel@uni-bremen.de</t>
  </si>
  <si>
    <t>; Monien, Patrick/K-8338-2017</t>
  </si>
  <si>
    <t>Spiegel, Cornelia/0000-0002-1432-3447; Monien, Patrick/0000-0002-4000-5362; Lisker, Frank/0000-0002-1615-7315</t>
  </si>
  <si>
    <t>German Science Foundation (DFG) [SP673/15-1, SPP 1158]; NERC [bas0100030] Funding Source: UKRI</t>
  </si>
  <si>
    <t>German Science Foundation (DFG)(German Research Foundation (DFG)); NERC(UK Research &amp; Innovation (UKRI)Natural Environment Research Council (NERC))</t>
  </si>
  <si>
    <t>Constructive reviews of E. Enkelmann and R. Flowers as well as editorial handling of T. Schildgen are gratefully acknowledged. The authors thank A. Toltz (University of Bremen) and her team of student assistants for sample processing, and H. Blagbrough (British Antarctic Survey [BAS]) for help with providing the samples from the BAS rock collection. V. Kolb and C. Schott (both University of Bremen) are acknowledged for He measurements. S. Sopke (University of Bremen) is acknowledged for electron microprobe analysis. The authors are particularly grateful to P. Kamp (University of Waikato) for valuable suggestions and discussions. We thank captain U. Pahl of RV Polarstern and his crew, pilots from Heli International, scientific personnel and K. Gohl (chief scientist) for their support of rock sampling during expedition ANT-XXVI/3, and BAS and U.S. scientists and field personnel for collecting the rock samples stored at BAS. The German Science Foundation (DFG) is acknowledged for providing financial support, grant SP673/15-1, in the framework of the priority program SPP 1158 Antarctic research with comparative investigations in Arctic ice areas.All data used are documented in the listed references, figures, tables, and supporting information.</t>
  </si>
  <si>
    <t>0278-7407</t>
  </si>
  <si>
    <t>1944-9194</t>
  </si>
  <si>
    <t>Tectonics</t>
  </si>
  <si>
    <t>10.1029/2018TC005150</t>
  </si>
  <si>
    <t>HT8QC</t>
  </si>
  <si>
    <t>WOS:000464828700005</t>
  </si>
  <si>
    <t>Jury, MR</t>
  </si>
  <si>
    <t>Jury, Mark R.</t>
  </si>
  <si>
    <t>Meteorological controls on big waves south of Africa</t>
  </si>
  <si>
    <t>REGIONAL STUDIES IN MARINE SCIENCE</t>
  </si>
  <si>
    <t>ATMOSPHERIC BOUNDARY-LAYER; AGULHAS CURRENT; ANTARCTIC OSCILLATION; INDIAN-OCEAN; HEAT FLUXES; MODEL; WIND; NCEP; ENSO; CLIMATOLOGY</t>
  </si>
  <si>
    <t>Meteorological controls on big waves south of Africa in the period 1987-2013 are described. European Community daily climatology since 1987 shows that waves from the SSW off East London at 34S, 27.5E are most frequent in the range 2-4 m and 8-10 s, and pass through a warm pool where heat fluxes amplify air-sea momentum transfer. Time series of 3-hourly Wavewatch v3 swell direction, height and period data at a key point near East London since 1998 provide a basis for analysis, and reveals numerous cases of big SSW wave events during the winter months from May to September. A composite of the six largest cases was made by averaging meteorological fields over a large area south of Africa. The big-wave composite reveals a 975 hPa deep low at 51S, 33E that is slowed by a blocking high in polar latitudes. The highest ranked winter storm case within the time series forms a case study: 24-26 June 2009, and reveals a cold air outbreak producing heat fluxes up to 800 W/m(2) under 20 m/s southerly winds in a massive fetch area 35-60S, 15-30E. Swells of 8 m reached the South African coast, damaging infrastructure there. (C) 2019 Elsevier B.V. All rights reserved.</t>
  </si>
  <si>
    <t>[Jury, Mark R.] Univ Puerto Rico, Phys Dept, Mayaguez, PR 00682 USA; [Jury, Mark R.] Univ Zululand, Kwa Dlangezwa, South Africa</t>
  </si>
  <si>
    <t>University of Puerto Rico; University of Puerto Rico Mayaguez; University of Zululand</t>
  </si>
  <si>
    <t>Jury, MR (corresponding author), Univ Puerto Rico, Phys Dept, Mayaguez, PR 00682 USA.</t>
  </si>
  <si>
    <t>mark.jury@upr.edu</t>
  </si>
  <si>
    <t>South Africa Dept of Education</t>
  </si>
  <si>
    <t>SAPSE support from the South Africa Dept of Education is acknowledged. The IRI Climate Library, KNMI Climate Explorer, Univ Hawaii APDRC, ESRL PSD, IOC-sea level and NASA Giovanni websites enabled data extraction and analysis. CSIR waverider data were supplied by Transnet NPA via SADCO.</t>
  </si>
  <si>
    <t>2352-4855</t>
  </si>
  <si>
    <t>REG STUD MAR SCI</t>
  </si>
  <si>
    <t>Reg. Stud. Mar. Sci.</t>
  </si>
  <si>
    <t>10.1016/j.rsma.2019.100538</t>
  </si>
  <si>
    <t>Ecology; Marine &amp; Freshwater Biology</t>
  </si>
  <si>
    <t>HT6NO</t>
  </si>
  <si>
    <t>WOS:000464681100010</t>
  </si>
  <si>
    <t>Kelly, R; Fleming, A; Pecl, GT; Richter, A; Bonn, A</t>
  </si>
  <si>
    <t>Kelly, Rachel; Fleming, Aysha; Pecl, Gretta T.; Richter, Anett; Bonn, Aletta</t>
  </si>
  <si>
    <t>Social license through citizen science: a tool for marine conservation</t>
  </si>
  <si>
    <t>ECOLOGY AND SOCIETY</t>
  </si>
  <si>
    <t>citizen science; marine conservation; ocean literacy; social license</t>
  </si>
  <si>
    <t>OPERATE; PERCEPTIONS; SCIENTISTS; GOVERNANCE; ACCEPTANCE; LEGITIMACY; MANAGEMENT; MATTER; POLICY; SCALE</t>
  </si>
  <si>
    <t>Active and meaningful public engagement is necessary to foster informed and publicly accepted natural resource management. Citizen science presents an important avenue by which to achieve such engagement. Citizen science is the active involvement of the public in science to address scientific questions, often of common interest or concern, by collecting and analyzing data, and publishing and communicating science via diverse outlets. Here, we explore whether and how citizen science can also play a role in generating social license for marine conservation, using European marine citizen science as a case study. Social license is a concept that reflects community views and expectations on the use and management of natural resources. To date, social license in the marine space has largely focused on public perceptions of industrial and extractive uses of the marine environment, and limited research has explored social license for conservation. We highlight important linkages between social license and citizen science that can work synergistically to support conservation. We use in-depth qualitative interviews and a semiquantitative online survey of marine citizen science coordinators to investigate how citizen science can play a role in enhancing social license and the mechanisms through which it can occur. Our findings indicate that citizen science can enhance social license by improving ocean literacy and marine citizenship. We demonstrate that marine citizen science has considerable potential to generate and develop social license for marine conservation in Europe and elsewhere.</t>
  </si>
  <si>
    <t>[Kelly, Rachel; Richter, Anett; Bonn, Aletta] UFZ Helmholtz Ctr Environm Res, Permoserstr 15, D-04318 Leipzig, Germany; [Kelly, Rachel; Richter, Anett; Bonn, Aletta] German Ctr Integrat Biodivers Res iDiv, Deutsch Pl 5e, D-04103 Halle, Germany; [Kelly, Rachel; Fleming, Aysha; Pecl, Gretta T.] Univ Tasmania, Ctr Marine Socioecol, Hobart, Tas 7001, Australia; [Kelly, Rachel; Pecl, Gretta T.] Inst Marine &amp; Antarctic Studies, Hobart, Tas 7001, Australia; [Fleming, Aysha] CSIRO Land &amp; Water, Hobart, Tas 7004, Australia; [Bonn, Aletta] Friedrich Schiller Univ Jena, Inst Biodivers, Dornburger Str 159, D-07743 Jena, Germany</t>
  </si>
  <si>
    <t>Helmholtz Association; Helmholtz Center for Environmental Research (UFZ); University of Tasmania; University of Tasmania; Commonwealth Scientific &amp; Industrial Research Organisation (CSIRO); Friedrich Schiller University of Jena</t>
  </si>
  <si>
    <t>Kelly, R (corresponding author), UFZ Helmholtz Ctr Environm Res, Permoserstr 15, D-04318 Leipzig, Germany.;Kelly, R (corresponding author), German Ctr Integrat Biodivers Res iDiv, Deutsch Pl 5e, D-04103 Halle, Germany.;Kelly, R (corresponding author), Univ Tasmania, Ctr Marine Socioecol, Hobart, Tas 7001, Australia.;Kelly, R (corresponding author), Inst Marine &amp; Antarctic Studies, Hobart, Tas 7001, Australia.</t>
  </si>
  <si>
    <t>Fleming, Aysha/E-8753-2011; Pecl, Gretta/D-7267-2011; Bonn, Aletta/A-2164-2013</t>
  </si>
  <si>
    <t>Fleming, Aysha/0000-0001-9895-1928; Pecl, Gretta/0000-0003-0192-4339; Bonn, Aletta/0000-0002-8345-4600; Kelly, Rachel/0000-0002-8364-1836</t>
  </si>
  <si>
    <t>Green Talents Awards Programme for High Potentials in Sustainable Development by the German Ministry of Education and Research (BMBF); European Union's Horizon 2020 research and innovation programme (ECOPOTENTIAL) [6417]; Australian Research Council Future Fellowship</t>
  </si>
  <si>
    <t>Green Talents Awards Programme for High Potentials in Sustainable Development by the German Ministry of Education and Research (BMBF)(Federal Ministry of Education &amp; Research (BMBF)); European Union's Horizon 2020 research and innovation programme (ECOPOTENTIAL); Australian Research Council Future Fellowship(Australian Research Council)</t>
  </si>
  <si>
    <t>We are grateful to all citizen science managers who offered their knowledge and expertise for our study. This research was approved by UFZ Datenschutz (Data Protection), Leipzig, Germany (23/06/2017). RK was supported by the Green Talents Awards Programme for High Potentials in Sustainable Development by the German Ministry of Education and Research (BMBF). The study also received funding from the European Union's Horizon 2020 research and innovation programme (grant agreement 6417, ECOPOTENTIAL). GP was supported by an Australian Research Council Future Fellowship. The authors thank the members of the Ecosystem Services research team at UFZ/iDiv for their advice in developing this manuscript. We also thank two anonymous reviewers for their constructive comments for improving this manuscript.</t>
  </si>
  <si>
    <t>Resilience Alliance</t>
  </si>
  <si>
    <t>Dedham</t>
  </si>
  <si>
    <t>231 Bussey St., Beckwith and Brown, Dedham, Massachusetts, UNITED STATES</t>
  </si>
  <si>
    <t>1708-3087</t>
  </si>
  <si>
    <t>ECOL SOC</t>
  </si>
  <si>
    <t>Ecol. Soc.</t>
  </si>
  <si>
    <t>10.5751/ES-10704-240116</t>
  </si>
  <si>
    <t>Ecology; Environmental Studies</t>
  </si>
  <si>
    <t>HS8XU</t>
  </si>
  <si>
    <t>WOS:000464153200022</t>
  </si>
  <si>
    <t>Richert, I; Yager, PL; Dinasquet, J; Logares, R; Riemann, L; Wendeberg, A; Bertilsson, S; Scofield, DG</t>
  </si>
  <si>
    <t>Richert, Inga; Yager, Patricia L.; Dinasquet, Julie; Logares, Ramiro; Riemann, Lasse; Wendeberg, Annelie; Bertilsson, Stefan; Scofield, Douglas G.</t>
  </si>
  <si>
    <t>Summer comes to the Southern Ocean: how phytoplankton shape bacterioplankton communities far into the deep dark sea</t>
  </si>
  <si>
    <t>ECOSPHERE</t>
  </si>
  <si>
    <t>Amundsen Sea Polynya; Antarctica; bacterioplankton diversity; chlorophyll a; Phaeocystis antarctica; phytoplankton bloom; Southern Ocean</t>
  </si>
  <si>
    <t>AMUNDSEN SEA; PLANKTONIC BACTERIA; PARTICLE EXPORT; CARBON FLUX; MARINE; POLYNYA; DIVERSITY; PHOSPHORUS; DYNAMICS; SURFACE</t>
  </si>
  <si>
    <t>During austral spring and summer, the coastal Antarctic experiences a sharp increase in primary production and a steepening of biotic and abiotic gradients that result from increased solar radiation and retreating sea ice. In one of the largest seasonally ice-free regions, the Amundsen Sea Polynya, pelagic samples were collected from 15 sites during a massive Phaeocystis antarctica bloom in 2010/2011. Along with a suite of other biotic and abiotic measurements, bacterioplankton were collected and analyzed for community structure by pyrosequencing of the 16S rRNA gene. The aims were to identify patterns in diversity and composition of heterotrophic bacterioplankton and to test mechanistic hypotheses for explaining these differences along variations in depth, water mass, phytoplankton biomass, and organic and inorganic nutrients. The overall goal was to darify the relationship between primary producers and bacterioplankton community structure in the Southern Ocean. Results suggested that both epipelagic and mesopelagic bacterioplankton communities were structured by phytoplankton blooming in the euphotic zone. As chlorophyll a (chl-a) increased in surface waters, the abundance of surface bacterioplankton increased, but their diversity decreased. Similarity in bacterioplankton community composition between surface-water sites increased as the bloom progressed, suggesting that algal blooms may homogenize surface-water bacterioplankton communities at larger spatial scales. Below the euphotic zone, the opposite relationship was found. Mesopelagic bacterioplankton diversity increased with increasing chl-a in the overlying surface waters. This shift may be promoted by several factors induding local increase in organic and inorganic nutrients from particles sinking out of the euphotic zone, an increase in niche differentiation associated with the particle flux, interactions with deep-dwelling macrozooplankton, and release from competition with primary producers. Additional multivariate analyses of bacterioplankton community structure and nutrient concentrations revealed distinct depth horizons, with bacterioplankton communities having maximum alpha and beta diversity just below the euphotic zone, while nutrient composition gradually homogenized with increasing depth. Our results provide evidence for bloom-driven (bottom-up) control of bacterioplankton community diversity in the coastal Southern Ocean and suggest mechanisms whereby surface processes can shape the diversity of bacterioplankton communities at great depth.</t>
  </si>
  <si>
    <t>[Richert, Inga; Bertilsson, Stefan] Uppsala Univ, Dept Ecol &amp; Genet Limnol, Uppsala, Sweden; [Richert, Inga; Wendeberg, Annelie] UFZ Helmholtz Ctr Environm Res, Dept Environm Microbiol, Leipzig, Germany; [Yager, Patricia L.] Univ Georgia, Dept Marine Sci, Athens, GA 30602 USA; [Dinasquet, Julie; Riemann, Lasse] Univ Copenhagen, Dept Biol, Helsingor, Denmark; [Dinasquet, Julie] Univ Calif San Diego, Scripps Inst Oceanog, San Diego, CA USA; [Logares, Ramiro] CSIC, Inst Marine Sci, Barcelona, Spain; [Bertilsson, Stefan] Uppsala Univ, Sci Life Lab, Uppsala, Sweden; [Scofield, Douglas G.] Uppsala Univ, Dept Ecol &amp; Genet Evolutionary Biol, Uppsala, Sweden; [Scofield, Douglas G.] Uppsala Univ, Uppsala Multidisciplinary Ctr Adv Computat Sci, Uppsala, Sweden</t>
  </si>
  <si>
    <t>Uppsala University; Helmholtz Association; Helmholtz Center for Environmental Research (UFZ); University System of Georgia; University of Georgia; University of Copenhagen; University of California System; University of California San Diego; Scripps Institution of Oceanography; Consejo Superior de Investigaciones Cientificas (CSIC); CSIC - Centro Mediterraneo de Investigaciones Marinas y Ambientales (CMIMA); CSIC - Instituto de Ciencias del Mar (ICM); Uppsala University; Uppsala University; Uppsala University</t>
  </si>
  <si>
    <t>Richert, I (corresponding author), Uppsala Univ, Dept Ecol &amp; Genet Limnol, Uppsala, Sweden.;Richert, I (corresponding author), UFZ Helmholtz Ctr Environm Res, Dept Environm Microbiol, Leipzig, Germany.</t>
  </si>
  <si>
    <t>inga.richert@gmail.com</t>
  </si>
  <si>
    <t>Scofield, Douglas G/B-4246-2009; Logares, Ramiro/AAI-2306-2019; Yager, Patricia/K-8020-2014; Riemann, Lasse/J-7091-2014; Logares, Ramiro/D-5920-2011</t>
  </si>
  <si>
    <t>Yager, Patricia/0000-0002-8462-6427; Riemann, Lasse/0000-0001-9207-2543; Logares, Ramiro/0000-0002-8213-0604</t>
  </si>
  <si>
    <t>Swedish Research Council; U.S. National Science Foundation through the ASPIRE project [ANT-0839069]</t>
  </si>
  <si>
    <t>Swedish Research Council(Swedish Research Council); U.S. National Science Foundation through the ASPIRE project(National Science Foundation (NSF))</t>
  </si>
  <si>
    <t>We are grateful to the captain and crew of the Research Icebreaker Nathanial B. Palmer and the ASPIRE team supporting us during the cruise, and to the Swedish Polar Research secretariat and Raytheon Polar Services who provided logistic support. The study was funded by the Swedish Research Council (grants to SB and LR) and the U.S. National Science Foundation through the ASPIRE project (ANT-0839069). The 454 pyrosequencing was done at SciLifeLab SNP/SEQ facility hosted by Uppsala University, and some of our bioinformatic computations were performed at the Uppsala Multidisciplinary Center for Advanced Computational Science (UPPMAX). We thank Alexander Eiler for assistance with handling of the raw pyrosequencing data; Shona Wharton, who produced the GIS map; and Sharon Stammerjohn for help with understanding the ocean water masses.</t>
  </si>
  <si>
    <t>2150-8925</t>
  </si>
  <si>
    <t>Ecosphere</t>
  </si>
  <si>
    <t>e02641</t>
  </si>
  <si>
    <t>10.1002/ecs2.2641</t>
  </si>
  <si>
    <t>HS6JQ</t>
  </si>
  <si>
    <t>WOS:000463977000027</t>
  </si>
  <si>
    <t>Marchi, S; Fichefet, T; Goosse, H; Zunz, V; Tietsche, S; Day, JJ; Hawkins, E</t>
  </si>
  <si>
    <t>Marchi, Sylvain; Fichefet, Thierry; Goosse, Hugues; Zunz, Violette; Tietsche, Steffen; Day, Jonathan J.; Hawkins, Ed</t>
  </si>
  <si>
    <t>Reemergence of Antarctic sea ice predictability and its link to deep ocean mixing in global climate models</t>
  </si>
  <si>
    <t>Predictability; Sea ice; Southern Ocean; Model intercomparison; Deep convection</t>
  </si>
  <si>
    <t>SOUTHERN-OCEAN; MIXED-LAYER; OZONE HOLE; VARIABILITY; TRENDS; PREDICTION; INITIALIZATION; DRIVEN; WATER; EXTENT</t>
  </si>
  <si>
    <t>Satellite observations show a small overall increase in Antarctic sea ice extent (SIE) over the period 1979-2015. However, this upward trend needs to be balanced against recent pronounced SIE fluctuations occurring there. In the space of 3 years, the SIE sank from its highest value ever reached in September 2014 to record low in February 2017. In this work, a set of six state-of-the-art global climate models is used to evaluate the potential predictability of the Antarctic sea ice at such timescales. This first multi-model study of Antarctic sea ice predictability reveals that the ice edge location can potentially be predicted up to 3 years in advance. However, the ice edge location predictability shows contrasted seasonal performances, with high predictability in winter and no predictability in summer. The reemergence of the predictability from one winter to next is provided by the ocean through its large thermal inertia. Sea surface heat anomalies are stored at depth at the end of the winter and influences the sea ice advance the following year as they resurface. The effectiveness of this mechanism across models is found to depend upon the depth of the mixed layer. One should be very cautious about these potential predictability estimates as there is evidence that the Antarctic sea ice predictability is promoted by deep Southern Ocean convection. We therefore suspect models with excessive convection to show higher sea ice potential predictability results due to an incorrect representation of the Southern Ocean.</t>
  </si>
  <si>
    <t>[Marchi, Sylvain; Fichefet, Thierry; Goosse, Hugues] Catholic Univ Louvain, Earth &amp; Life Inst, Georges Lemaitre Ctr Earth &amp; Climate Res, Louvain La Neuve, Belgium; [Zunz, Violette] Vrije Univ Brussel, Dept Geog, Brussels, Belgium; [Tietsche, Steffen; Day, Jonathan J.] European Ctr Medium Range Weather Forecasts, Reading, Berks, England; [Hawkins, Ed] Univ Reading, Dept Meteorol, NCAS Climate, Reading, Berks, England</t>
  </si>
  <si>
    <t>Universite Catholique Louvain; Vrije Universiteit Brussel; European Centre for Medium-Range Weather Forecasts (ECMWF); UK Research &amp; Innovation (UKRI); Natural Environment Research Council (NERC); NERC National Centre for Atmospheric Science; University of Reading</t>
  </si>
  <si>
    <t>Marchi, S (corresponding author), Catholic Univ Louvain, Earth &amp; Life Inst, Georges Lemaitre Ctr Earth &amp; Climate Res, Louvain La Neuve, Belgium.</t>
  </si>
  <si>
    <t>sylvain.marchi@uclouvain.be</t>
  </si>
  <si>
    <t>Hawkins, Ed/B-7921-2011; Day, Jonathan/B-9757-2013; Tietsche, Steffen/F-7633-2015</t>
  </si>
  <si>
    <t>Hawkins, Ed/0000-0001-9477-3677; Tietsche, Steffen/0000-0002-2961-0289</t>
  </si>
  <si>
    <t>NERC [NE/I029447/1] Funding Source: UKRI; Natural Environment Research Council [ncas10009, NE/I029447/1] Funding Source: researchfish</t>
  </si>
  <si>
    <t>NERC(UK Research &amp; Innovation (UKRI)Natural Environment Research Council (NERC)); Natural Environment Research Council(UK Research &amp; Innovation (UKRI)Natural Environment Research Council (NERC))</t>
  </si>
  <si>
    <t>5-6</t>
  </si>
  <si>
    <t>10.1007/s00382-018-4292-2</t>
  </si>
  <si>
    <t>HS4OM</t>
  </si>
  <si>
    <t>WOS:000463842700016</t>
  </si>
  <si>
    <t>Park, W; Latif, M</t>
  </si>
  <si>
    <t>Park, W.; Latif, M.</t>
  </si>
  <si>
    <t>Ensemble global warming simulations with idealized Antarctic meltwater input</t>
  </si>
  <si>
    <t>SEA-LEVEL RISE; SOUTHERN-OCEAN; CIRCUMPOLAR CURRENT; ICE SHELVES; FRESH-WATER; CLIMATE; VARIABILITY; CIRCULATION; CONVECTION; TRENDS</t>
  </si>
  <si>
    <t>The Earth will exhibit continued global surface warming in response to a sustained increase of atmospheric carbon dioxide (CO2) levels. Massive meltwater input from the Antarctic ice sheet into the Southern Ocean could be one consequence of this warming. Here we investigate the impacts which this meltwater input may have on Earth's surface climate and ocean circulation in a warming world. To this end a set of ensemble experiments has been conducted with a global climate model forced by increasing atmospheric CO2-concentration and an idealized Antarctic meltwater input to the Southern Ocean with varying amplitude and spatial pattern. As long as the atmospheric CO2-concentration stays moderate, i.e. below approximately twice the preindustrial concentration, and if a strong meltwater forcing of either 0.05 or 0.1Sv is applied, enhanced Antarctic sea-ice cover and surface air temperature cooling over most parts of the Southern Ocean is observed. When the atmospheric CO2-concentration becomes larger than twice the preindustrial concentration, the meltwater only plays a minor role. The Antarctic meltwater drives significant slowing of the Southern Ocean meridional overturning circulation (MOC). Again, the meltwater influence only is detectable as long as the CO2-forcing is moderate. Much larger MOC changes develop in response to highly elevated atmospheric CO2-levels independent of whether or not a meltwater forcing is applied. The response of the Antarctic circumpolar current (ACC) is nonlinear. Substantial and persistent ACC slowing is simulated when solely the meltwater forcing of 0.1Sv is applied, which is due to the halt of Weddell Sea deep convection and subsequent collapse of the Southern Ocean MOC. When the increasing atmospheric CO2-concentration additionally drives the model the ACC partly recovers in the long run. The partial recovery is due to strengthening westerly wind stress over the Southern Ocean, which intensifies the Ekman Cell. This study suggests that Southern Hemisphere climate projections for the twenty-first century could benefit from incorporating interactive Antarctic ice sheet.</t>
  </si>
  <si>
    <t>[Park, W.; Latif, M.] GEOMAR Helmholtz Ctr Ocean Res Kiel, Dusternbrooker Weg 20, D-24105 Kiel, Germany; [Latif, M.] Univ Kiel, Cluster Excellence Future Ocean, D-24105 Kiel, Germany</t>
  </si>
  <si>
    <t>Latif, M (corresponding author), GEOMAR Helmholtz Ctr Ocean Res Kiel, Dusternbrooker Weg 20, D-24105 Kiel, Germany.;Latif, M (corresponding author), Univ Kiel, Cluster Excellence Future Ocean, D-24105 Kiel, Germany.</t>
  </si>
  <si>
    <t>mlatif@geomar.de</t>
  </si>
  <si>
    <t>Park, Wonsun/J-8097-2012</t>
  </si>
  <si>
    <t>Park, Wonsun/0000-0002-6345-8428</t>
  </si>
  <si>
    <t>InterDec project The potential of seasonal-to-decadal-scale inter-regional linkages to advance climate predictions of the JPI CLIM Belmont-Forum; PalMod Project of BMBF</t>
  </si>
  <si>
    <t>InterDec project The potential of seasonal-to-decadal-scale inter-regional linkages to advance climate predictions of the JPI CLIM Belmont-Forum; PalMod Project of BMBF(Federal Ministry of Education &amp; Research (BMBF))</t>
  </si>
  <si>
    <t>This study was supported by the InterDec project The potential of seasonal-to-decadal-scale inter-regional linkages to advance climate predictions of the JPI CLIM Belmont-Forum, and by the PalMod Project of BMBF (http://www.palmod.de).The climate model integrations were performed at the Computer Centre at the Kiel University and at the High Performance Computing Centre (HRLN).</t>
  </si>
  <si>
    <t>10.1007/s00382-018-4319-8</t>
  </si>
  <si>
    <t>WOS:000463842700040</t>
  </si>
  <si>
    <t>Alexander, PM; LeGrande, AN; Fischer, E; Tedesco, M; Fettweis, X; Kelley, M; Nowicki, SMJ; Schmidt, GA</t>
  </si>
  <si>
    <t>Alexander, P. M.; LeGrande, A. N.; Fischer, E.; Tedesco, M.; Fettweis, X.; Kelley, M.; Nowicki, S. M. J.; Schmidt, G. A.</t>
  </si>
  <si>
    <t>Simulated Greenland Surface Mass Balance in the GISS ModelE2 GCM: Role of the Ice Sheet Surface</t>
  </si>
  <si>
    <t>JOURNAL OF GEOPHYSICAL RESEARCH-EARTH SURFACE</t>
  </si>
  <si>
    <t>Greenland; ice sheet; mass balance; GCM; ModelE; RCM</t>
  </si>
  <si>
    <t>SPATIOTEMPORAL VARIABILITY; ENERGY BALANCE; WEST GREENLAND; SEA-LEVEL; CLIMATE; SNOW; ALBEDO; IMPACT; MELT; SYSTEM</t>
  </si>
  <si>
    <t>The rate of growth or retreat of the Greenland and Antarctic ice sheets remains a highly uncertain component of future sea level change. Here we examine the simulation of Greenland ice sheet surface mass balance (GrIS SMB) in a development branch of the ModelE2 version of the NASA Goddard Institute for Space Studies (GISS) general circulation model (GCM). GCMs are often limited in their ability to represent SMB compared with polar region regional climate models. We compare ModelE2-simulated GrIS SMB for present-day (1996-2005) simulations with fixed ocean conditions, at a spatial resolution of 2 degrees latitude by 2.5 degrees longitude (similar to 200km), with SMB simulated by the Modele Atmospherique Regionale (MAR) regional climate model (1996-2005 at a 25-km resolution). ModelE2 SMB agrees well with MAR SMB on the whole, but there are distinct spatial patterns of differences and large differences in some SMB components. The impacts of changes to the ModelE2 surface are tested, including a subgrid-scale representation of SMB with surface elevation classes. This has a minimal effect on ice sheet-wide SMB but corrects local biases. Replacing fixed surface albedo with satellite-derived values and an age-dependent scheme has a larger impact, increasing simulated melt by 60%-100%. We also find that lower surface albedo can enhance the effects of elevation classes. Reducing ModelE2 surface roughness length to values closer to MAR reduces sublimation by similar to 50%. Further work is required to account for meltwater refreezing in ModelE2 and to understand how differences in atmospheric processes and model resolution influence simulated SMB. Plain Language Summary Melting of the Earth's ice sheets represents a substantial contribution to global sea level rise. Global climate model simulations of Earth's climate often model the surface of ice sheets in a fairly simple way because of computational limitations. This study evaluates the representation of the Greenland ice sheet in one such global model simulation (from the NASA Goddard Institute for Space Studies general circulation model) against a regional model that simulates only the local Greenland area in a higher degree of detail. The study finds that the global model simulation of the Greenland ice sheet is sensitive to how the model represents the ice sheet surface, in particular, how it reflects incoming sunlight, stores and freezes liquid water, and simulates surface evaporation. Attempting to improve the simulation by dividing the ice sheet surface into additional grid cells according to surface elevation has a minor impact on the simulation. The study reveals how the representation of the Greenland ice sheet in ModelE2 might be improved to better estimate ice sheet change and the sea level response to global climate changes.</t>
  </si>
  <si>
    <t>[Alexander, P. M.; Tedesco, M.] Columbia Univ, Lamont Doherty Earth Observ, Palisades, NY 10964 USA; [Alexander, P. M.; LeGrande, A. N.; Tedesco, M.; Kelley, M.; Schmidt, G. A.] NASA, Goddard Inst Space Studies, New York, NY 10025 USA; [Fischer, E.] Columbia Univ, Ctr Climate Syst Res, New York, NY USA; [Fettweis, X.] Univ Liege, Dept Geog, Lab Climatol, Liege, Belgium; [Kelley, M.] SciSpace LLC, New York, NY USA; [Nowicki, S. M. J.] NASA, Goddard Space Flight Ctr, Greenbelt, MD USA</t>
  </si>
  <si>
    <t>Columbia University; National Aeronautics &amp; Space Administration (NASA); NASA Goddard Space Flight Center; Goddard Institute for Space Studies; Columbia University; University of Liege; National Aeronautics &amp; Space Administration (NASA); NASA Goddard Space Flight Center</t>
  </si>
  <si>
    <t>Alexander, PM (corresponding author), Columbia Univ, Lamont Doherty Earth Observ, Palisades, NY 10964 USA.;Alexander, PM (corresponding author), NASA, Goddard Inst Space Studies, New York, NY 10025 USA.</t>
  </si>
  <si>
    <t>pma2107@ldeo.columbia.edu</t>
  </si>
  <si>
    <t>Schmidt, Gavin/D-4427-2012; LeGrande, Allegra N./D-8920-2012</t>
  </si>
  <si>
    <t>Schmidt, Gavin/0000-0002-2258-0486; LeGrande, Allegra N./0000-0002-5295-0062; Tedesco, Marco/0000-0002-7549-9307; Fischer, Elizabeth/0000-0002-3987-2696; Fettweis, Xavier/0000-0002-4140-3813</t>
  </si>
  <si>
    <t>NASA Modeling, Analysis, and Prediction (MAP) [16-MAP 16-0137, NNH16ZDA001N-MAP]; NASA MAP program; NASA Cryosphere program [NNX17AH04G]; NSF Office of Polar Programs [OPP-1713072]; Oak Ridge Associated Universities; NASA GISS</t>
  </si>
  <si>
    <t>NASA Modeling, Analysis, and Prediction (MAP); NASA MAP program(National Aeronautics &amp; Space Administration (NASA)); NASA Cryosphere program; NSF Office of Polar Programs(National Science Foundation (NSF)); Oak Ridge Associated Universities; NASA GISS(National Aeronautics &amp; Space Administration (NASA))</t>
  </si>
  <si>
    <t>Outputs from the development version of ModelE2 GCM used here and temporally averaged fields and time series for the MAR v3.9 simulations used here are provided at https://data.giss.nasa.gov/modelE/greenland-smb/.The ModelE2 code used here is not a publicly released version of ModelE but resides within the ModelE development repository (ModelE tag: ModelE2_ECalbedo), available through https://simplex.giss.nasa.gov/gcm/or upon request from the corresponding author. The branch point of the ModelE2_ECalbedo branch with respect to the master branch is tagged ModelE2_ECalbedo_base. MARv3.5.2 outputs are publicly available at ftp://ftp. climato. be/fettweis/MARv3.5/Greenland/and MARv3.5.2 source code at ftp://ftp. climato. be/fettweis/MARv3.5/.src/. ECMWF reanalyses used to force MAR were downloaded from http://apps.ecmwf.int/datasets/.The regridding software of Fischer et al. (2014) is publicly available through https://github.com/citibeth/icebin/.Further details can be obtained by contacting E. Fischer(elizabeth.fischer@columbia.edu).P.Alexander,E.Fischer,M.Tedesco, and A. N. LeGrande acknowledge support from the NASA Modeling, Analysis, and Prediction (MAP) program award 16-MAP 16-0137: NASA NRA#: NNH16ZDA001N-MAP. (Understanding and quantifying the links between ice sheet and glacial albedo, surface mass balance and atmospheric fluxes through improved NASA GISS-E2 simulations). E. Fischer and S. Nowicki also acknowledge support from the NASA MAP program. M. Tedesco and P. Alexander acknowledge support from the NASA Cryosphere program (NNX17AH04G). M. Tedesco acknowledges support from the NSF Office of Polar Programs (OPP-1713072). P. Alexander was also supported by an appointment to the NASA Postdoctoral Program (NPP) at the NASA Goddard Institute for Space Studies, administered by the Universities Space Research Association and Oak Ridge Associated Universities under contract with NASA. Resources supporting this work were provided by the NASA High-End Computing Program through the NASA Center for Climate Simulation (NCCS) at the Goddard Space Flight Center. We thank NASA GISS for institutional support. The authors thank G. Russell, I. Aleinov, L. Nazarenko, and J. Nusbaumer for advice and suggestions on running the ModelE2 GCM and S. E. Moustafa for discussions regarding MAR and Greenland surface albedo. The authors also thank several anonymous reviewers for careful reading and comments that improved the manuscript.</t>
  </si>
  <si>
    <t>2169-9003</t>
  </si>
  <si>
    <t>2169-9011</t>
  </si>
  <si>
    <t>J GEOPHYS RES-EARTH</t>
  </si>
  <si>
    <t>J. Geophys. Res.-Earth Surf.</t>
  </si>
  <si>
    <t>10.1029/2018JF004772</t>
  </si>
  <si>
    <t>HS6PH</t>
  </si>
  <si>
    <t>WOS:000463993300006</t>
  </si>
  <si>
    <t>Winebrenner, DP; Kintner, PMS; MacGregor, JA</t>
  </si>
  <si>
    <t>Winebrenner, Dale P.; Kintner, Paul M. S.; MacGregor, Joseph A.</t>
  </si>
  <si>
    <t>New Estimates of Ice and Oxygen Fluxes Across the Entire Lid of Lake Vostok From Observations of Englacial Radio Wave Attenuation</t>
  </si>
  <si>
    <t>subglacial lakes; remote sensing; Lake Vostok; oxygen input</t>
  </si>
  <si>
    <t>SUBGLACIAL LAKE; EAST ANTARCTICA; WEST ANTARCTICA; RADAR ATTENUATION; FLOW VELOCITIES; SHEET DYNAMICS; ACCRETED ICE; CORE; ACCUMULATION; TEMPERATURE</t>
  </si>
  <si>
    <t>Over deep Antarctic subglacial lakes, spatially varying ice thickness and the pressure-dependent melting point of ice result in distinct areas of melting and freeze-on at the ice-water interface, that is, at the lake lid. These ice mass fluxes drive lake circulation and, because basal Antarctic ice contains air clathrate, affect the input of oxygen to the lake, with implications for subglacial life. Inferences of rates of melting and freeze-on, that is, accretion rates, from radar layer tracking and geodesy are limited in spatial coverage and resolution. Here we develop a new method to estimate accretion rate, and the resulting oxygen input at a lake lid, using airborne radar data over Lake Vostok together with ice-temperature and chemistry data from the Vostok ice core. Because the lake lid is a coherent reflector of known reflectivity (at our radar frequency), we can infer depth-averaged radio wave attenuation in the ice, with a spatial resolution of similar to 1km along flight lines. Spatial variation in attenuation depends mostly on variation in ice temperature near the lid, which in turn varies strongly with ice mass flux at the lid. We model ice temperature versus depth with ice mass flux as a parameter, thus linking that flux to observed depth-averaged attenuation. The resulting map of melt and accretion rates independently reproduces features known from earlier studies but now covers the entire lid. We find that freeze-on is dominant when integrated over the lid, with an ice imbalance of 0.05 to 0.07km(3)/year, which is robust against uncertainties. Plain Language Summary Where ice meets water at the upper surface (i.e., the lid) of a subglacial lake, freezing to the lid or melting into the lake can occur. Distinct areas of freezing and melting affect lake water circulation. Furthermore, melting can introduce to the lake oxygen from ancient air trapped in deep ice. That oxygen input is important for understanding what organisms can live in the lake. Knowledge of lake lid melting and freezing has been sparse, but here we develop a new way to map melting and freezing using data from radar sounding and an ice core. We apply our method at Lake Vostok, Antarctica. We find, surprisingly, that the total amount of lid freezing exceeds that of melting. Because Antarctic ice flow carries away ice frozen to the lid, the lake would lose water, and its level would go down, unless there is some compensating inflow. The level of Lake Vostok is observed to be neither rising nor falling, so we infer that meltwater flows into the lake from surrounding ice-covered terrain. That flow carries minerals and other chemicals important for any life in the lake, so our result may change views on what can live there.</t>
  </si>
  <si>
    <t>[Winebrenner, Dale P.] Univ Washington, Appl Phys Lab, Seattle, WA 98105 USA; [Winebrenner, Dale P.; Kintner, Paul M. S.] Univ Washington, Dept Earth &amp; Space Sci, Seattle, WA 98195 USA; [MacGregor, Joseph A.] NASA, Goddard Space Flight Ctr, Greenbelt, MD USA</t>
  </si>
  <si>
    <t>University of Washington; University of Washington Seattle; University of Washington; University of Washington Seattle; National Aeronautics &amp; Space Administration (NASA); NASA Goddard Space Flight Center</t>
  </si>
  <si>
    <t>Winebrenner, DP (corresponding author), Univ Washington, Appl Phys Lab, Seattle, WA 98105 USA.;Winebrenner, DP (corresponding author), Univ Washington, Dept Earth &amp; Space Sci, Seattle, WA 98195 USA.</t>
  </si>
  <si>
    <t>dpw@apl.washington.edu</t>
  </si>
  <si>
    <t>MacGregor, Joseph/0000-0002-5517-2235; Winebrenner, Dale/0000-0003-2341-1083</t>
  </si>
  <si>
    <t>NASA [NNX15AP21G]; NASA [NNX15AP21G, 798658] Funding Source: Federal RePORTER</t>
  </si>
  <si>
    <t>NASA(National Aeronautics &amp; Space Administration (NASA)); NASA(National Aeronautics &amp; Space Administration (NASA))</t>
  </si>
  <si>
    <t>This work was supported by NASA grant NNX15AP21G, as part of the Habitable Worlds program. Final derived data from this study, as well as accompanying software for manipulation and display, are available from the Zenodoarchive (zenodo. org) and are cited in the reference list as Winebrenner et al. (2018). We thank K. Matsuoka for assistance with the SOAR data set and software useful in its analysis. We also thank Dustin Schroeder, an anonymous reviewer, and the Editors for thoughtful comments, which have improved the manuscript.</t>
  </si>
  <si>
    <t>10.1029/2018JF004692</t>
  </si>
  <si>
    <t>WOS:000463993300008</t>
  </si>
  <si>
    <t>Paxman, GJG; Jamieson, SSR; Ferraccioli, F; Bentley, MJ; Ross, N; Watts, AB; Leitchenkov, G; Armadillo, E; Young, DA</t>
  </si>
  <si>
    <t>Paxman, Guy J. G.; Jamieson, Stewart S. R.; Ferraccioli, Fausto; Bentley, Michael J.; Ross, Neil; Watts, Anthony B.; Leitchenkov, German; Armadillo, Egidio; Young, Duncan A.</t>
  </si>
  <si>
    <t>The Role of Lithospheric Flexure in the Landscape Evolution of the Wilkes Subglacial Basin and Transantarctic Mountains, East Antarctica</t>
  </si>
  <si>
    <t>flexure; landscape evolution; East Antarctica; paleotopography; glacial erosion</t>
  </si>
  <si>
    <t>NORTHERN VICTORIA LAND; ICE-SHEET; ROSS SEA; GLACIAL EROSION; FISSION-TRACK; BENEATH; UPLIFT; TOPOGRAPHY; MARGIN; THICKNESS</t>
  </si>
  <si>
    <t>Reconstructions of the bedrock topography of Antarctica since the Eocene-Oligocene Boundary (approximately 34Ma) provide important constraints for modeling Antarctic ice sheet evolution. This is particularly important in regions where the bedrock lies below sea level, since in these sectors the overlying ice sheet is thought to be most susceptible to past and future change. Here we use 3-D flexural modeling to reconstruct the evolution of the topography of the Wilkes Subglacial Basin (WSB) and Transantarctic Mountains (TAM) in East Antarctica. We estimate the spatial distribution of glacial erosion beneath the East Antarctic Ice Sheet, and restore this material to the topography, which is also adjusted for associated flexural isostatic responses. We independently constrain our post-34 Ma erosion estimates using offshore sediment stratigraphy interpretations. Our reconstructions provide a better-defined topographic boundary condition for modeling early East Antarctic Ice Sheet history. We show that the majority of glacial erosion and landscape evolution occurred prior to 14Ma, which we interpret to reflect more dynamic and erosive early ice sheet behavior. In addition, we use closely spaced 2-D flexural models to test previously proposed hypotheses for a flexural origin of the TAM and WSB. The pre-34 Ma topography shows lateral variations along the length of the TAM and WSB that cannot be explained by uniform flexure along the front of the TAM. We show that some of these variations may be explained by additional flexural uplift along the south-western flank of the WSB and the Rennick Graben in northern Victoria Land.</t>
  </si>
  <si>
    <t>[Paxman, Guy J. G.; Jamieson, Stewart S. R.; Bentley, Michael J.] Univ Durham, Dept Geog, Durham, England; [Ferraccioli, Fausto] British Antarctic Survey, Cambridge, England; [Ross, Neil] Newcastle Univ, Sch Geog Polit &amp; Sociol, Newcastle Upon Tyne, Tyne &amp; Wear, England; [Watts, Anthony B.] Univ Oxford, Dept Earth Sci, Oxford, England; [Leitchenkov, German] Inst Geol &amp; Mineral Resources World Ocean, St Petersburg, Russia; [Leitchenkov, German] St Petersburg State Univ, Inst Earth Sci, St Petersburg, Russia; [Armadillo, Egidio] Univ Genoa, Dipartimento Sci Terra Ambiente &amp; Vita, Genoa, Italy; [Young, Duncan A.] Univ Texas Austin, Inst Geophys, Austin, TX USA</t>
  </si>
  <si>
    <t>Durham University; UK Research &amp; Innovation (UKRI); Natural Environment Research Council (NERC); NERC British Antarctic Survey; Newcastle University - UK; University of Oxford; Saint Petersburg State University; University of Genoa; University of Texas System; University of Texas Austin</t>
  </si>
  <si>
    <t>Paxman, GJG (corresponding author), Univ Durham, Dept Geog, Durham, England.</t>
  </si>
  <si>
    <t>guy.j.paxman@durham.ac.uk</t>
  </si>
  <si>
    <t>Jamieson, Stewart S.R./B-8330-2013; Armadillo, Egidio/AAD-2877-2021; Bentley, Michael J/F-7386-2011; Young, Duncan/G-6256-2010</t>
  </si>
  <si>
    <t>Jamieson, Stewart S.R./0000-0002-9036-2317; Armadillo, Egidio/0000-0003-0982-6629; Bentley, Michael J/0000-0002-2048-0019; Young, Duncan/0000-0002-6866-8176; Ferraccioli, Fausto/0000-0002-9347-4736; Paxman, Guy/0000-0003-1787-7442</t>
  </si>
  <si>
    <t>Natural Environment Research Council UK studentship [NE/L002590/1]; Russian Science Foundation [16-17-10139]; NERC [bas0100029] Funding Source: UKRI; Russian Science Foundation [19-17-13016] Funding Source: Russian Science Foundation</t>
  </si>
  <si>
    <t>Natural Environment Research Council UK studentship(UK Research &amp; Innovation (UKRI)Natural Environment Research Council (NERC)); Russian Science Foundation(Russian Science Foundation (RSF)); NERC(UK Research &amp; Innovation (UKRI)Natural Environment Research Council (NERC)); Russian Science Foundation(Russian Science Foundation (RSF))</t>
  </si>
  <si>
    <t>G. J. G. P. is in receipt of a Natural Environment Research Council UK studentship NE/L002590/1. G. L. acknowledges the support from Russian Science Foundation grant 16-17-10139. We would like to thank Garry Karner, Frank Lisker, and an anonymous reviewer for their thorough and constructive reviews. Grids and figures were produced using the Generic Mapping Tools (GMT) software package (Wessel et al., 2013). MATLAB scripts used to numerically calculate flexure on a plate with spatially variable rigidity are freely downloadable at http://www.ux.uis.no/similar to nestor/work/matlabScripts. html. ICECAP and Operation IceBridge data products used in this study are available through the Icebridge data portal at the National Snow and Ice Data Center (http://nsdic.org/icebridge/portal/).The processed WISE-ISODYN radar data are freely available on the NERC/BAS Polar Data Centre airborne geophysics data portal (https://doi.org/10.5285/59e5a6f5-e67d-4a05-99af-30f656569401).This paper is UTIG contribution 3032. Reconstructed topography grids produced as part of this study are available to download in the supplementary information.</t>
  </si>
  <si>
    <t>10.1029/2018JF004705</t>
  </si>
  <si>
    <t>WOS:000463993300009</t>
  </si>
  <si>
    <t>Kan, GF; Wang, XF; Jiang, J; Zhang, CS; Chi, ML; Ju, Y; Shi, CJ</t>
  </si>
  <si>
    <t>Kan, Guangfeng; Wang, Xiaofei; Jiang, Jie; Zhang, Chengsheng; Chi, Minglei; Ju, Yun; Shi, Cuijuan</t>
  </si>
  <si>
    <t>Copper stress response in yeast Rhodotorula mucilaginosa AN5 isolated from sea ice, Antarctic</t>
  </si>
  <si>
    <t>MICROBIOLOGYOPEN</t>
  </si>
  <si>
    <t>adaptive responses; Antarctica yeast; copper stress; proteomics</t>
  </si>
  <si>
    <t>INDUCED PROTEOMIC CHANGES; INDUCED OXIDATIVE STRESS; HEAVY-METAL TOLERANCE; IN-VITRO; PROTEIN; CADMIUM; IDENTIFICATION; GLUTATHIONE; TOXICITY; ENZYMES</t>
  </si>
  <si>
    <t>Heavy metal pollution in Antarctic is serious by anthropogenic emissions and atmospheric transport. To dissect the heavy metal adaptation mechanisms of sea-ice organisms, a basidiomycetous yeast strain AN5 was isolated and its cellular changes were analyzed. Morphological, physiological, and biochemical characterization indicated that this yeast strain belonged to Rhodotorula mucilaginosa AN5. Heavy metal resistance pattern of Cd &gt; Pb = Mn &gt; Cu &gt; Cr &gt; Hg was observed. Scanning electron microscopic (SEM) results exhibited altered cell surface morphology under the influence of copper metal compared to that with control. The determination of physiological and biochemical changes manifested that progressive copper treatment significantly increased antioxidative reagents content and enzymes activity in the red yeast, which quench the active oxygen species to maintain the intercellular balance of redox state and ensure the cellular fission and growth. Comparative proteomic analysis revealed that, under 2 mM copper stress, 95 protein spots were tested reproducible changes of at least 10-fold in cells. Among 95 protein spots, 43 were elevated and 52 were decreased synthesis. After MALDI TOF MS/MS analysis, 51 differentially expressed proteins were identified successfully and classified into six functional groups, including carbohydrate and energy metabolism, nucleotide and protein metabolism, protein folding, antioxidant system, signaling, and unknown function proteins. Function analysis indicated that carbohydrate and energy metabolism-, nucleotide and protein metabolism-, and protein folding-related proteins played central role to the heavy metal resistance of Antarctic yeast. Generally, the results revealed that the yeast has a great capability to cope with heavy metal stress and activate the physiological and protein mechanisms, which allow more efficient recovery after copper stress. Our studies increase understanding of the molecular resistance mechanism of polar yeast to heavy metal, which will be benefitted for the sea-ice isolates to be a potential candidate for bioremediation of metal-contaminated environments.</t>
  </si>
  <si>
    <t>[Kan, Guangfeng; Wang, Xiaofei; Jiang, Jie; Chi, Minglei; Ju, Yun; Shi, Cuijuan] Harbin Inst Technol Weihai, Sch Marine Sci &amp; Technol, 2 Wenhuaxi Rd, Weihai 264209, Peoples R China; [Zhang, Chengsheng] Chinese Acad Agr Sci, Tobacco Res Inst, Tobacco Integrated Pest Management China Tobacco, Qingdao, Shandong, Peoples R China</t>
  </si>
  <si>
    <t>Harbin Institute of Technology; Chinese Academy of Agricultural Sciences; Tobacco Research Institute, CAAS</t>
  </si>
  <si>
    <t>Shi, CJ (corresponding author), Harbin Inst Technol Weihai, Sch Marine Sci &amp; Technol, 2 Wenhuaxi Rd, Weihai 264209, Peoples R China.</t>
  </si>
  <si>
    <t>cjshi@hit.edu.cn</t>
  </si>
  <si>
    <t>Huang, Jingyi/KCY-2239-2024; DAI, Jinjia/KCL-5110-2024</t>
  </si>
  <si>
    <t>kan, Guangfeng/0000-0002-5357-7204</t>
  </si>
  <si>
    <t>Key Technologies R&amp;D Program of Shandong [2013G0021502, 2016ZDJQ0206]; Natural Scientific Research Innovation Foundation in Harbin Institute of Technology [2013037]; NSRIF [2016085]; Science and Technology Project of Weihai [WH20140209]</t>
  </si>
  <si>
    <t>Key Technologies R&amp;D Program of Shandong; Natural Scientific Research Innovation Foundation in Harbin Institute of Technology(Harbin Institute of Technology); NSRIF; Science and Technology Project of Weihai</t>
  </si>
  <si>
    <t>Key Technologies R&amp;D Program of Shandong, Grant/Award Number: 2013G0021502 and 2016ZDJQ0206; Natural Scientific Research Innovation Foundation in Harbin Institute of Technology, Grant/Award Number: HIT. IBRSEM. 2013037 and HIT. NSRIF. 2016085; Science and Technology Project of Weihai, Grant/Award Number: WH20140209</t>
  </si>
  <si>
    <t>2045-8827</t>
  </si>
  <si>
    <t>MicrobiologyOpen</t>
  </si>
  <si>
    <t>e657</t>
  </si>
  <si>
    <t>10.1002/mbo3.657</t>
  </si>
  <si>
    <t>HS6HX</t>
  </si>
  <si>
    <t>WOS:000463972500014</t>
  </si>
  <si>
    <t>Gastauer, S; Chu, DZ; Cox, MJ</t>
  </si>
  <si>
    <t>Gastauer, Sven; Chu, Dezhang; Cox, Martin J.</t>
  </si>
  <si>
    <t>ZooScatR-An R package for modelling the scattering properties of weak scattering targets using the distorted wave Born approximation (vol 145, EL102, 2019)</t>
  </si>
  <si>
    <t>JOURNAL OF THE ACOUSTICAL SOCIETY OF AMERICA</t>
  </si>
  <si>
    <t>[Gastauer, Sven] Univ Tasmania, Antarctic Climate &amp; Ecosyst Cooperat Res Ctr, Private Bag 80, Hobart, Tas 7001, Australia; [Chu, Dezhang] NOAA, Northwest Fisheries Sci Ctr, Natl Marine Fisheries Serv, 2725 Montlake Blvd East, Seattle, WA 98112 USA; [Gastauer, Sven; Cox, Martin J.] Australian Antarctic Div, 203 Channel Highway, Kingston, Tas 7050, Australia</t>
  </si>
  <si>
    <t>Antarctic Climate &amp; Ecosystems Cooperative Research Centre (ACE CRC); University of Tasmania; National Oceanic Atmospheric Admin (NOAA) - USA; Australian Antarctic Division</t>
  </si>
  <si>
    <t>Gastauer, S (corresponding author), Univ Tasmania, Antarctic Climate &amp; Ecosyst Cooperat Res Ctr, Private Bag 80, Hobart, Tas 7001, Australia.</t>
  </si>
  <si>
    <t>sven.gastauer@utas.edu.au</t>
  </si>
  <si>
    <t>ACOUSTICAL SOC AMER AMER INST PHYSICS</t>
  </si>
  <si>
    <t>MELVILLE</t>
  </si>
  <si>
    <t>STE 1 NO 1, 2 HUNTINGTON QUADRANGLE, MELVILLE, NY 11747-4502 USA</t>
  </si>
  <si>
    <t>0001-4966</t>
  </si>
  <si>
    <t>1520-8524</t>
  </si>
  <si>
    <t>J ACOUST SOC AM</t>
  </si>
  <si>
    <t>J. Acoust. Soc. Am.</t>
  </si>
  <si>
    <t>10.1121/1.5094779</t>
  </si>
  <si>
    <t>Acoustics; Audiology &amp; Speech-Language Pathology</t>
  </si>
  <si>
    <t>HS3DU</t>
  </si>
  <si>
    <t>WOS:000463743800039</t>
  </si>
  <si>
    <t>Chakraborty, S; Jana, B</t>
  </si>
  <si>
    <t>Chakraborty, Sandipan; Jana, Biman</t>
  </si>
  <si>
    <t>Antifreeze Proteins: An Unusual Tale of Structural Evolution, Hydration and Function</t>
  </si>
  <si>
    <t>PROCEEDINGS OF THE INDIAN NATIONAL SCIENCE ACADEMY</t>
  </si>
  <si>
    <t>ICE-RECRYSTALLIZATION INHIBITION; FREEZING RESISTANCE; POLY(VINYL ALCOHOL); ICE/WATER INTERFACE; BINDING SURFACE; WATER DYNAMICS; IN-VITRO; MECHANISM; ADSORPTION; CRYSTAL</t>
  </si>
  <si>
    <t>Organisms living in extreme cold conditions find a unique solution for cold adaptation. They produce a group of proteins, called antifreeze proteins (AFPs) which cause depression of freezing point in a non-colligative manner. AFPs are unusual in every sense, i.e., their evolution, hydration and function. Evolutionary analysis reveals that AFPs do not emerge from a common ancestor; rather their evolution is independent and closely correlated to the Antarctic glaciation events. AFPs exert antifreeze activity by adsorption-inhibition mechanism. According to the model, ice can grow in the region between two bound AFPs, which results in the generation of a curved growing ice front. As a result, the radius of curvature decreases with further growth of the ice front and ultimately halts at the limit of critical radius. Main assumption of the model is that AFPs irreversibly bind to the ice surface, which is also validated by recent microfluidic experiments. Initially hydrogen bond mediated ice binding has been proposed, but experimental mutation data invalidated the hypothesis. A surface complementarity driven ice adsorption mechanism has been lately proposed, however, it is inadequate to explain the irreversible binding. Mechanism of ice recognition by AFP still remains elusive. Recently, AFPs have been shown to induce water ordering and we have proposed that the ordered hydration water adopts clathrate-like structure, which effectively adsorbs AFP on ice. Hydrophobic hydration induces clathrate formation around the ice binding surface. The model is highly promising and qualitatively explains mutational data and binding plane specificity data from ice-etching experiments.</t>
  </si>
  <si>
    <t>[Chakraborty, Sandipan; Jana, Biman] Indian Assoc Cultivat Sci, Sch Chem Sci, Kolkata 700032, India</t>
  </si>
  <si>
    <t>Department of Science &amp; Technology (India); Indian Association for the Cultivation of Science (IACS) - Jadavpur</t>
  </si>
  <si>
    <t>Jana, B (corresponding author), Indian Assoc Cultivat Sci, Sch Chem Sci, Kolkata 700032, India.</t>
  </si>
  <si>
    <t>pcbj@iacs.res.in</t>
  </si>
  <si>
    <t>Chakraborty, Sandipan/T-8968-2017</t>
  </si>
  <si>
    <t>Chakraborty, Sandipan/0000-0001-8759-1074</t>
  </si>
  <si>
    <t>Department of Science and Technology SERB [EMR/2016/001333]</t>
  </si>
  <si>
    <t>Department of Science and Technology SERB</t>
  </si>
  <si>
    <t>Work on antifreeze proteins is funded by the Department of Science and Technology SERB grant EMR/2016/001333. Authors also gratefully acknowledge the central supercomputing facility (CRAY) at Indian Association for the Cultivation of Science, Kolkata.</t>
  </si>
  <si>
    <t>INDIAN NAT SCI ACAD</t>
  </si>
  <si>
    <t>NEW DELHI</t>
  </si>
  <si>
    <t>BAHADUR SHAH ZAFAR MARG, NEW DELHI 110002, INDIA</t>
  </si>
  <si>
    <t>0370-0046</t>
  </si>
  <si>
    <t>P INDIAN NATL SCI AC</t>
  </si>
  <si>
    <t>Proc. Indian Natl. Sci. Acad.</t>
  </si>
  <si>
    <t>10.16943/ptinsa/2018/49553</t>
  </si>
  <si>
    <t>HS2CZ</t>
  </si>
  <si>
    <t>WOS:000463670000012</t>
  </si>
  <si>
    <t>Milne, S</t>
  </si>
  <si>
    <t>Milne, Sandy</t>
  </si>
  <si>
    <t>The Japanese Special Declaration: Threat to the Rule of International Law in the Antarctic?</t>
  </si>
  <si>
    <t>ENVIRONMENTAL AND PLANNING LAW JOURNAL</t>
  </si>
  <si>
    <t>Since 1933, Australia has continuously maintained a claim of sovereignty over an area comprising almost 42% of the Antarctic landmass. In response to Japan's controversial practice of whaling commercially within waters off this continental shelf, successful challenges were brought before both the Federal Court of Australia and the International Court of Justice (ICJ) (in 2006 and 2014 respectively). In turn, Japan subsequently issued a special declaration withdrawing itself from the ICJ's compulsory jurisdiction pertaining to wildlife and natural resource management and resumed whaling within the disputed zone. This article will explore the ramifications of this outcome on the integrity of Australia's continued claims to sovereignty over the AAT, arguing that the United Nations Convention of the Law of the Sea (UNCLOS) provides a compulsory arbitration mechanism so robust in its design and operation as to render the Japanese declaration futile in effect.</t>
  </si>
  <si>
    <t>[Milne, Sandy] Curtin Univ, Bentley, WA, Australia</t>
  </si>
  <si>
    <t>Curtin University</t>
  </si>
  <si>
    <t>Milne, S (corresponding author), Curtin Univ, Bentley, WA, Australia.</t>
  </si>
  <si>
    <t>LAWBOOK CO LTD</t>
  </si>
  <si>
    <t>PYRMONT</t>
  </si>
  <si>
    <t>LEVEL 6, 19 HARRIS ST, PYRMONT, NSW 2009, AUSTRALIA</t>
  </si>
  <si>
    <t>0813-300X</t>
  </si>
  <si>
    <t>ENVIRON PLAN LAW J</t>
  </si>
  <si>
    <t>Environ. Plan. Law J.</t>
  </si>
  <si>
    <t>Law</t>
  </si>
  <si>
    <t>Government &amp; Law</t>
  </si>
  <si>
    <t>HR4TE</t>
  </si>
  <si>
    <t>WOS:000463139300005</t>
  </si>
  <si>
    <t>Richardson, BJ; Barritt, E; Bowman, M</t>
  </si>
  <si>
    <t>Richardson, Benjamin J.; Barritt, Emily; Bowman, Megan</t>
  </si>
  <si>
    <t>Beauty: A Lingua Franca for Environmental Law?</t>
  </si>
  <si>
    <t>TRANSNATIONAL ENVIRONMENTAL LAW</t>
  </si>
  <si>
    <t>Aesthetics; Art; Beauty; Environmental law; Language; Nature</t>
  </si>
  <si>
    <t>AESTHETICS; ART</t>
  </si>
  <si>
    <t>This article investigates whether beauty in nature can provide a global language to inform environmental governance, such as by providing shared values and collaborative approaches across and within different cultures. Because art mediates how many people experience environmental aesthetics, such as through photography and music, this enquiry extends to the arts. As is the case for other aesthetic values, beauty is ultimately about relationships and ways of knowing our environment, and the law can best engage with such values through interpretive guidance and processes for participatory decision making. Prescriptive codification of beauty 'standards' is generally not a realistic goal for lawmakers. The article enriches our understanding of how aesthetics can contribute to human beings' emotional empathy and ethical commitment to environmental stewardship, and identifies some conceptual and methodological difficulties that militate against beauty being a lingua franca for environmental law.</t>
  </si>
  <si>
    <t>[Richardson, Benjamin J.] Univ Tasmania, Fac Law, Hobart, Tas, Australia; [Richardson, Benjamin J.] Univ Tasmania, Inst Marine &amp; Antarctic Studies, Hobart, Tas, Australia; [Barritt, Emily; Bowman, Megan] Kings Coll London, Dickson Poon Sch Law, London, England</t>
  </si>
  <si>
    <t>University of Tasmania; University of Tasmania; University of London; King's College London</t>
  </si>
  <si>
    <t>Richardson, BJ (corresponding author), Univ Tasmania, Fac Law, Hobart, Tas, Australia.;Richardson, BJ (corresponding author), Univ Tasmania, Inst Marine &amp; Antarctic Studies, Hobart, Tas, Australia.</t>
  </si>
  <si>
    <t>B.J.Richardson@utas.edu.au; emily.m.barritt@kcl.ac.uk; megan.bowman@kcl.ac.uk</t>
  </si>
  <si>
    <t>Barritt, Emily/AAI-4491-2021; Barritt, Emily/JBJ-7623-2023; Richardson, Benjamin/J-7340-2014</t>
  </si>
  <si>
    <t>Richardson, Benjamin/0000-0002-3249-5648; Barritt, Emily/0000-0002-2649-8834</t>
  </si>
  <si>
    <t>2047-1025</t>
  </si>
  <si>
    <t>2047-1033</t>
  </si>
  <si>
    <t>TRANSNATL ENVIRON LA</t>
  </si>
  <si>
    <t>Transnatl. Environ. Law</t>
  </si>
  <si>
    <t>10.1017/S2047102518000195</t>
  </si>
  <si>
    <t>Environmental Studies; Law</t>
  </si>
  <si>
    <t>Environmental Sciences &amp; Ecology; Government &amp; Law</t>
  </si>
  <si>
    <t>HR1CN</t>
  </si>
  <si>
    <t>WOS:000462865800004</t>
  </si>
  <si>
    <t>Wenta, J; McDonald, J; McGee, JS</t>
  </si>
  <si>
    <t>Wenta, Joseph; McDonald, Jan; McGee, Jeffrey S.</t>
  </si>
  <si>
    <t>Enhancing Resilience and Justice in Climate Adaptation Laws</t>
  </si>
  <si>
    <t>Climate change; Impacts; Adaptation; Resilience thinking; Socio-ecological resilience; Environmental justice</t>
  </si>
  <si>
    <t>ENVIRONMENTAL JUSTICE; ADAPTIVE MANAGEMENT; POLITICAL-ECONOMY; SYSTEMS; LEGAL; POLICY; AUSTRALIA; RISK; SUSTAINABILITY; OPPORTUNITIES</t>
  </si>
  <si>
    <t>Resilience thinking - an approach for understanding and managing change - is increasingly central to climate change adaptation law and policy. Yet the influence of adaptation law and policy on the distribution of climate impacts is often overlooked in studies of socio-ecological resilience to climate change. This article demonstrates how environmental justice scholarship helps to address this gap in the literature relating to adaptation law and resilience. Drawing on existing literature, the article identifies four principles to promote resilience and justice through climate adaptation laws. Climate adaptation laws must (i) prepare for, and respond to, change; (ii) address the distributive effects of climate change and adaptation; (iii) promote participation in adaptation processes; and (iv) cross sectors and scales. Each criterion can be implemented in part through existing legal processes, but might also be further supported by incremental law reform. Developing both resilience and justice dimensions will enhance the effectiveness of adaptation laws in addressing climate impacts.</t>
  </si>
  <si>
    <t>[Wenta, Joseph; McDonald, Jan; McGee, Jeffrey S.] Univ Tasmania, Fac Law, Hobart, Tas, Australia; [Wenta, Joseph; McDonald, Jan; McGee, Jeffrey S.] Ctr Marine Socioecol, Hobart, Tas, Australia; [McGee, Jeffrey S.] Inst Marine &amp; Antarctic Studies, Hobart, Tas, Australia</t>
  </si>
  <si>
    <t>Wenta, J (corresponding author), Univ Tasmania, Fac Law, Hobart, Tas, Australia.;Wenta, J (corresponding author), Ctr Marine Socioecol, Hobart, Tas, Australia.</t>
  </si>
  <si>
    <t>Joseph.Wenta@utas.edu.au; Jan.McDonald@utas.edu.au; Jeffrey.McGee@utas.edu.au</t>
  </si>
  <si>
    <t>McGee, Jeffrey s/K-7322-2015; McDonald, Jan/J-7204-2014</t>
  </si>
  <si>
    <t>McDonald, Jan/0000-0002-7953-1458; Wenta, Joseph/0000-0003-0946-6133</t>
  </si>
  <si>
    <t>Australian Government Research Training Program (RTP) Scholarship</t>
  </si>
  <si>
    <t>Australian Government Research Training Program (RTP) Scholarship(Australian GovernmentDepartment of Industry, Innovation and Science)</t>
  </si>
  <si>
    <t>Faculty of Law, University of Tasmania; Centre for Marine Socioecology, Hobart, Tasmania (Australia). Joseph's PhD candidature is supported by an Australian Government Research Training Program (RTP) Scholarship.</t>
  </si>
  <si>
    <t>10.1017/S2047102518000286</t>
  </si>
  <si>
    <t>WOS:000462865800005</t>
  </si>
  <si>
    <t>Brent, K; Tofighi, A</t>
  </si>
  <si>
    <t>Brent, Kerryn; Tofighi, Aylin</t>
  </si>
  <si>
    <t>Climate Engineering and the Law</t>
  </si>
  <si>
    <t>[Brent, Kerryn; Tofighi, Aylin] Univ Tasmania, Fac Law, Hobart, Tas, Australia; [Brent, Kerryn; Tofighi, Aylin] Inst Marine &amp; Antarctic Studies, Hobart, Tas, Australia</t>
  </si>
  <si>
    <t>Brent, K (corresponding author), Univ Tasmania, Fac Law, Hobart, Tas, Australia.;Brent, K (corresponding author), Inst Marine &amp; Antarctic Studies, Hobart, Tas, Australia.</t>
  </si>
  <si>
    <t>Brent, Kerryn Anne/T-9075-2019</t>
  </si>
  <si>
    <t>Brent, Kerryn Anne/0000-0003-0983-2906</t>
  </si>
  <si>
    <t>10.1017/S2047102519000025</t>
  </si>
  <si>
    <t>WOS:000462865800010</t>
  </si>
  <si>
    <t>Aponte, JC; Whitaker, D; Powner, MW; Elsila, JE; Dworkin, JP</t>
  </si>
  <si>
    <t>Aponte, Jose C.; Whitaker, Daniel; Powner, Matthew W.; Elsila, Jamie E.; Dworkin, Jason P.</t>
  </si>
  <si>
    <t>Analyses of Aliphatic Aldehydes and Ketones in Carbonaceous Chondrites</t>
  </si>
  <si>
    <t>ACS EARTH AND SPACE CHEMISTRY</t>
  </si>
  <si>
    <t>Aldehydes; ketones; meteorites; carbonaceous chondrites; Murchison; Astrochemistry; Astrobiology</t>
  </si>
  <si>
    <t>EXTRATERRESTRIAL AMINO-ACIDS; COMPOUND-SPECIFIC CARBON; MONOCARBOXYLIC ACIDS; MURCHISON METEORITE; AQUEOUS ALTERATION; MOLECULAR-DISTRIBUTION; CM; HYDROCARBONS; MURRAY; CI</t>
  </si>
  <si>
    <t>Aliphatic aldehydes and ketones are essential building blocks for the synthesis of more complex organic compounds. Despite their potentially key role as precursors of astrobiologically important molecules, such as amino acids and carboxylic acids, this family of compounds has scarcely been evaluated in carbonaceous chondrites. The paucity of such analyses likely derives from the low concentration of aldehydes and ketones in the meteorites and from the currently used chromatographic methodologies that have not been optimized for meteorite analysis. In this work, we report the development of a novel analytical method to quantify the molecular distribution and compound-specific isotopic analysis of 29 aliphatic aldehydes and ketones. Using this method, we have investigated the molecular distribution and C-13-isotopic composition of aldehydes and ketones in 10 carbonaceous chondrites from the CI, CM, CR, and CV groups. The total concentration of carbonyl compounds ranged from 130 to 1000 nmol g(-1) of meteorite with formaldehyde, acetaldehyde, and acetone being the most abundant species in all investigated samples. The C-13-isotopic values ranged from -67 to +64 parts per thousand and we did not observe clear relationships between C-13-content and molecular weight. Accurately measuring the relative abundances, determining the molecular distribution, and isotopic composition of chondritic organic compounds is central in assessing both their formation chemistry and synthetic relationships.</t>
  </si>
  <si>
    <t>[Aponte, Jose C.; Elsila, Jamie E.; Dworkin, Jason P.] NASA, Solar Syst Explorat Div, Goddard Space Flight Ctr, Code 691, Greenbelt, MD 20771 USA; [Aponte, Jose C.] Catholic Univ Amer, Dept Chem, Washington, DC 20064 USA; [Whitaker, Daniel; Powner, Matthew W.] UCL, Dept Chem, Gordon St, London WC1H 0AJ, England</t>
  </si>
  <si>
    <t>National Aeronautics &amp; Space Administration (NASA); NASA Goddard Space Flight Center; Catholic University of America; University of London; University College London</t>
  </si>
  <si>
    <t>Aponte, JC (corresponding author), NASA, Solar Syst Explorat Div, Goddard Space Flight Ctr, Code 691, Greenbelt, MD 20771 USA.;Aponte, JC (corresponding author), Catholic Univ Amer, Dept Chem, Washington, DC 20064 USA.</t>
  </si>
  <si>
    <t>jose.c.aponte@nasa.gov</t>
  </si>
  <si>
    <t>Dworkin, Jason P./C-9417-2012; Aponte, Jose C./B-9091-2013; Elsila, Jamie/AAM-2654-2020</t>
  </si>
  <si>
    <t>Dworkin, Jason P./0000-0002-3961-8997; Whitaker, Daniel/0000-0002-0218-2341; Powner, Matthew/0000-0002-6368-3190</t>
  </si>
  <si>
    <t>NSF; NASA; NASA's Emerging Worlds Program [14-EW14_2-0010]; Planetary Science Division Internal Scientist Funding Program through the Fundamental Laboratory Research (FLaRe) work package; NASA Astrobiology Institute [13-13NAI7-0032]; Simons Foundation (SCOL award) [302497, 318881]; EPSRC [EP/P020410/1, EP/K005030/1] Funding Source: UKRI</t>
  </si>
  <si>
    <t>NSF(National Science Foundation (NSF)); NASA(National Aeronautics &amp; Space Administration (NASA)); NASA's Emerging Worlds Program; Planetary Science Division Internal Scientist Funding Program through the Fundamental Laboratory Research (FLaRe) work package; NASA Astrobiology Institute; Simons Foundation (SCOL award); EPSRC(UK Research &amp; Innovation (UKRI)Engineering &amp; Physical Sciences Research Council (EPSRC))</t>
  </si>
  <si>
    <t>U.S. Antarctic meteorite samples were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would like to thank T. McCoy, J. Hoskin, and the Smithsonian National Museum of Natural History -Division of Meteorites, Matthieu Gounelle and the curatorial team at the Museum National d'Histoire Naturelle for providing the meteorite samples used in this study, and three anonymous reviewers for insightful criticism and suggestions to improve the manuscript quality. This research was supported by NASA's Emerging Worlds Program (award 14-EW14_2-0010 to J.C.A.), Planetary Science Division Internal Scientist Funding Program through the Fundamental Laboratory Research (FLaRe) work package to J.E.E., the NASA Astrobiology Institute through funding awarded to the Goddard Center for Astrobiology under proposal 13-13NAI7-0032, and grants from the Simons Foundation (SCOL award 302497 to J.P.D. and 318881 to M.W.P.).</t>
  </si>
  <si>
    <t>2472-3452</t>
  </si>
  <si>
    <t>ACS EARTH SPACE CHEM</t>
  </si>
  <si>
    <t>ACS Earth Space Chem.</t>
  </si>
  <si>
    <t>10.1021/acsearthspacechem.9b00006</t>
  </si>
  <si>
    <t>Chemistry, Multidisciplinary; Geochemistry &amp; Geophysics</t>
  </si>
  <si>
    <t>Chemistry; Geochemistry &amp; Geophysics</t>
  </si>
  <si>
    <t>HQ2VY</t>
  </si>
  <si>
    <t>WOS:000462261000015</t>
  </si>
  <si>
    <t>Xue, LY; Ding, X; Pei, RJ; Wan, XQ</t>
  </si>
  <si>
    <t>Xue, Liyuan; Ding, Xuan; Pei, Renjie; Wan, Xiaoqiao</t>
  </si>
  <si>
    <t>Miocene paleoenvironmental evolution based on benthic foraminiferal assemblages in the Lufeng Sag, northern South China Sea</t>
  </si>
  <si>
    <t>ACTA OCEANOLOGICA SINICA</t>
  </si>
  <si>
    <t>South China Sea; Lufeng Sag; Miocene; benthic foraminiferal assemblage; total organic carbon; shelf paleoenvironment</t>
  </si>
  <si>
    <t>SOUTHEASTERN INDIAN-OCEAN; BADENIAN MIDDLE MIOCENE; ORGANIC-CARBON; VIENNA BASIN; WELL LF14; PALEOCEANOGRAPHY; STRATIGRAPHY; ISOTOPES; HISTORY; CLIMATE</t>
  </si>
  <si>
    <t>The Miocene epoch marks the most crucial period during the Cenozoic cooling trend, characterized by the Middle Miocene Climatic Optimum (MMCO) and a series of short-lived cooling events (Miocene isotope events). To understand the paleoenvironmental evolution along the shallow water shelf in the South China Sea during the Miocene, the benthic foraminiferal assemblage and total organic carbon content (TOC) were analyzed at Hole LF 14 located in the Lufeng Sag, northern South China Sea. Three benthic foraminiferal assemblages (e.g., the Uvigerina spp. assemblage, the Cibicides spp. assemblage, and the Cibicidoides spp. assemblage), corresponding to different watermass conditions, were recognized based on Q-mode factor analysis. Early studies suggested that Hole LF14 was deposited under semienclosed bay, middle to outer shelf or even upper bathyal environment during similar to 18.7-4.53 Ma. The dominant Uvigerina spp. assemblage was characterized by low diversity and shallow infaunal to infaunal species, indicating a warm, low-oxygenation and eutrophic conditions since the Early Miocene to MMCO (similar to 18.7-14.24 Ma). An abrupt sea level drop and significant faunal changes were recorded during 14.24-13.41 Ma, suggesting development of the East Antarctic Ice Sheets, which resulted in a drop of sea level and change in benthic foraminiferal assemblages along the shallow water shelf. Beyond the Uvigerina spp. assemblage, the Cibicides spp. assemblage became important during the middle-late Middle Miocene (14.24-11.54 Ma). This assemblage was dominated by epifaunal species with relative high diversity, suggesting high-energy, high-oxygenation and oligotrophic conditions with episodic supply of organic food. The dominant Cibicidoides spp. assemblage with high diversity, indicates a mesotrophic conditions with relative high-oxygen content during the Late Miocene to Pliocene (11.54-4.53 Ma). The appearance and continuous occurrence of Ammonia spp. and Pseudorotalia spp. since 10.02 Ma, may reflect the influence of the Kuroshio Current.</t>
  </si>
  <si>
    <t>[Xue, Liyuan; Ding, Xuan] China Univ Geosci, Sch Ocean Sci, Beijing 100083, Peoples R China; [Pei, Renjie; Wan, Xiaoqiao] China Univ Geosci, Sch Earth Sci &amp; Resources, Beijing 100083, Peoples R China</t>
  </si>
  <si>
    <t>China University of Geosciences; China University of Geosciences</t>
  </si>
  <si>
    <t>Ding, X (corresponding author), China Univ Geosci, Sch Ocean Sci, Beijing 100083, Peoples R China.</t>
  </si>
  <si>
    <t>dingx@cugb.edu.cn</t>
  </si>
  <si>
    <t>PEI, RENJIE/0000-0001-5578-3653</t>
  </si>
  <si>
    <t>National Natural Science Foundation of China [91328201]</t>
  </si>
  <si>
    <t>National Natural Science Foundation of China(National Natural Science Foundation of China (NSFC))</t>
  </si>
  <si>
    <t>The National Natural Science Foundation of China under contract No. 91328201.</t>
  </si>
  <si>
    <t>0253-505X</t>
  </si>
  <si>
    <t>1869-1099</t>
  </si>
  <si>
    <t>ACTA OCEANOL SIN</t>
  </si>
  <si>
    <t>Acta Oceanol. Sin.</t>
  </si>
  <si>
    <t>10.1007/s13131-019-1405-7</t>
  </si>
  <si>
    <t>HQ3DN</t>
  </si>
  <si>
    <t>WOS:000462288400012</t>
  </si>
  <si>
    <t>Campbell, SL; Fox-Hughes, PD; Jones, PJ; Remenyi, TA; Chappell, K; White, CJ; Johnston, FH</t>
  </si>
  <si>
    <t>Campbell, Sharon L.; Fox-Hughes, Paul D.; Jones, Penelope J.; Remenyi, Tomas A.; Chappell, Kate; White, Christopher J.; Johnston, Fay H.</t>
  </si>
  <si>
    <t>Evaluating the Risk of Epidemic Thunderstorm Asthma: Lessons from Australia</t>
  </si>
  <si>
    <t>INTERNATIONAL JOURNAL OF ENVIRONMENTAL RESEARCH AND PUBLIC HEALTH</t>
  </si>
  <si>
    <t>asthma; thunderstorm; public health; risk; hazard</t>
  </si>
  <si>
    <t>CLIMATE-CHANGE; UNITED-STATES; POLLEN; MELBOURNE</t>
  </si>
  <si>
    <t>Epidemic thunderstorm asthma (ETA) is an emerging public health threat in Australia, highlighted by the 2016 event in Melbourne, Victoria, that overwhelmed health services and caused loss of life. However, there is limited understanding of the regional variations in risk. We evaluated the public health risk of ETA in the nearby state of Tasmania by quantifying the frequency of potential ETA episodes and applying a standardized natural disaster risk assessment framework. Using a case-control approach, we analyzed emergency presentations in Tasmania's public hospitals from 2002 to 2017. Cases were defined as days when asthma presentations exceeded four standard deviations from the mean, and controls as days when asthma presentations were less than one standard deviation from the mean. Four controls were randomly selected for each case. Independently, a meteorologist identified the dates of potential high-risk thunderstorm events. No case days coincided with thunderstorms during the study period. ETA was assessed as a very low risk to the Tasmanian population, with these findings informing risk prioritization and resource allocation. This approach may be scaled and applied in other settings to determine local ETA risk. Furthermore, the identification of hazards using this method allows for critical analysis of existing public health systems.</t>
  </si>
  <si>
    <t>[Campbell, Sharon L.; Jones, Penelope J.; Chappell, Kate; Johnston, Fay H.] Univ Tasmania, Menzies Inst Med Res, 1 Liverpool St, Hobart, Tas 7000, Australia; [Campbell, Sharon L.; Johnston, Fay H.] Dept Hlth Tasmania, Publ Hlth Serv, 25 Argyle St, Hobart, Tas 7000, Australia; [Fox-Hughes, Paul D.] Bur Meteorol, GPO Box 727, Hobart, Tas, Australia; [Remenyi, Tomas A.; White, Christopher J.] Univ Tasmania, Antarctic Climate &amp; Ecosyst Cooperat Res Ctr, 20 Castray Esplanade, Hobart, Tas 7000, Australia; [White, Christopher J.] Univ Tasmania, Sch Engn, Private Bag 65, Hobart, Tas 7001, Australia; [White, Christopher J.] Univ Strathclyde, Dept Civil &amp; Environm Engn, James Weir Bldg,75 Montrose St, Glasgow G1 1XJ, Lanark, Scotland</t>
  </si>
  <si>
    <t>University of Tasmania; Menzies Institute for Medical Research; Bureau of Meteorology - Australia; University of Tasmania; Antarctic Climate &amp; Ecosystems Cooperative Research Centre (ACE CRC); University of Tasmania; University of Strathclyde</t>
  </si>
  <si>
    <t>Johnston, FH (corresponding author), Univ Tasmania, Menzies Inst Med Res, 1 Liverpool St, Hobart, Tas 7000, Australia.;Johnston, FH (corresponding author), Dept Hlth Tasmania, Publ Hlth Serv, 25 Argyle St, Hobart, Tas 7000, Australia.</t>
  </si>
  <si>
    <t>sharon.campbell@utas.edu.au; paul.fox-hughes@bom.gov.au; penelope.jones@utas.edu.au; tom.remenyi@utas.edu.au; kate.chappell@utas.edu.au; chris.white@utas.edu.au; fay.johnston@utas.edu.au</t>
  </si>
  <si>
    <t>Chappell, Kate/AAF-9522-2019; Fox-Hughes, Paul D/G-8731-2013</t>
  </si>
  <si>
    <t>Chappell, Kate/0000-0003-0842-6316; Remenyi, Tomas/0000-0002-4145-9323; Jones, Penelope/0000-0002-4880-6711; Johnston, Fay Helena/0000-0002-5150-8678; Campbell, Sharon/0000-0002-9788-5372</t>
  </si>
  <si>
    <t>Menzies Institute for Medical Research (University of Tasmania); Antarctic Climate and Ecosystems Cooperative Research Centre</t>
  </si>
  <si>
    <t>Menzies Institute for Medical Research (University of Tasmania); Antarctic Climate and Ecosystems Cooperative Research Centre(Australian GovernmentDepartment of Industry, Innovation and ScienceCooperative Research Centres (CRC) Programme)</t>
  </si>
  <si>
    <t>This work was funded by the Menzies Institute for Medical Research (University of Tasmania) and the Antarctic Climate and Ecosystems Cooperative Research Centre.</t>
  </si>
  <si>
    <t>1661-7827</t>
  </si>
  <si>
    <t>1660-4601</t>
  </si>
  <si>
    <t>INT J ENV RES PUB HE</t>
  </si>
  <si>
    <t>Int. J. Environ. Res. Public Health</t>
  </si>
  <si>
    <t>MAR 1</t>
  </si>
  <si>
    <t>10.3390/ijerph16050837</t>
  </si>
  <si>
    <t>Environmental Sciences; Public, Environmental &amp; Occupational Health</t>
  </si>
  <si>
    <t>Environmental Sciences &amp; Ecology; Public, Environmental &amp; Occupational Health</t>
  </si>
  <si>
    <t>HQ8HD</t>
  </si>
  <si>
    <t>Green Accepted, Green Submitted, gold, Green Published</t>
  </si>
  <si>
    <t>WOS:000462664200162</t>
  </si>
  <si>
    <t>Hattersley, J; Wilson, AJ; Gifford, RM; Cobb, R; Thake, CD; Reynolds, RM; Woods, DR; Imray, CHE</t>
  </si>
  <si>
    <t>Hattersley, John; Wilson, Adrian J.; Gifford, Robert M.; Cobb, Rin; Thake, C. Doug; Reynolds, Rebecca M.; Woods, David R.; Imray, Christopher H. E.</t>
  </si>
  <si>
    <t>Pre- to postexpedition changes in the energy usage of women undertaking sustained expeditionary polar travel</t>
  </si>
  <si>
    <t>JOURNAL OF APPLIED PHYSIOLOGY</t>
  </si>
  <si>
    <t>Antarctic expedition; body composition; change in energy expenditure and substrate utilization; female</t>
  </si>
  <si>
    <t>DOUBLY LABELED WATER; SKELETAL-MUSCLE; RESPIRATION CHAMBER; EXPENDITURE; METABOLISM; ALTITUDE; HYPOXIA; HUMANS; CARBOHYDRATE; EXERCISE</t>
  </si>
  <si>
    <t>This paper reports the metabolic energy changes in six women who made the first unsupported traverse of Antarctica, covering a distance of 1,700 km in 61 days, hauling sledges weighing up to 80 kg. Pre- and postexpedition, measurements of energy expenditure and substrate utilization were made on all six members of the expedition over a 36-h period in a whole body calorimeter. During the study, subjects were fed an isocaloric diet: 50% carbohydrate, 35% fat, and 15% protein. The experimental protocol contained pre- and postexpedition measurement, including periods of sleep, rest, and three periods of standardized stepping exercise at 80, 100, and 120 steps/min. A median (interquartile range) decrease in the lean and fat weight of the subjects of 1.4 (1.0) and 4.4 (1.8) kg, respectively (P &lt; 0.05) was found, using air-displacement plethysmography. No statistically significant difference was found between pre- and postexpedition values for sleeping or resting metabolic rate, nor for diet-induced thermogenesis. A statistically significant difference was found in energy expenditure between the pre- and postexpedition values for exercise at 100 [4.7 (0.23) vs. 4.4 (0.29), P &lt; 0.05] and 120 [5.7 (0.46) vs. 5.5 (0.43), P &lt; 0.05] steps/min; a difference that disappeared when the metabolic rate values were normalized to body weight. The group was well matched for the measures studied. Whereas a physiological change in weight was seen, the lack of change in metabolic rate measures supports a view that women appropriately nourished and well prepared can undertake polar expeditions with a minimal metabolic energy consequence. NEW &amp; NOTEWORTHY This is the first study on the metabolic energy consequences for women undertaking expeditionary polar travel. The results show that participant selection gave a well-matched group, particularly during exercise. Notwithstanding this, individual differences were observed and explored. The results show that appropriately selected, trained, and nourished women can undertake such expeditions with no change in their metabolic energy requirements during rest or while undertaking moderate exercise over a sustained period of time.</t>
  </si>
  <si>
    <t>[Hattersley, John; Wilson, Adrian J.; Imray, Christopher H. E.] Univ Hosp Coventry &amp; Warwickshire, Coventry Natl Inst Hlth Res, Natl Hlth Serv Trust, Clin Res Facil,Human Metab Res Unit, Coventry, W Midlands, England; [Hattersley, John] Univ Warwick, Sch Engn, Coventry, W Midlands, England; [Wilson, Adrian J.] Univ Warwick, Dept Phys, Coventry, W Midlands, England; [Gifford, Robert M.; Reynolds, Rebecca M.] Univ Edinburgh, Univ British Heart Fdn, Queens Med Res Inst, Ctr Cardiovasc Sci, Edinburgh, Midlothian, Scotland; [Gifford, Robert M.; Woods, David R.] Royal Ctr Def Med, Res &amp; Clin Innovat, Birmingham, W Midlands, England; [Cobb, Rin] Performance Nutr &amp; Dietet Consulting, Birmingham, W Midlands, England; [Thake, C. Doug; Imray, Christopher H. E.] Coventry Univ, Fac Hlth &amp; Life Sci, Coventry, W Midlands, England; [Woods, David R.] Leeds Beckett Univ, Res Inst Sport Phys Act &amp; Leisure, Leeds, W Yorkshire, England; [Woods, David R.] Northumbria &amp; Newcastle Natl Hlth Serv Trusts, Wansbeck Gen &amp; Royal Victoria Infirm, Newcastle Upon Tyne, Tyne &amp; Wear, England; [Imray, Christopher H. E.] Natl Hlth Serv Trust, Dept Vasc &amp; Renal Transplant Surg, Univ Hosp Coventry &amp; Warwickshire, Coventry, W Midlands, England</t>
  </si>
  <si>
    <t>University of Warwick; University of Warwick; University of Warwick; University of Edinburgh; Royal Centre for Defence Medicine; Coventry University; Leeds Beckett University; University of Warwick</t>
  </si>
  <si>
    <t>Hattersley, J (corresponding author), NHS Trust, Univ Hosp Coventry &amp; Warwickshire, Human Metab Res Unit, Clifford Rd, Coventry CV2 2DX, W Midlands, England.</t>
  </si>
  <si>
    <t>john.hattersley@uhcw.nhs.uk</t>
  </si>
  <si>
    <t>Reynolds, Rebecca M/C-3044-2008</t>
  </si>
  <si>
    <t>imray, chris/0000-0001-8451-4102; Thake, C. Douglas/0000-0002-0632-2137</t>
  </si>
  <si>
    <t>AMER PHYSIOLOGICAL SOC</t>
  </si>
  <si>
    <t>Rockville</t>
  </si>
  <si>
    <t>6120 Executive Blvd, Suite 600, Rockville, MD, UNITED STATES</t>
  </si>
  <si>
    <t>8750-7587</t>
  </si>
  <si>
    <t>1522-1601</t>
  </si>
  <si>
    <t>J APPL PHYSIOL</t>
  </si>
  <si>
    <t>J. Appl. Physiol.</t>
  </si>
  <si>
    <t>10.1152/japplphysiol.00792.2018</t>
  </si>
  <si>
    <t>Physiology; Sport Sciences</t>
  </si>
  <si>
    <t>HQ7BL</t>
  </si>
  <si>
    <t>WOS:000462574300015</t>
  </si>
  <si>
    <t>Panasiuk, A; Jazdzewska, A; Slomska, A; Irzycka, M; Wawrzynek, J</t>
  </si>
  <si>
    <t>Panasiuk, Anna; Jazdzewska, Anna; Slomska, Angelika; Irzycka, Marta; Wawrzynek, Justyna</t>
  </si>
  <si>
    <t>Genetic identity of two physonect siphonophores from Southern Ocean waters - the enigmatic taxon Mica micula and Pyrostephos vanhoeffeni</t>
  </si>
  <si>
    <t>JOURNAL OF THE MARINE BIOLOGICAL ASSOCIATION OF THE UNITED KINGDOM</t>
  </si>
  <si>
    <t>Siphonophora (Pyrostephos vanhoeffeni; Mica micula); Southern Ocean; genetic identity</t>
  </si>
  <si>
    <t>OXIDASE SUBUNIT-I; PELAGIC CNIDARIANS; PLANKTONIC CNIDARIANS; DISTRIBUTION PATTERNS; VERTICAL-DISTRIBUTION; COMMUNITY STRUCTURE; WEDDELL SEA; BIODIVERSITY; PRIMERS; MEDUSAE</t>
  </si>
  <si>
    <t>Based on some coincident morphological characters and distribution, it was believed for a long time that Mica micula was the post-larval stage of a species of Bargmannia, a genus having a very wide geographic distribution. Recent studies, however, have shown that it is much more likely to be the post-larval form of the physonect Pyrostephos vanhoeffeni, which is very common in both Antarctic and sub-Antarctic waters. Until now, molecular evidence to support this theory has been lacking. In the present study 34 nectophores of P. vanhoeffeni and four colonies of M. micula collected from three areas in the Southern Ocean were analysed for the 16S rRNA gene. Five haplotypes were identified, which formed two clearly distinct lineages. Three haplotypes were found exclusively in Admiralty Bay and were shared between individuals of both studied taxa, confirming that M. micula is indeed the post-larval stage of P. vanhoeffeni. Two additional haplotypes were found in one open ocean locality and in Admiralty Bay.</t>
  </si>
  <si>
    <t>[Panasiuk, Anna; Slomska, Angelika; Wawrzynek, Justyna] Univ Gdansk, Fac Oceanog &amp; Geog, Inst Oceanog, Dept Marine Plankton Res, Av JM Pilsudskiego 46, PL-81378 Gdynia, Poland; [Jazdzewska, Anna; Irzycka, Marta] Univ Lodz, Fac Biol &amp; Environm Protect, Dept Invertebrate Zool &amp; Hydrobiol, 12-16 Banacha St, PL-90237 Lodz, Poland</t>
  </si>
  <si>
    <t>Fahrenheit Universities; University of Gdansk; University of Lodz</t>
  </si>
  <si>
    <t>Panasiuk, A (corresponding author), Univ Gdansk, Fac Oceanog &amp; Geog, Inst Oceanog, Dept Marine Plankton Res, Av JM Pilsudskiego 46, PL-81378 Gdynia, Poland.</t>
  </si>
  <si>
    <t>oceapc@ug.edu.pl</t>
  </si>
  <si>
    <t>Jazdzewska, Anna/AAK-4697-2020; Panasiuk, Anna/HDO-1195-2022</t>
  </si>
  <si>
    <t>Jazdzewska, Anna/0000-0003-2529-0641; Slomska, Angelika/0000-0001-6670-0040; Panasiuk, Anna/0000-0002-1008-2922</t>
  </si>
  <si>
    <t>Ministry of Science and Higher Education (Poland) [N306 445 638]; University of Lodz</t>
  </si>
  <si>
    <t>Ministry of Science and Higher Education (Poland)(Ministry of Science and Higher Education, Poland); University of Lodz</t>
  </si>
  <si>
    <t>This work was partially supported by research grant No. N306 445 638 (2010-2012) awarded to Institute of Oceanography (University of Gdansk) by Ministry of Science and Higher Education (Poland), and from the internal funds of the University of Lodz.</t>
  </si>
  <si>
    <t>0025-3154</t>
  </si>
  <si>
    <t>1469-7769</t>
  </si>
  <si>
    <t>J MAR BIOL ASSOC UK</t>
  </si>
  <si>
    <t>J. Mar. Biol. Assoc. U.K.</t>
  </si>
  <si>
    <t>10.1017/S0025315418000218</t>
  </si>
  <si>
    <t>HQ6NH</t>
  </si>
  <si>
    <t>WOS:000462532100005</t>
  </si>
  <si>
    <t>Zhang, L; Yao, YB; Peng, WJ; Shan, LL; He, YL; Kong, J</t>
  </si>
  <si>
    <t>Zhang, Liang; Yao, Yibin; Peng, Wenjie; Shan, Lulu; He, Yulin; Kong, Jian</t>
  </si>
  <si>
    <t>Real-Time Global Ionospheric Map and Its Application in Single-Frequency Positioning</t>
  </si>
  <si>
    <t>SENSORS</t>
  </si>
  <si>
    <t>real time; ionospheric model; global ionospheric map; DCB; slant ionospheric delay; PPP; RT-SF-PPP</t>
  </si>
  <si>
    <t>PRECISE ORBITS</t>
  </si>
  <si>
    <t>The prevalence of real-time, low-cost, single-frequency, decimeter-level positioning has increased with the development of global navigation satellite systems (GNSSs). Ionospheric delay accounts for most errors in real-time single-frequency GNSS positioning. To eliminate ionospheric interference in real-time single-frequency precise point positioning (RT-SF-PPP), global ionospheric vertical total electron content (VTEC) product is designed in the next stage of the International GNSS Service (IGS) real-time service (RTS). In this study, real-time generation of a global ionospheric map (GIM) based on IGS RTS is proposed and assessed. There are three crucial steps in the process of generating a real-time global ionospheric map (RTGIM): estimating station differential code bias (DCB) using the precise point positioning (PPP) method, deriving slant total electron content (STEC) from PPP with raw observations, and modeling global vertical total electron content (VTEC). Experiments were carried out to validate the algorithm's effectiveness. First, one month's data from 16 globally distributed IGS stations were used to validate the performance of DCB estimation with the PPP method. Second, 30 IGS stations were used to verify the accuracy of static PPP with raw observations. Third, the modeling of residuals was assessed in high and quiet ionospheric activity periods. Afterwards, the quality of RTGIM products was assessed from two aspects: (1) comparison with the Center for Orbit Determination in Europe (CODE) global ionospheric map (GIM) products and (2) determination of the performance of RT-SF-PPP with the RTGIM. Experimental results show that DCB estimation using the PPP method can realize an average accuracy of 0.2 ns; static PPP with raw observations can achieve an accuracy of 0.7, 1.2, and 2.1 cm in the north, east, and up components, respectively. The average standard deviations (STDs) of the model residuals are 2.07 and 2.17 TEC units (TECU) for moderate and high ionospheric activity periods. Moreover, the average root-mean-square (RMS) error of RTGIM products is 2.4 TECU for the one-month moderate ionospheric period. Nevertheless, for the high ionospheric period, the RMS is greater than the RMS in the moderate period. A sub-meter-level horizontal accuracy and meter-level vertical accuracy can be achieved when the RTGIM is employed in RT-SF-PPP.</t>
  </si>
  <si>
    <t>[Zhang, Liang; Yao, Yibin; Peng, Wenjie; Shan, Lulu; He, Yulin] Wuhan Univ, Sch Geodesy &amp; Geomat, 129 Luoyu Rd, Wuhan 430079, Hubei, Peoples R China; [Yao, Yibin] Wuhan Univ, Minist Educ, Key Lab Geospace Environm &amp; Geodesy, 129 Luoyu Rd, Wuhan 430079, Hubei, Peoples R China; [Kong, Jian] Wuhan Univ, Chinese Antarctic Ctr Surveying &amp; Mapping, 129 Luoyu Rd, Wuhan 430079, Hubei, Peoples R China</t>
  </si>
  <si>
    <t>Wuhan University; Wuhan University; Wuhan University</t>
  </si>
  <si>
    <t>Yao, YB (corresponding author), Wuhan Univ, Sch Geodesy &amp; Geomat, 129 Luoyu Rd, Wuhan 430079, Hubei, Peoples R China.;Yao, YB (corresponding author), Wuhan Univ, Minist Educ, Key Lab Geospace Environm &amp; Geodesy, 129 Luoyu Rd, Wuhan 430079, Hubei, Peoples R China.</t>
  </si>
  <si>
    <t>qgzhliang@whu.edu.cn; ybyao@whu.edu.cn; wjpeng@whu.edu.cn; llshan@whu.edu.cn; ylhe@whu.edu.cn; jkong@whu.edu.cn</t>
  </si>
  <si>
    <t>Yao, Yibin/AAM-9653-2020</t>
  </si>
  <si>
    <t>Yao, Yibin/0000-0002-7723-4601; Zhang, Liang/0000-0003-3062-6867; Shan, Lulu/0000-0002-8772-4233</t>
  </si>
  <si>
    <t>National Natural Science Foundation of China [41574028]</t>
  </si>
  <si>
    <t>This research was funded by the National Natural Science Foundation of China, grant number 41574028.</t>
  </si>
  <si>
    <t>1424-8220</t>
  </si>
  <si>
    <t>SENSORS-BASEL</t>
  </si>
  <si>
    <t>Sensors</t>
  </si>
  <si>
    <t>10.3390/s19051138</t>
  </si>
  <si>
    <t>Chemistry, Analytical; Engineering, Electrical &amp; Electronic; Instruments &amp; Instrumentation</t>
  </si>
  <si>
    <t>Chemistry; Engineering; Instruments &amp; Instrumentation</t>
  </si>
  <si>
    <t>HQ6PO</t>
  </si>
  <si>
    <t>WOS:000462540400157</t>
  </si>
  <si>
    <t>Rao, J; Yu, YY; Guo, D; Shi, CH; Chen, D; Hu, DZ</t>
  </si>
  <si>
    <t>Rao, Jian; Yu, YueYue; Guo, Dong; Shi, ChunHua; Chen, Dan; Hu, DingZhu</t>
  </si>
  <si>
    <t>Evaluating the Brewer-Dobson circulation and its responses to ENSO, QBO, and the solar cycle in different reanalyses</t>
  </si>
  <si>
    <t>EARTH AND PLANETARY PHYSICS</t>
  </si>
  <si>
    <t>residual mean meridional stream function (RMMSF); Brewer-Dobson circulation (BDC); El Nino-Southern Oscillation (ENSO); Quasi-Biennial Oscillation (QBO)</t>
  </si>
  <si>
    <t>QUASI-BIENNIAL OSCILLATION; MEAN-MERIDIONAL CIRCULATION; ANTARCTIC OZONE HOLE; MIDDLE ATMOSPHERE; DOWNWARD CONTROL; STRATOSPHERE; NONLINEARITY; TROPOSPHERE; ASYMMETRY; MECHANISM</t>
  </si>
  <si>
    <t>This study compares the climatology and long-term trend of northern winter stratospheric residual mean meridional circulation (RMMC), as well as its responses to El Nino-Southern Oscillation (ENSO), stratospheric Quasi Biennial Oscillation (QBO), and solar cycle in ten reanalyses and a stratosphere-resolving model, CESM1-WACCM. The RMMC is a large-scale meridional circulation cell in the stratosphere, usually referred to as the estimate of the Brewer Dobson circulation (BDC). The distribution of the BDC is generally consistent among multiple reanalyses except that the NOAA twentieth century reanalysis (20RC) largely underestimates it. Most reanalyses (except ERA40 and ERA-Interim) show a strengthening trend for the BDC during 1979-2010. All reanalyses and CESM1-WACCM consistently reveal that the deep branch of the BDC is significantly enhanced in El Nino winters as more waves from the troposphere dissipate in the stratospheric polar vortex region. A secondary circulation cell is coupled to the temperature anomalies below the QBO easterly center at 50 hPa with tropical upwelling/cooling and midlatitude downwelling/warming, and similar secondary circulation cells also appear between 50-10 hPa and above 10 hPa to balance the temperature anomalies. The direct BDC response to QBO in the upper stratosphere creates a barrier near 30 degrees N to prevent waves from propagating to midlatitudes, contributing to the weakening of the polar vortex. The shallow branch of the BDC in the lower stratosphere is intensified during solar minima, and the downwelling warms the Arctic lower stratosphere. The stratospheric responses to QBO and solar cycle in most reanalyses are generally consistent except in the two 20CRs.</t>
  </si>
  <si>
    <t>[Rao, Jian; Yu, YueYue; Guo, Dong; Shi, ChunHua; Chen, Dan; Hu, DingZhu] Nanjing Univ Informat Sci &amp; Technol, CIC FEMD, Minist Educ KLME, Joint Int Res Lab Climate &amp; Environm Change ILCEC, Nanjing 210044, Jiangsu, Peoples R China; [Rao, Jian] Chinese Acad Sci, Inst Atmospher Phys, State Key Lab Numer Modeling Atmospher Sci &amp; Geop, Beijing 100029, Peoples R China; [Rao, Jian] Hebrew Univ Jerusalem, Fredy &amp; Nadine Herrmann Inst Earth Sci, Edmond J Safra Campus, IL-91904 Jerusalem, Israel</t>
  </si>
  <si>
    <t>Nanjing University of Information Science &amp; Technology; Chinese Academy of Sciences; Institute of Atmospheric Physics, CAS; Hebrew University of Jerusalem</t>
  </si>
  <si>
    <t>Rao, J (corresponding author), Nanjing Univ Informat Sci &amp; Technol, CIC FEMD, Minist Educ KLME, Joint Int Res Lab Climate &amp; Environm Change ILCEC, Nanjing 210044, Jiangsu, Peoples R China.;Rao, J (corresponding author), Chinese Acad Sci, Inst Atmospher Phys, State Key Lab Numer Modeling Atmospher Sci &amp; Geop, Beijing 100029, Peoples R China.</t>
  </si>
  <si>
    <t>raojian@nuist.edu.cn</t>
  </si>
  <si>
    <t>Rao, Jian/O-3392-2019</t>
  </si>
  <si>
    <t>Rao, Jian/0000-0001-5030-0288</t>
  </si>
  <si>
    <t>National Natural Science Foundation of China [41705024, 41875048]; National Key R&amp;D Program of China [2016YFA0602104]; Planning and Budgeting Committee of the Council for Higher Education in Israel; Startup Foundation for Introducing Talent of NUIST [2016r060]</t>
  </si>
  <si>
    <t>National Natural Science Foundation of China(National Natural Science Foundation of China (NSFC)); National Key R&amp;D Program of China; Planning and Budgeting Committee of the Council for Higher Education in Israel; Startup Foundation for Introducing Talent of NUIST</t>
  </si>
  <si>
    <t>We would like to thank the editor T. J. Zhou and two anonymous reviewers, whose comments improve the presentation of the paper. This work was jointly supported by grants from the National Natural Science Foundation of China (41705024, 41875048), the National Key R&amp;D Program of China (2016YFA0602104), the Planning and Budgeting Committee of the Council for Higher Education in Israel, and the Startup Foundation for Introducing Talent of NUIST (2016r060). We acknowledge the NOAA, NCEP, ECMWF, JMA, and NASA for providing the multiple reanalyses.</t>
  </si>
  <si>
    <t>2096-3955</t>
  </si>
  <si>
    <t>EARTH PLANET PHYS</t>
  </si>
  <si>
    <t>Earth Planet. Phys.</t>
  </si>
  <si>
    <t>10.26464/epp2019012</t>
  </si>
  <si>
    <t>HQ1XA</t>
  </si>
  <si>
    <t>WOS:000462191700010</t>
  </si>
  <si>
    <t>Dumas, V</t>
  </si>
  <si>
    <t>Dumas, Veronique</t>
  </si>
  <si>
    <t>Antarctic. Expeditions in unknown land</t>
  </si>
  <si>
    <t>HISTORIA</t>
  </si>
  <si>
    <t>French</t>
  </si>
  <si>
    <t>EDITIONS TALLANDIER</t>
  </si>
  <si>
    <t>PARIS</t>
  </si>
  <si>
    <t>74 AVENUE DE MAINE, 75014 PARIS, FRANCE</t>
  </si>
  <si>
    <t>1270-0835</t>
  </si>
  <si>
    <t>Historia</t>
  </si>
  <si>
    <t>History</t>
  </si>
  <si>
    <t>HQ2RZ</t>
  </si>
  <si>
    <t>WOS:000462250700055</t>
  </si>
  <si>
    <t>Henschke, N; Pakhornov, EA</t>
  </si>
  <si>
    <t>Henschke, Natasha; Pakhornov, Evgeny A.</t>
  </si>
  <si>
    <t>Latitudinal variations in Salpa thompsoni reproductive fitness</t>
  </si>
  <si>
    <t>LIMNOLOGY AND OCEANOGRAPHY</t>
  </si>
  <si>
    <t>SEA-ICE EXTENT; SOUTHERN-OCEAN; AUSTRAL SUMMER; ATLANTIC SECTOR; FECAL PELLETS; LAZAREV SEA; ZOOPLANKTON; ECOLOGY; DECLINE; VARIABILITY</t>
  </si>
  <si>
    <t>Salpa thompsoni is a major grazer that plays a significant and disproportionate role in the Southern Ocean biogeochemical cycle. It occurs in higher numbers in the warmer mid-latitude waters of the Southern Ocean. In recent decades, salp populations shifted significantly southward intruding into areas generally dominated by Antarctic krill. It is unclear whether salps can survive in high latitude waters because of their hypothesized negative reproductive response to low temperatures and scarcity of food. To explore how environmental conditions impact S. thompsoni reproductive fitness, we examined a long-term (1993-2013), cross-latitudinal dataset of S. thompsoni population demographics in the Atlantic sector of the Southern Ocean. Observations cover over 25 degrees of latitude, from just south of the Subtropical Convergence to the Antarctic continent. S. thompsoni populations were strongly driven by temperature with higher abundances observed at temperatures between 3 degrees C and 5 degrees C. Occasionally, dense and mature populations of S. thompsoni occurred at high latitudes during summer, declining in density by autumn, which was accompanied by significant increases in the appearance of failed embryos. The proportion of failed embryos was significantly correlated with decreasing temperature and Chl a, indicating the importance of these parameters in autumn and high latitude population collapses. The successful development and release of an embryo is a critical factor determining the persistence of S. thompsoni populations. Blastozooid bud release occurred continuously from spring to autumn, and may be a way S. thompsoni populations mitigate against the sensitivity of the blastozooid's reproductive fitness to high-Antarctic conditions.</t>
  </si>
  <si>
    <t>[Henschke, Natasha; Pakhornov, Evgeny A.] Univ British Columbia, Dept Earth Ocean &amp; Atmospher Sci, Vancouver, BC, Canada; [Pakhornov, Evgeny A.] Univ British Columbia, Inst Oceans &amp; Fisheries, Vancouver, BC, Canada; [Pakhornov, Evgeny A.] Hakai Inst, Heriot Bay, BC, Canada</t>
  </si>
  <si>
    <t>University of British Columbia; University of British Columbia; Hakai Institute</t>
  </si>
  <si>
    <t>Satellite Chl a data was produced by the Ocean Biology Processing Group (OBPG), maintained by NASA Ocean Biology Distributed Active Archive Center (OB.DAAC), Goddard Space Flight Center, Greenbelt, Maryland. This work was supported by the University of British Columbia grant to EAP.</t>
  </si>
  <si>
    <t>0024-3590</t>
  </si>
  <si>
    <t>1939-5590</t>
  </si>
  <si>
    <t>LIMNOL OCEANOGR</t>
  </si>
  <si>
    <t>Limnol. Oceanogr.</t>
  </si>
  <si>
    <t>10.1002/lno.11061</t>
  </si>
  <si>
    <t>HP7JZ</t>
  </si>
  <si>
    <t>WOS:000461865500011</t>
  </si>
  <si>
    <t>Verfuss, UK; Aniceto, AS; Harris, DV; Gillespie, D; Fielding, S; Jiménez, G; Johnston, P; Sinclair, RR; Sivertsen, A; Solbo, SA; Storvold, R; Biuw, M; Wyatt, R</t>
  </si>
  <si>
    <t>Verfuss, Ursula K.; Aniceto, Ana Sofia; Harris, Danielle V.; Gillespie, Douglas; Fielding, Sophie; Jimenez, Guillermo; Johnston, Phil; Sinclair, Rachael R.; Sivertsen, Agnar; Solbo, Stian A.; Storvold, Rune; Biuw, Martin; Wyatt, Roy</t>
  </si>
  <si>
    <t>A review of unmanned vehicles for the detection and monitoring of marine fauna</t>
  </si>
  <si>
    <t>Unmanned vehicles; Marine animal monitoring; Underwater sound; Environmental impact assessment; Offshore industry</t>
  </si>
  <si>
    <t>AUTONOMOUS UNDERWATER VEHICLE; GREAT-BARRIER-REEF; ACOUSTIC DETECTIONS; ATLANTIC COD; TRACKING; DENSITY; OCEAN; CLASSIFICATION; THRESHOLDS; AVOIDANCE</t>
  </si>
  <si>
    <t>Recent technology developments have turned present-day unmanned systems into realistic alternatives to traditional marine animal survey methods. Benefits include longer survey durations, improved mission safety, mission repeatability, and reduced operational costs. We review the present status of unmanned vehicles suitable for marine animal monitoring conducted in relation to industrial offshore activities, highlighting which systems are suitable for three main monitoring types: population, mitigation, and focal animal monitoring. We describe the technical requirements for each of these monitoring types and discuss the operational aspects. The selection of a specific sensor/platform combination depends critically on the target species and its behaviour. The technical specifications of unmanned platforms and sensors also need to be selected based on the surrounding conditions of a particular offshore project, such as the area of interest, the survey requirements and operational constraints.</t>
  </si>
  <si>
    <t>[Verfuss, Ursula K.; Sinclair, Rachael R.] SMRU Consulting New Technol Ctr, St Andrews KY16 9SR, Fife, Scotland; [Aniceto, Ana Sofia; Biuw, Martin] Akvaplan Niva AS, Fram Ctr, POB 6606, N-9296 Tromso, Norway; [Harris, Danielle V.] Univ St Andrews, Ctr Res Ecol &amp; Environm Modelling Observ, St Andrews KY16 9LZ, Fife, Scotland; [Gillespie, Douglas] Univ St Andrews, Scottish Oceans Inst, Sea Mammal Res Unit, St Andrews KY16 8LB, Fife, Scotland; [Fielding, Sophie] British Antarctic Survey, Madingley Rd, Cambridge CB3 0ET, England; [Jimenez, Guillermo; Johnston, Phil; Wyatt, Roy] Seiche Ltd, Bradworthy Ind Estate,Langdon Rd, Holsworthy EX22 7SF, Devon, England; [Sivertsen, Agnar; Solbo, Stian A.; Storvold, Rune] Norut Northern Res Inst, Postboks 6434 Forskningspk, N-9294 Tromso, Norway; [Aniceto, Ana Sofia] UiT Arctic Univ, ARCEx Res Ctr Arctic Petr Explorat, Dept Geol, Dramsveien 201,Postboks 6050 Langnes, N-9037 Tromso, Norway; [Biuw, Martin] Inst Marine Res, Tromso Dept, UK Sykehusveien 23,POB 6404, N-9294 Tromso, Norway</t>
  </si>
  <si>
    <t>Akvaplan-niva; University of St Andrews; University of St Andrews; UK Research &amp; Innovation (UKRI); Natural Environment Research Council (NERC); NERC British Antarctic Survey; UiT The Arctic University of Tromso; Institute of Marine Research - Norway</t>
  </si>
  <si>
    <t>Verfuss, UK (corresponding author), SMRU Consulting New Technol Ctr, St Andrews KY16 9SR, Fife, Scotland.</t>
  </si>
  <si>
    <t>ukv@smruconsulting.com</t>
  </si>
  <si>
    <t>Aniceto, Ana Sofia/AAO-3022-2020; Fielding, Sophie/E-5137-2012; Solbø, Stian/G-7779-2019; Biuw, Martin/AAF-9895-2021; Verfuss, Ursula/ABA-2701-2021; Aniceto, Ana Sofia/GPX-0500-2022; Aniceto, Ana Paula Paglione/GYU-3333-2022</t>
  </si>
  <si>
    <t>Solbø, Stian/0000-0002-4043-1724; Aniceto, Ana Sofia/0000-0001-5101-9375; Biuw, Martin/0000-0001-8051-3399</t>
  </si>
  <si>
    <t>Joint Industry Programme on E&amp;P Sound and Marine Life - Phase III; Research Council of Norway [228107]; NERC [bas0100035] Funding Source: UKRI</t>
  </si>
  <si>
    <t>Joint Industry Programme on E&amp;P Sound and Marine Life - Phase III; Research Council of Norway(Research Council of Norway); NERC(UK Research &amp; Innovation (UKRI)Natural Environment Research Council (NERC))</t>
  </si>
  <si>
    <t>This work was supported by the Joint Industry Programme on E&amp;P Sound and Marine Life - Phase III. We would also like to thank the Research Centre for Arctic Exploration (ARCEx), funded by the Research Council of Norway (project #228107). We thank all those companies and individuals who supported this review with technical details. We acknowledge Dr. JoLynn Carroll for synthesising and restructuring an earlier version of the manuscript. We would also like to acknowledge the anonymous reviewer for their valuable comments leading to a great improvement of the manuscript.</t>
  </si>
  <si>
    <t>10.1016/j.marpolbul.2019.01.009</t>
  </si>
  <si>
    <t>HP1CF</t>
  </si>
  <si>
    <t>WOS:000461402300003</t>
  </si>
  <si>
    <t>Espejo, W; Padilha, JD; Gonçalves, RA; Dorneles, PR; Barra, R; Oliveira, D; Malm, O; Chiang, G; Celis, JE</t>
  </si>
  <si>
    <t>Espejo, Winfred; Padilha, Janeide de A.; Goncalves, Rodrigo A.; Dorneles, Paulo R.; Barra, Ricardo; Oliveira, Douglas; Malm, Olaf; Chiang, Gustavo; Celis, Jose E.</t>
  </si>
  <si>
    <t>Accumulation and potential sources of lead in marine organisms from coastal ecosystems of the Chilean Patagonia and Antarctic Peninsula area</t>
  </si>
  <si>
    <t>Lead isotope; Heavy metals; Macroinvertebrate; Fish; Antarctica; Patagonia</t>
  </si>
  <si>
    <t>PEARL RIVER DELTA; HEAVY-METALS; PYGOSCELIS-ADELIAE; STABLE-ISOTOPES; TRACE-ELEMENTS; PB; BIOAVAILABILITY; CONTAMINATION; CETACEANS; POLLUTION</t>
  </si>
  <si>
    <t>Environmental concentrations of Pb have been increased due to anthropogenic activities, which have provoked the released of this element to the environment in large amounts. To understand how Pb behaves in remote southern marine ecosystems, we measured Pb concentrations and isotope ratios in biota from coastal marine ecosystems of the Chilean Patagonia and the Antarctic Peninsula area. Lead concentrations in the aquatic organisms ranged from 0.02 to 1.19 mg kg(-1) d.w. In Patagonia, higher Pb levels were found in fish than in invertebrates (crab, shrimp, porifera, limpet and shellfish). In comparison with the baseline reference values from other parts of the world, fishes exhibited lower Pb levels. The results of Pb isotopic compositions indicated that the bioaccumulation of Pb in marine organisms come from different anthropogenic sources. These Pb levels might be useful for further studies that allow a deeper evaluation of sources for Pb contamination in these remote ecosystems.</t>
  </si>
  <si>
    <t>[Espejo, Winfred] Univ Andres Bello, Ecol &amp; Biodivers Dept, Fac Ciencias Vida, Santiago, Chile; [Padilha, Janeide de A.; Dorneles, Paulo R.; Malm, Olaf] Univ Fed Rio de Janeiro, Radioisotope Lab, Biophys Inst, Rio De Janeiro, Brazil; [Goncalves, Rodrigo A.; Oliveira, Douglas] Pontifical Catholic Univ Rio de Janeiro, Chem Dept, Rio De Janeiro, Brazil; [Barra, Ricardo] Univ Concepcion, Fac Ciencias Ambientales, Dept Aquat Syst, Casilla 160-C, Concepcion, Chile; [Barra, Ricardo] Univ Concepcion, Ctr EULA Chile, Casilla 160-C, Concepcion, Chile; [Espejo, Winfred; Chiang, Gustavo] Melimoyu Ecosyst Res Inst, Lo Beltran 2347 Vitacura, Santiago, Chile; [Celis, Jose E.] Univ Concepcion, Fac Ciencias Vet, Dept Anim Sci, Casilla 537, Chillan, Chile</t>
  </si>
  <si>
    <t>Universidad Andres Bello; Universidade Federal do Rio de Janeiro; Pontificia Universidade Catolica do Rio de Janeiro; Universidad de Concepcion; Universidad de Concepcion; Universidad de Concepcion</t>
  </si>
  <si>
    <t>Celis, JE (corresponding author), Univ Concepcion, Fac Ciencias Vet, Dept Anim Sci, Casilla 537, Chillan, Chile.</t>
  </si>
  <si>
    <t>jcelis@udec.cl</t>
  </si>
  <si>
    <t>Chiang, Gustavo/ABA-9349-2020; CELIS, JOSE/AAP-6048-2021; de Assis Padilha, Janeide/S-1115-2016; Barra, Ricardo O/AAE-7295-2019; Barra, Ricardo O./A-5543-2009; Dorneles, Paulo R/M-2049-2013; Malm, Olaf/H-1724-2012; Espejo, Winfred/AAO-7150-2020</t>
  </si>
  <si>
    <t>de Assis Padilha, Janeide/0000-0002-1901-5822; Barra, Ricardo O/0000-0002-1567-7722; Barra, Ricardo O./0000-0002-1567-7722; Dorneles, Paulo/0000-0003-0296-739X; Malm, Olaf/0000-0002-4116-7160; Espejo, Winfred/0000-0002-3753-2006; CELIS, JOSE E./0000-0002-2458-1239; Chiang, Gustavo/0000-0003-4504-355X</t>
  </si>
  <si>
    <t>Universidad de Concepcion (Chile) [VRID 216.153.025-1.0]; [INACH T31-11]; [FONDECYT 1161504]; [INACH RG01-18]</t>
  </si>
  <si>
    <t>Universidad de Concepcion (Chile); ; ;</t>
  </si>
  <si>
    <t>The authors would like to thank to the personnel of the laboratory of the Chemical Department of the Pontificia Universidade Catolica do Rio de Janeiro (Brazil) where samples were analyzed. This work was supported by projects INACH T31-11 and FONDECYT 1161504 (granted to G. Chiang), INACH RG01-18 (J. Celis) and VRID 216.153.025-1.0 of the Universidad de Concepcion (Chile).</t>
  </si>
  <si>
    <t>10.1016/j.marpolbul.2019.01.026</t>
  </si>
  <si>
    <t>WOS:000461402300008</t>
  </si>
  <si>
    <t>Bornman, JF; Barnes, PW; Robson, TM; Robinson, SA; Jansen, MAK; Ballaré, CL; Flint, SD</t>
  </si>
  <si>
    <t>Bornman, Janet F.; Barnes, Paul W.; Robson, T. Matthew; Robinson, Sharon A.; Jansen, Marcel A. K.; Ballare, Carlos L.; Flint, Stephan D.</t>
  </si>
  <si>
    <t>Linkages between stratospheric ozone, UV radiation and climate change and their implications for terrestrial ecosystems</t>
  </si>
  <si>
    <t>PHOTOCHEMICAL &amp; PHOTOBIOLOGICAL SCIENCES</t>
  </si>
  <si>
    <t>ULTRAVIOLET-B RADIATION; SOUTHERN ANNULAR MODE; TIERRA-DEL-FUEGO; LITTER DECOMPOSITION; ANTARCTIC PENINSULA; PLANT LITTER; GENE-EXPRESSION; CV TEMPRANILLO; WATER-DEFICIT; ELEVATED CO2</t>
  </si>
  <si>
    <t>Exposure of plants and animals to ultraviolet-B radiation (UV-B; 280-315 nm) is modified by stratospheric ozone dynamics and climate change. Even though stabilisation and projected recovery of stratospheric ozone is expected to curtail future increases in UV-B radiation at the Earth's surface, on-going changes in climate are increasingly exposing plants and animals to novel combinations of UV-B radiation and other climate change factors (e.g., ultraviolet-A and visible radiation, water availability, temperature and elevated carbon dioxide). Climate change is also shifting vegetation cover, geographic ranges of species, and seasonal timing of development, which further modifies exposure to UV-B radiation. Since our last assessment, there has been increased understanding of the underlying mechanisms by which plants perceive UV-B radiation, eliciting changes in growth, development and tolerances of abiotic and biotic factors. However, major questions remain on how UV-B radiation is interacting with other climate change factors to modify the production and quality of crops, as well as important ecosystem processes such as plant and animal competition, pest-pathogen interactions, and the decomposition of dead plant matter (litter). In addition, stratospheric ozone depletion is directly contributing to climate change in the southern hemisphere, such that terrestrial ecosystems in this region are being exposed to altered patterns of precipitation, temperature and fire regimes as well as UV-B radiation. These ozone-driven changes in climate have been implicated in both increases and reductions in the growth, survival and reproduction of plants and animals in Antarctica, South America and New Zealand. In this assessment, we summarise advances in our knowledge of these and other linkages and effects, and identify uncertainties and knowledge gaps that limit our ability to fully evaluate the ecological consequences of these environmental changes on terrestrial ecosystems.</t>
  </si>
  <si>
    <t>[Bornman, Janet F.] Murdoch Univ, Coll Sci Hlth Engn &amp; Educ, Perth, WA, Australia; [Barnes, Paul W.] Loyola Univ, Dept Biol Sci, New Orleans, LA 70118 USA; [Barnes, Paul W.] Loyola Univ, Environm Program, New Orleans, LA 70118 USA; [Robson, T. Matthew] Univ Helsinki, Viikki Plant Sci Ctr, Res Programme Organismal &amp; Evolutionary Biol, Helsinki, Finland; [Robinson, Sharon A.] Univ Wollongong, Sch Earth Atmosphere &amp; Life Sci, Ctr Sustainable Ecosyst Solut, Wollongong, NSW 2522, Australia; [Robinson, Sharon A.] Univ Wollongong, Global Challenges Program, Wollongong, NSW 2522, Australia; [Jansen, Marcel A. K.] UCC, Sch Biol Earth &amp; Environm Sci, Plant Ecophysiol Grp, Cork, Ireland; [Ballare, Carlos L.] Univ Buenos Aires, Fac Agron, Buenos Aires, DF, Argentina; [Ballare, Carlos L.] Consejo Nacl Invest Cient &amp; Tecn, IFEVA, Buenos Aires, DF, Argentina; [Ballare, Carlos L.] Natl Univ San Martin, IIB, Buenos Aires, DF, Argentina; [Flint, Stephan D.] Univ Idaho, Dept Forest Rangeland &amp; Fire Sci, Moscow, ID 83843 USA</t>
  </si>
  <si>
    <t>Murdoch University; Loyola University New Orleans; Loyola University New Orleans; University of Helsinki; University of Wollongong; University of Wollongong; University College Cork; University of Buenos Aires; University of Buenos Aires; Consejo Nacional de Investigaciones Cientificas y Tecnicas (CONICET); Idaho; University of Idaho</t>
  </si>
  <si>
    <t>Bornman, JF (corresponding author), Murdoch Univ, Coll Sci Hlth Engn &amp; Educ, Perth, WA, Australia.;Barnes, PW (corresponding author), Loyola Univ, Dept Biol Sci, New Orleans, LA 70118 USA.;Barnes, PW (corresponding author), Loyola Univ, Environm Program, New Orleans, LA 70118 USA.</t>
  </si>
  <si>
    <t>Janet.Bornman@Murdoch.edu.au; pwbarnes@loyno.edu</t>
  </si>
  <si>
    <t>Robson, Thomas Matthew/J-3381-2012; Robinson, Sharon/B-2683-2008; Ballare, Carlos/F-5141-2011; Bornman, Janet F/A-2632-2017</t>
  </si>
  <si>
    <t>Robson, Thomas Matthew/0000-0002-8631-796X; Robinson, Sharon/0000-0002-7130-9617; Barnes, Paul/0000-0002-5715-3679; Jansen, Marcel/0000-0003-2014-5859; Ballare, Carlos/0000-0001-9129-4531; Bornman, Janet F/0000-0002-4635-4301; Flint, Stephan/0000-0002-1320-1050</t>
  </si>
  <si>
    <t>U.S. Global Change Research Program; J. H. Mullahy Endowment for Environmental Biology; Australian Research Council [DP180100113]; University of Wollongong's Global Challenges Program; Agencia Nacional de Promocion Cientifica y Tecnologica; University of Buenos Aires; Science Foundation Ireland [16/IA/4418]; Academy of Finland [304519]; Science Foundation Ireland (SFI) [16/IA/4418] Funding Source: Science Foundation Ireland (SFI)</t>
  </si>
  <si>
    <t>U.S. Global Change Research Program; J. H. Mullahy Endowment for Environmental Biology; Australian Research Council(Australian Research Council); University of Wollongong's Global Challenges Program; Agencia Nacional de Promocion Cientifica y Tecnologica(ANPCyTSpanish Government); University of Buenos Aires(University of Buenos Aires); Science Foundation Ireland(Science Foundation Ireland); Academy of Finland(Research Council of Finland); Science Foundation Ireland (SFI)(Science Foundation Ireland)</t>
  </si>
  <si>
    <t>Support by the U.S. Global Change Research Program and the J. H. Mullahy Endowment for Environmental Biology is gratefully acknowledged for Paul Barnes. Sharon Robinson received funding from the Australian Research Council (DP180100113) and the University of Wollongong's Global Challenges Program. Carlos Ballare acknowledges financial support from Agencia Nacional de Promocion Cientifica y Tecnologica and the University of Buenos Aires. Marcel Jansen acknowledges financial support by Science Foundation Ireland (16/IA/4418). Matthew Robson was supported by the Academy of Finland (decision number 304519). We thank Andrew Netherwood for his assistance with drafting and improving Fig. 1.</t>
  </si>
  <si>
    <t>SPRINGERNATURE</t>
  </si>
  <si>
    <t>CAMPUS, 4 CRINAN ST, LONDON, N1 9XW, ENGLAND</t>
  </si>
  <si>
    <t>1474-905X</t>
  </si>
  <si>
    <t>1474-9092</t>
  </si>
  <si>
    <t>PHOTOCH PHOTOBIO SCI</t>
  </si>
  <si>
    <t>Photochem. Photobiol. Sci.</t>
  </si>
  <si>
    <t>10.1039/c8pp90061b</t>
  </si>
  <si>
    <t>Biochemistry &amp; Molecular Biology; Biophysics; Chemistry, Physical</t>
  </si>
  <si>
    <t>Biochemistry &amp; Molecular Biology; Biophysics; Chemistry</t>
  </si>
  <si>
    <t>HO6OL</t>
  </si>
  <si>
    <t>WOS:000461049300003</t>
  </si>
  <si>
    <t>Xu, GJ; Chen, LQ; Zhang, MM; Zhang, YH; Wang, JJ; Lin, Q</t>
  </si>
  <si>
    <t>Xu, Guojie; Chen, Liqi; Zhang, Miming; Zhang, Yuanhui; Wang, Jianjun; Lin, Qi</t>
  </si>
  <si>
    <t>Year-round records of bulk aerosol composition over the Zhongshan Station, Coastal East Antarctica</t>
  </si>
  <si>
    <t>AIR QUALITY ATMOSPHERE AND HEALTH</t>
  </si>
  <si>
    <t>Aerosol; Ions; Trace elements; East Antarctica; Seasonal variation; Emission sources</t>
  </si>
  <si>
    <t>SIZE-SEGREGATED AEROSOL; KING GEORGE ISLAND; CHEMICAL-COMPOSITION; PARTICLE FORMATION; LARSEMANN HILLS; TRACE-ELEMENTS; SURFACE SNOW; SUMMER; SEA; METALS</t>
  </si>
  <si>
    <t>To characterize ionic composition and trace elements in the coastal Antarctic, more than 100 bulk aerosol samples were collected at the Chinese Zhongshan Station from February 2005 to November 2008. Major water-soluble species, including Na+, NH4+, K+, Mg2+, Ca2+, Cl-, NO3-, SO42-, and methane sulfonic acid (MSA), were analyzed by ion chromatography (IC). Trace metals, including Al, V, Cr, Fe, Cu, Zn, and Pb, were measured by inductively coupled plasma mass spectrometry (ICP-MS). Results showed that sea salt was the major component in aerosols at the Zhongshan Station in coastal East Antarctica. Sea salt ions Na+, Mg2+, Ca2+, and Cl- exhibited the maximum concentration in March, and the highest average concentration in September. NH4+, NO3-, SO42-, and MSA exhibited obvious seasonal variations, with higher concentrations in austral summer than in austral winter. During the 4-year observations, the highest aerosol composition loading was showed in 2008, and the high variation and average concentrations of trace metals appeared in January. Based on high NH4+/(Cl-+NO3-+2xSO(4)(2-)) molar ratios, atmospheric aerosol was not that acidic in the austral summer. Sulfate depletion was found by the low SO42-/Na+ ratio in samples collected in the austral winter, especially from May to October. Enrichment factor (EF) and multivariate statistical analysis were utilized to explore potential emission sources of aerosols over the Zhongshan station. Na+, Cl-, K+, Mg2+, and Ca2+ were mainly from sea salt sources, and Al, Fe, Cu, Cr, Pb, and V were mainly from crustal and anthropogenic pollution sources, while S-cycle compounds non-sea-salt sulfate (nss-SO42-) and MSA originated from marine biogenic emissions.</t>
  </si>
  <si>
    <t>[Xu, Guojie] Nanjing Univ Informat Sci &amp; Technol, Collaborat Innovat Ctr Forecast &amp; Evaluat Meteoro, Key Lab Aerosol Cloud Precipitat China Meteorol A, Nanjing 210044, Jiangsu, Peoples R China; [Xu, Guojie; Chen, Liqi; Zhang, Miming; Zhang, Yuanhui; Wang, Jianjun; Lin, Qi] State Ocean Adm, Inst Oceanog 3, Key Lab Global Change &amp; Marine Atmospher Chem, Xiamen 361005, Peoples R China</t>
  </si>
  <si>
    <t>Nanjing University of Information Science &amp; Technology; Third Institute of Oceanography, Ministry of Natural Resources</t>
  </si>
  <si>
    <t>Xu, GJ (corresponding author), Nanjing Univ Informat Sci &amp; Technol, Collaborat Innovat Ctr Forecast &amp; Evaluat Meteoro, Key Lab Aerosol Cloud Precipitat China Meteorol A, Nanjing 210044, Jiangsu, Peoples R China.;Xu, GJ; Chen, LQ (corresponding author), State Ocean Adm, Inst Oceanog 3, Key Lab Global Change &amp; Marine Atmospher Chem, Xiamen 361005, Peoples R China.</t>
  </si>
  <si>
    <t>hyssxuguojie@163.com; lchen203@263.net</t>
  </si>
  <si>
    <t>Xu, Guojie/E-8772-2012</t>
  </si>
  <si>
    <t>Xu, Guojie/0000-0003-1809-5522</t>
  </si>
  <si>
    <t>National Natural Science Foundation of China (NSFC) [41706104, 41476172, 41772366]; Chinese Projects for Investigations and Assessments of the Arctic and Antarctic [01-04, 02-01, 03-04]; Scientific Research Foundation of Third Institute of Oceanography, State Oceanic Administration [2015031, 2018014]; Startup Foundation for Introducing Talent of NUIST [2015r037]; Double Innovation Talent Program [R2016SCB01]; Fund of Key Laboratory of Global Change and Marine-Atmospheric Chemistry, SOA [GCMAC1811]; Key Laboratory for Aerosol-Cloud-Precipitation of CMA-NUIST [KDW1702]</t>
  </si>
  <si>
    <t>National Natural Science Foundation of China (NSFC)(National Natural Science Foundation of China (NSFC)); Chinese Projects for Investigations and Assessments of the Arctic and Antarctic; Scientific Research Foundation of Third Institute of Oceanography, State Oceanic Administration; Startup Foundation for Introducing Talent of NUIST; Double Innovation Talent Program; Fund of Key Laboratory of Global Change and Marine-Atmospheric Chemistry, SOA; Key Laboratory for Aerosol-Cloud-Precipitation of CMA-NUIST</t>
  </si>
  <si>
    <t>This work was funded by the National Natural Science Foundation of China (NSFC) (41706104, 41476172, 41772366), Chinese Projects for Investigations and Assessments of the Arctic and Antarctic (CHINARE2012-2020 for 01-04, 02-01, and 03-04), the Scientific Research Foundation of Third Institute of Oceanography, State Oceanic Administration under contract No. 2015031, No. 2018014, the Startup Foundation for Introducing Talent of NUIST (2015r037), the open fund by the Double Innovation Talent Program (R2016SCB01), the Fund of Key Laboratory of Global Change and Marine-Atmospheric Chemistry, SOA (GCMAC1811), and the open fund by the Key Laboratory for Aerosol-Cloud-Precipitation of CMA-NUIST (KDW1702).</t>
  </si>
  <si>
    <t>1873-9318</t>
  </si>
  <si>
    <t>1873-9326</t>
  </si>
  <si>
    <t>AIR QUAL ATMOS HLTH</t>
  </si>
  <si>
    <t>Air Qual. Atmos. Health</t>
  </si>
  <si>
    <t>10.1007/s11869-018-0642-9</t>
  </si>
  <si>
    <t>HP1AN</t>
  </si>
  <si>
    <t>WOS:000461397800002</t>
  </si>
  <si>
    <t>Zolitschka, B; Fey, M; Janssen, S; Maidana, NI; Mayr, C; Wulf, S; Haberzettl, T; Corbella, H; Lücke, A; Ohlendorf, C; Schäbitz, F</t>
  </si>
  <si>
    <t>Zolitschka, Bernd; Fey, Michael; Janssen, Stephanie; Maidana, Nora I.; Mayr, Christoph; Wulf, Sabine; Haberzettl, Torsten; Corbella, Hugo; Luecke, Andreas; Ohlendorf, Christian; Schaebitz, Frank</t>
  </si>
  <si>
    <t>Southern Hemispheric Westerlies control sedimentary processes of Laguna Azul (south-eastern Patagonia, Argentina)</t>
  </si>
  <si>
    <t>HOLOCENE</t>
  </si>
  <si>
    <t>Dark Ages Cold Period (DACP); ectogenic meromixis; Holocene climate change; lake-level fluctuations; Little Ice Age' (LIA); Medieval Climate Anomaly (MCA); Roman Climate Anomaly (RCA); salinity changes; tephra layers; XRF scanning</t>
  </si>
  <si>
    <t>LAKE-LEVEL CHANGES; TIERRA-DEL-FUEGO; EL-NINO/SOUTHERN-OSCILLATION; POTROK AIKE ARGENTINA; ATMOSPHERIC CO2; SANTA-CRUZ; PALEOENVIRONMENTAL CHANGES; ANTARCTIC PENINSULA; LATE PLEISTOCENE; ORGANIC-MATTER</t>
  </si>
  <si>
    <t>Multiproxy investigations of lacustrine sediments from Laguna Azul (52 degrees S) document multi-millennial Holocene influences of Southern Hemispheric Westerlies (SHW) on the hydroclimatic variability of south-eastern Patagonia. During the last 4000 years, this hydroclimatic variability is overprinted by centennial warm/dry periods. A cool/wet period from 11,600 to 10,100 cal. BP is succeeded by an early Holocene dry period (10,100-8300 cal. BP) with a shallow lake, strong anoxia, methanogenesis and high salinity. Between 8300 and 4000 cal. BP the influence of SHW weakened, resulting in a freshwater lake considered to be related to less arid conditions. Since 4000 cal. BP, regional temperature decreased accompanied by re-intensification of SHW reaching full strength since 3000 cal. BP. Centred around 2200, 1000 cal. BP and in the 20th century, Laguna Azul experienced century-long warm/dry spells. Between these dry periods, two pronounced moist periods are suggested to be contemporaneous to the Dark Age Cold Period' and the Little Ice Age'. Different from millennial SHW variations, centennial fluctuations appear to be synchronous for South America and the Northern Hemisphere. Changes in solar activity, large volcanic eruptions and/or modulations of ocean circulation are potential triggers for this synchronicity.</t>
  </si>
  <si>
    <t>[Zolitschka, Bernd; Fey, Michael; Janssen, Stephanie; Ohlendorf, Christian] Univ Bremen, Inst Geog, Bremen, Germany; [Janssen, Stephanie; Schaebitz, Frank] Univ Cologne, Inst Geog &amp; Educ, Cologne, Germany; [Maidana, Nora I.] Univ Nacl Buenos Aires, Buenos Aires, DF, Argentina; [Maidana, Nora I.] Consejo Nacl Invest Cient &amp; Tecn, Buenos Aires, DF, Argentina; [Mayr, Christoph] Ludwig Maximilians Univ Munchen, GeoBio Ctr LMU, Munich, Germany; [Mayr, Christoph] Ludwig Maximilians Univ Munchen, Dept Geo &amp; Environm Sci, Munich, Germany; [Mayr, Christoph] Friedrich Alexander Univ Erlangen Nurnberg, Inst Geog, Erlangen, Germany; [Wulf, Sabine] GFZ German Res Ctr Geosci, Potsdam, Germany; [Wulf, Sabine] Univ Portsmouth, Dept Geog, Portsmouth, Hants, England; [Haberzettl, Torsten] Ernst Moritz Arndt Univ Greifswald, Inst Geog &amp; Geol, Greifswald, Germany; [Corbella, Hugo] Museo Argentino Ciencias Nat Bernardino Rivadavia, Buenos Aires, DF, Argentina; [Luecke, Andreas] Forschungszentrum Julich, IBG, IBG 3 Agrosphere, Julich, Germany</t>
  </si>
  <si>
    <t>University of Bremen; University of Cologne; Consejo Nacional de Investigaciones Cientificas y Tecnicas (CONICET); University of Munich; University of Munich; University of Erlangen Nuremberg; Helmholtz Association; Helmholtz-Center Potsdam GFZ German Research Center for Geosciences; University of Portsmouth; Universitat Greifswald; Museo Argentino de Ciencias Naturales Bernardino Rivadavia (MACN); Helmholtz Association; Research Center Julich</t>
  </si>
  <si>
    <t>Zolitschka, B (corresponding author), Univ Bremen, Inst Geog, GEOPOLAR, Celsiusstr 2, D-28359 Bremen, Germany.</t>
  </si>
  <si>
    <t>zoli@uni-bremen.de</t>
  </si>
  <si>
    <t>Bigler, Christian/C-4002-2008; Schäbitz, Frank/ABE-5116-2020; Haberzettl, Torsten/AAV-9216-2021; Zolitschka, Bernd/P-1487-2019; Wulf, Sabine/C-7777-2013</t>
  </si>
  <si>
    <t>Bigler, Christian/0000-0002-8054-6278; Schäbitz, Frank/0000-0003-3879-9308; Haberzettl, Torsten/0000-0002-6975-9774; Zolitschka, Bernd/0000-0001-8256-0420; Wulf, Sabine/0000-0003-0229-7656; Mayr, Christoph/0000-0001-9002-9963; Lucke, Andreas/0000-0003-4199-0808; Ohlendorf, Christian/0000-0003-3794-7313</t>
  </si>
  <si>
    <t>German Federal Ministry of Education and Research (BMBF) [01 LD 0034, 01 LD 0035]; German Science Foundation (DFG) [ZO 102/5-1, ZO 102/5-2, ZO 102/5-3]</t>
  </si>
  <si>
    <t>German Federal Ministry of Education and Research (BMBF)(Federal Ministry of Education &amp; Research (BMBF)); German Science Foundation (DFG)(German Research Foundation (DFG))</t>
  </si>
  <si>
    <t>This is a contribution to the project 'South Argentinean Lake Sediment Archives and modelling' (SALSA) funded within the framework of the German Climate Research programme (DEKLIM grants 01 LD 0034 and 0035) of the German Federal Ministry of Education and Research (BMBF). Additional financial support was provided by the German Science Foundation (DFG) in the framework of the Priority programme 'ICDP' (Grants ZO 102/5-1, 2, 3).</t>
  </si>
  <si>
    <t>0959-6836</t>
  </si>
  <si>
    <t>1477-0911</t>
  </si>
  <si>
    <t>Holocene</t>
  </si>
  <si>
    <t>10.1177/0959683618816446</t>
  </si>
  <si>
    <t>HP5DR</t>
  </si>
  <si>
    <t>WOS:000461697500003</t>
  </si>
  <si>
    <t>Escutia, C; DeConto, RM; Dunbar, R; De Santis, L; Shevenell, A; Naish, T</t>
  </si>
  <si>
    <t>Escutia, Carlota; DeConto, Robert M.; Dunbar, Robert; De Santis, Laura; Shevenell, Amelia; Naish, Timothy</t>
  </si>
  <si>
    <t>Keeping an Eye on Antarctic toe Sheet Stability</t>
  </si>
  <si>
    <t>OCEANOGRAPHY</t>
  </si>
  <si>
    <t>STABLE-ISOTOPE RECORDS; OFFSHORE WILKES LAND; SEA-LEVEL RISE; ICE-SHEET; RETREAT DRIVEN; PALMER DEEP; PLIOCENE; CLIMATE; OCEAN; WEST</t>
  </si>
  <si>
    <t>Knowledge of how the Antarctic Ice Sheet (AIS) responded in the geologic past to warming climates will provide powerful insight into its poorly understood role in future global sea level change. Study of past natural climate changes allows us to determine the sensitivity of the AIS to higher-than-present atmospheric carbon dioxide (CO2) concentrations and global temperatures, thereby providing the opportunity to improve the skill and performance of ice sheet models used for Intergovernmental Panel on Climate Change (IPCC) future projections. Antarctic and Southern Ocean (south of 60 degrees S latitude) marine sediment records obtained over the last 50 years by seven scientific ocean drilling expeditions have revolutionized our understanding of Earth's climate system and the evolution and dynamics of the Antarctic ice sheets through the Cenozoic (0-65 million years ago). These records document an ice-free subtropical Antarctica between similar to 52 and 40 million years ago when CO2 was similar to 1,000 ppm; the initiation of continental-scale Antarctic ice sheets similar to 34 million years ago as CO2 dropped below 800 ppm; evidence for a dynamic, largely terrestrial, ice sheet driving global sea level changes of up to 40 m amplitude between 34 and 15 million years ago; and colder periods of highly dynamic, marine-based ice sheets contributing up to 20 m of global sea level rise when CO2 levels were in the range of 500-300 ppm between similar to 14 and 3 million years ago. Notwithstanding these discoveries, paleoenvironmental records obtained around Antarctica are still limited in their geographical coverage and do not provide a basis for comprehensive understanding of how different sectors of Antarctica respond to climate perturbations. Transects of drill cores spanning ice-proximal to ice-distal environments across the continental margin and at sensitive locations that have been identified by models and recent observations are needed to fully understand temporal and spatial ice volume changes that result from complex ice sheet-ocean-atmosphere interactions. These records are also critical for reconstructing equator-to-pole temperature gradients through time to better understand global climate change, interhemispheric long-distance transmission of changes through the atmosphere and ocean (teleconnections), and the amplification of climate signals in the polar regions. Future Antarctic scientific ocean drilling will remain key to obtaining records of past Antarctic Ice Sheet dynamics that can be integrated into coupled ice sheet-climate models for improved projections of sea level change. Thus, keeping an eye on ice sheet stability is critical for improving the accuracy and precision of predictions of future changes in global and regional temperatures and sea level rise.</t>
  </si>
  <si>
    <t>[Escutia, Carlota] Univ Granada, Inst Andaluz Ciencias Tierra, CSIC, Granada, Spain; [DeConto, Robert M.] Univ Massachusetts, Dept Geosci, Amherst, MA 01003 USA; [Dunbar, Robert] Stanford Univ, Dept Environm Earth Syst Sci, Stanford, CA 94305 USA; [De Santis, Laura] Ist Nazl Oceanog &amp; Geofis Sperimentale, Trieste, Italy; [Shevenell, Amelia] Univ S Florida, Coll Marine Sci, St Petersburg, FL 33701 USA; [Naish, Timothy] Victoria Univ Wellington, Antarctic Res Ctr, Wellington, New Zealand</t>
  </si>
  <si>
    <t>Consejo Superior de Investigaciones Cientificas (CSIC); CSIC - Instituto Andaluz de Ciencias de la Tierra (IACT); University of Granada; University of Massachusetts System; University of Massachusetts Amherst; Stanford University; Istituto Nazionale di Oceanografia e di Geofisica Sperimentale; State University System of Florida; University of South Florida; Victoria University Wellington</t>
  </si>
  <si>
    <t>Escutia, C (corresponding author), Univ Granada, Inst Andaluz Ciencias Tierra, CSIC, Granada, Spain.</t>
  </si>
  <si>
    <t>cescutia@ugr.es</t>
  </si>
  <si>
    <t>Shevenell, Amelia E/C-2757-2015; Escutia, Carlota/B-8614-2015</t>
  </si>
  <si>
    <t>De Santis, Laura/0000-0002-7752-7754; Escutia, Carlota/0000-0002-4932-8619; Dunbar, Robert/0000-0002-9728-5609</t>
  </si>
  <si>
    <t>European Union through FEDER funds [CTM2017-89711-C2-1-P, CGL2016-75679P]</t>
  </si>
  <si>
    <t>European Union through FEDER funds(European Union (EU))</t>
  </si>
  <si>
    <t>The authors are thankful for the opportunity to undertake this Antarctic scientific ocean drilling 50 -year review and outlook into the future. We are especially thankful to two formal reviewers and to Anthony Koppers and Debbie Thomas for their useful comments on various aspects of the manuscript. Support for C. Escutia to conduct this activity comes from Grant CTM2017-89711-C2-1-P, CGL2016-75679P, co-funded by the European Union through FEDER funds.</t>
  </si>
  <si>
    <t>OCEANOGRAPHY SOC</t>
  </si>
  <si>
    <t>ROCKVILLE</t>
  </si>
  <si>
    <t>P.O. BOX 1931, ROCKVILLE, MD USA</t>
  </si>
  <si>
    <t>1042-8275</t>
  </si>
  <si>
    <t>10.5670/oceanog.2019.117</t>
  </si>
  <si>
    <t>HP5YZ</t>
  </si>
  <si>
    <t>WOS:000461760800013</t>
  </si>
  <si>
    <t>Yokoyama, Y; Purcell, A; Ishiwa, T</t>
  </si>
  <si>
    <t>Yokoyama, Yusuke; Purcell, Anthony; Ishiwa, Takeshige</t>
  </si>
  <si>
    <t>Gauging Quaternary Sea revel Changes Through Scientific Ocean Drilling</t>
  </si>
  <si>
    <t>LAST GLACIAL MAXIMUM; ANTARCTIC ICE-SHEET; IODP EXPEDITION 310; ENVIRONMENTAL-CHANGES; YOUNGER DRYAS; LEVEL; CLIMATE; VOLUME; VARIABILITY; REEF</t>
  </si>
  <si>
    <t>Indicators of past sea level play a key role in tracking the history of global climate. Variations in global sea level are controlled mainly by growth and decay of continental glaciers and temperatures that are closely correlated with the mean global climate state (glacial and interglacial cycles). Our understanding of global climate and sea level has benefited significantly from improvements in ocean floor sampling achieved by the Ocean Drilling Program (ODP) and the Integrated Ocean Drilling and International Ocean Discovery Programs (IODP), as well as from the application of new analytical techniques and isotope mass spectrometry. This paper presents an overview of recent advances in paleo-sea level studies based on analysis of samples and data from deep-sea sediment cores and drowned coral reefs obtained through ODP and IODP. Future scientific ocean drilling will contribute further to studies of ice sheet dynamics under different climatic boundary conditions.</t>
  </si>
  <si>
    <t>[Yokoyama, Yusuke] Univ Tokyo, Atmosphere &amp; Ocean Res Inst, Tokyo, Japan; [Yokoyama, Yusuke] Univ Tokyo, Dept Earth &amp; Planetary Sci, Tokyo, Japan; [Yokoyama, Yusuke] Japan Agcy Marine Earth Sci &amp; Technol, Inst Biogeosci, Yokosuka, Kanagawa, Japan; [Purcell, Anthony] Australian Natl Univ, Res Sch Earth Sci, Canberra, ACT, Australia; [Ishiwa, Takeshige] Natl Inst Polar Res, Tachikawa, Tokyo, Japan</t>
  </si>
  <si>
    <t>University of Tokyo; University of Tokyo; Japan Agency for Marine-Earth Science &amp; Technology (JAMSTEC); Australian National University; Research Organization of Information &amp; Systems (ROIS); National Institute of Polar Research (NIPR) - Japan</t>
  </si>
  <si>
    <t>Yokoyama, Y (corresponding author), Univ Tokyo, Atmosphere &amp; Ocean Res Inst, Tokyo, Japan.;Yokoyama, Y (corresponding author), Univ Tokyo, Dept Earth &amp; Planetary Sci, Tokyo, Japan.;Yokoyama, Y (corresponding author), Japan Agcy Marine Earth Sci &amp; Technol, Inst Biogeosci, Yokosuka, Kanagawa, Japan.</t>
  </si>
  <si>
    <t>yokoyama@aori.u-tokyo.ac.jp</t>
  </si>
  <si>
    <t>IPO, PAGES/JXY-7546-2024; Ishiwa, Takeshige/AAH-6406-2021</t>
  </si>
  <si>
    <t>Ishiwa, Takeshige/0000-0002-7566-4421; Yokoyama, Yusuke/0000-0001-7869-5891; Purcell, Anthony/0000-0001-5289-3902</t>
  </si>
  <si>
    <t>JSPS KAKENHI [JP15KK0151, JP17H01168]</t>
  </si>
  <si>
    <t>JSPS KAKENHI(Ministry of Education, Culture, Sports, Science and Technology, Japan (MEXT)Japan Society for the Promotion of ScienceGrants-in-Aid for Scientific Research (KAKENHI))</t>
  </si>
  <si>
    <t>We thank editors Heiko Palike, Anthony Koppers, Ellen Kappel, and two reviewers (G. Camoin and A. Rovere) for their comments. Financial support of this research was provided by the JSPS KAKENHI (grant numbers JP15KK0151, and JP17H01168). This paper is also a contribution to the INQUA commission on Coastal and Marine Processes and the PAGES PALSEA program.</t>
  </si>
  <si>
    <t>10.5670/oceanog.2019.121</t>
  </si>
  <si>
    <t>WOS:000461760800017</t>
  </si>
  <si>
    <t>Neal, CR; Coffin, MF; Sager, WW</t>
  </si>
  <si>
    <t>Neal, Clive R.; Coffin, Millard F.; Sager, William W.</t>
  </si>
  <si>
    <t>Contributions of Scientific Ocean Drilling to Understanding the Emplacement of Submarine LARGE IGNEOUS PROVINCES and Their Effects on the Environment</t>
  </si>
  <si>
    <t>ONTONG-JAVA PLATEAU; NORTHERN KERGUELEN PLATEAU; SOUTHERN INDIAN-OCEAN; SHATSKY RISE; SOLOMON-ISLANDS; MASS EXTINCTION; ELAN BANK; PHREATOMAGMATIC ERUPTIONS; CRUSTAL STRUCTURE; BASALTIC GLASSES</t>
  </si>
  <si>
    <t>The Ontong Java Plateau (OJP), Shatsky Rise (SR), and Kerguelen Plateau/Broken Ridge (KP/BR) represent three large igneous provinces (LIPs) located in oceanic settings. The basement lavas have been investigated through scientific ocean drilling and, in the case of the OJP, fieldwork on the emergent obducted portions of the plateau in the Solomon Islands. Such studies show that these three LIPs have very different characteristics. For example, the KP/BR still has an active hotspot, whereas the OJP and the SR do not. The OJP is remarkable in its compositional monotony across the plateau (the Kwaimbaita geochemical type), with minor compositional variation found at the margins (the Kroenke, Singgalo, and Wairahito types). Shatsky Rise shows more compositional variation and, like the OJP, has a dominant lava type (termed the normal type) in the early stages (Tamu Massif), but subsequent eruptions at the Ori and Shirshov massifs comprise isotopically and trace element enriched lavas, likely reflecting a change in mantle source over time. The KP/BR has highly variable basement lava compositions, ranging from lavas slightly enriched above that of normal mid-ocean ridge basalt in the northern portion (close to the South East Indian Ridge) to more enriched varieties to the south and on Broken Ridge, with a continental crust signature present in lavas from the southern and central KP/BR. The OJP and the KP/BR appear to have formed through punctuated magmatic events, whereas the SR was formed by one relatively long, drawn out event. The formation of oceanic LIPs has in many (but not all) cases been synchronous with oceanic anoxic events. This paper focuses on three oceanic plateaus to emphasize the debate surrounding the environmental impact such LIPs may have had, and also highlights the contributions of scientific ocean drilling to our knowledge of oceanic LIP formation and evolution. This new knowledge allows planning for future oceanic LIP drilling.</t>
  </si>
  <si>
    <t>[Neal, Clive R.] Univ Notre Dame, Dept Civil &amp; Environm Engn &amp; Earth Sci, Notre Dame, IN 46556 USA; [Coffin, Millard F.] Univ Tasmania, Inst Marine &amp; Antarctic Studies, Hobart, Tas, Australia; [Coffin, Millard F.] Univ Maine, Sch Earth &amp; Climate Sci, Orono, ME USA; [Coffin, Millard F.] Woods Hole Oceanog Inst, Dept Geol &amp; Geophys, Woods Hole, MA 02543 USA; [Sager, William W.] Univ Houston, Dept Earth &amp; Atmospher Sci, Houston, TX USA</t>
  </si>
  <si>
    <t>University of Notre Dame; University of Tasmania; University of Maine System; University of Maine Orono; Woods Hole Oceanographic Institution; University of Houston System; University of Houston</t>
  </si>
  <si>
    <t>Neal, CR (corresponding author), Univ Notre Dame, Dept Civil &amp; Environm Engn &amp; Earth Sci, Notre Dame, IN 46556 USA.</t>
  </si>
  <si>
    <t>cneal@nd.edu</t>
  </si>
  <si>
    <t>Coffin, Millard F/H-4619-2011</t>
  </si>
  <si>
    <t>Coffin, Millard F/0000-0001-9960-0038</t>
  </si>
  <si>
    <t>10.5670/oceanog.2019.142</t>
  </si>
  <si>
    <t>WOS:000461760800038</t>
  </si>
  <si>
    <t>Kolda, A; Petric, I; Mucko, M; Gottstein, S; Zutinic, P; Goreta, G; Ternjej, I; Rubinic, J; Radisic, M; Udovic, MG</t>
  </si>
  <si>
    <t>Kolda, Anamarija; Petric, Ines; Mucko, Maja; Gottstein, Sanja; Zutinic, Petar; Goreta, Gordana; Ternjej, Ivancica; Rubinic, Josip; Radisic, Maja; Udovic, Marija Gligora</t>
  </si>
  <si>
    <t>How environment selects: Resilience and survival of microbial mat community within intermittent karst spring Kri (Croatia)</t>
  </si>
  <si>
    <t>ECOHYDROLOGY</t>
  </si>
  <si>
    <t>cyanobacteria; extreme conditions; intermittent river; ITS sequencing; microbial mat community; NGS</t>
  </si>
  <si>
    <t>CYANOBACTERIAL MAT; DIVERSITY; BIOFILMS; DROUGHT; POLAR; RIVER; KRKA; HETEROCYST; ECOSYSTEMS; CATCHMENT</t>
  </si>
  <si>
    <t>We conducted an on-site monitoring study involving seasonal collection of microbial mats samples from the Kri spring located in the Dinaric karst in Croatia. This intermittent karst spring is characterized by oligotrophic conditions and extreme water regime fluctuations. Extreme conditions at the Kri included summer drought followed by strong rains in the autumn as well as freezing ambient temperature during winter. By using two phylogenetic markers, 16S rRNA (total Bacteria) and internal transcribed spacer (ITS) region (Cyanobacteria), we aimed to detect the impact of intense seasonal fluctuations of environmental parameters in shaping (and/or selecting) the microbial mat community of the Kri spring. Microbial mat community was found to harbour bacteria belonging to 11 different phyla with Cyanobacteria making the community core (&gt;50%), followed by Alphaproteobacteria. The most abundant cyanobacterial genera included Microcoleus, Phormidium, and uncultured Antarctic cyanobacterium. In two mat samples, collected during conditions of low temperatures and strong bora wind (winter 2014) and during drought period (summer 2015), Cyanobacteria were diminished within the community. Under the extreme cold populations found to proliferate included Planctomycetes and candidate phylum TM6, found specifically in this sample. Members of the phyla Firmicutes were strictly found during the drought summer period followed by Cytophagia-Fibrella, Polymorphobacter, Polaromonas, and Massilia. During the event of high water inflow following the drought, Cyanobacteria represented 90% of the community in which specific desiccant-tolerant Chroococcidiopsis, Calothrix, and Pleurocapsa species appeared having mechanisms for quick recolonization of environments.</t>
  </si>
  <si>
    <t>[Kolda, Anamarija] Rudjer Boskovic Inst, Div Marine &amp; Environm Res, Lab Aquaculture &amp; Pathol Aquat Organisms, Zagreb, Croatia; [Petric, Ines] Rudjer Boskovic Inst, Div Marine &amp; Environm Res, Lab Environm Microbiol &amp; Biotechnol, Zagreb, Croatia; [Mucko, Maja; Gottstein, Sanja; Zutinic, Petar; Ternjej, Ivancica; Udovic, Marija Gligora] Univ Zagreb, Dept Biol, Fac Sci, Zagreb, Croatia; [Goreta, Gordana] Publ Inst Natl Pk Krka, Shibenik, Croatia; [Rubinic, Josip; Radisic, Maja] Univ Rijeka, Fac Civil Engn, Dept Hydrotech, Rijeka, Croatia</t>
  </si>
  <si>
    <t>Rudjer Boskovic Institute; Rudjer Boskovic Institute; University of Zagreb; University of Rijeka</t>
  </si>
  <si>
    <t>Petric, I (corresponding author), Rudjer Boskovic Inst, Div Marine &amp; Environm Res, Lab Environm Microbiol &amp; Biotechnol, Zagreb, Croatia.</t>
  </si>
  <si>
    <t>ipetric@irb.hr</t>
  </si>
  <si>
    <t>Kolda, Anamarija/HNI-1869-2023; Rubinić, Josip/S-7481-2018; Zutinic, Petar/AGR-1031-2022; Rubinić, Josip/JMQ-4694-2023; Petric, Ines/AAC-1341-2021; Udovič, Marija Gligora/IZE-0991-2023; Žutinić, Petar/AAM-2532-2020; Udovič, Marija Gligora/AAK-7730-2021; Radišić, Maja/JMC-4761-2023; Gottstein, Sanja/K-3822-2014</t>
  </si>
  <si>
    <t>Rubinić, Josip/0000-0002-5766-804X; Zutinic, Petar/0000-0002-9836-9636; Žutinić, Petar/0000-0002-9836-9636; Radišić, Maja/0000-0003-1384-8417; Gligora Udovic, Marija/0000-0002-1982-2528; Mucko, Maja/0000-0002-7301-7888; Petric, Ines/0000-0003-3875-9373; Kolda, Anamarija/0000-0001-5537-5414</t>
  </si>
  <si>
    <t>Croatian Science Foundation; AQUAHEALTH (Aquatic microbial ecology as an indicator of the health status of the environment) [3494]; Environmental Protection and Energy Efficiency Fund; MULTISEK (Multimetric evaluation of crenobiocoenosis) [351-01/13-01/108]</t>
  </si>
  <si>
    <t>Croatian Science Foundation; AQUAHEALTH (Aquatic microbial ecology as an indicator of the health status of the environment); Environmental Protection and Energy Efficiency Fund; MULTISEK (Multimetric evaluation of crenobiocoenosis)</t>
  </si>
  <si>
    <t>Croatian Science Foundation; AQUAHEALTH (Aquatic microbial ecology as an indicator of the health status of the environment), Grant/Award Number: 3494; Environmental Protection and Energy Efficiency Fund; MULTISEK (Multimetric evaluation of crenobiocoenosis), Grant/Award Number: 351-01/13-01/108</t>
  </si>
  <si>
    <t>1936-0584</t>
  </si>
  <si>
    <t>1936-0592</t>
  </si>
  <si>
    <t>Ecohydrology</t>
  </si>
  <si>
    <t>e2063</t>
  </si>
  <si>
    <t>10.1002/eco.2063</t>
  </si>
  <si>
    <t>Ecology; Environmental Sciences; Water Resources</t>
  </si>
  <si>
    <t>HP3MV</t>
  </si>
  <si>
    <t>WOS:000461581900010</t>
  </si>
  <si>
    <t>Gomez, R; Arigony-Neto, J; De Santis, A; Vijay, S; Jaña, R; Rivera, A</t>
  </si>
  <si>
    <t>Gomez, Rodrigo; Arigony-Neto, Jorge; De Santis, Angela; Vijay, Saurabh; Jana, Ricardo; Rivera, Andres</t>
  </si>
  <si>
    <t>Ice dynamics of union glacier from SAR offset tracking</t>
  </si>
  <si>
    <t>GLOBAL AND PLANETARY CHANGE</t>
  </si>
  <si>
    <t>Glaciology; Union Glacier Antarctica; Glacier Ice Dynamics; SAR Offset Tracking; Ice Thickness; Glacier Strain Rate</t>
  </si>
  <si>
    <t>SEA-LEVEL RISE; SURFACE VELOCITIES; MASS-BALANCE; THICKNESS DISTRIBUTION; GANGOTRI GLACIER; FRESH-WATER; SHELF; FLOW; OCEAN; BED</t>
  </si>
  <si>
    <t>The Antarctic ice sheet is predicted to be the major contributor to sea-level rise during the XXI century. Therefore, monitoring ice dynamics of outlet glaciers in Antarctica is of great importance to assess future sea-level rise predictions. Union Glacier is one of the major outlet glaciers of the Ellsworth Mountains and drains into the Ronne-Filchner Ice Shelf. Glaciers can be studied using remote-sensing techniques, which combined with field measurements can deliver a good approximation of its dynamics and can be used as input for glacier models. In this study we acquired high resolution Stripmap HIMAGE SAR images from the COSMO-SkyMed satellite constellation during austral summer of 2011-2012, and applied a SAR offset tracking algorithm to compute ice velocities. Then, we compared our derived velocities with field data already published. Results showed mean values of ice velocity estimated for the main trunk of the glacier are 0.043 (0.0393 SD) m d(-1), with values reaching up to 0.325 m d(-1), in agreement with previous studies. A model of ice thickness based on lamellar flow theory is proposed, using estimated surface ice velocity in combination with surface slope derived from TanDEM-X as input data. Comparison of our modeled ice thickness with radar data agree with a mean absolute deviation of 19.22%. From surface ice velocities we computed principal strain rates in order to assess crevasse formation and closure. Thereafter, using high resolution COSMO-SkyMed Spotlight-2 SAR images we establish a relation between surface features and acting strain components.</t>
  </si>
  <si>
    <t>[Gomez, Rodrigo; Arigony-Neto, Jorge] Univ Fed Rio Grande FURG, Inst Oceanog, Rio Grande, Brazil; [Gomez, Rodrigo; De Santis, Angela] Ctr Reg Fdn CEQUA, Av Espana 184, Punta Arenas, Chile; [Arigony-Neto, Jorge] Inst Nacl Ciencia &amp; Tecnol Criosfera, Porto Alegre, RS, Brazil; [De Santis, Angela] HOPE Humanitarian Operat, Brussels, Belgium; [Vijay, Saurabh] Tech Univ Denmark, DTU Space, Natl Space Inst, Copenhagen, Denmark; [Jana, Ricardo] Inst Antartico Chileno, Punta Arenas, Chile; [Rivera, Andres] Ctr Estudios Cient, POB 5110466, Valdivia, Chile; [Rivera, Andres] Univ Chile, Dept Geog, Santiago, Chile</t>
  </si>
  <si>
    <t>Universidade Federal do Rio Grande; Technical University of Denmark; Universidad de Chile</t>
  </si>
  <si>
    <t>Gomez, R (corresponding author), Ctr Reg Fdn CEQUA, Av Espana 184, Punta Arenas, Chile.</t>
  </si>
  <si>
    <t>rodrigo.gomez@cequa.cl; jorgearigony@furg.br</t>
  </si>
  <si>
    <t>Jaña, Ricardo/AAR-1225-2020; Gómez, Rodrigo/JLM-1595-2023</t>
  </si>
  <si>
    <t>Jaña, Ricardo/0000-0003-3319-1168; Gomez Fell, Rodrigo/0000-0002-0391-1323; Vijay, Saurabh/0000-0002-8970-9213; Arigony-Neto, Jorge/0000-0003-4848-2064; Rivera, Andres/0000-0002-2779-4192</t>
  </si>
  <si>
    <t>Council for Research and Scientific Development of Brazil (CNPq) through the Brazilian National Institute of Science and Technology of Cryosphere (INCT-CRIOSFERA; CNPq) [573720/2008-8]; CNPq [461414/2014-7, 305897/2013-6]; CAPES; CEQUA basal fund (CONICYT III CONCURSO DE FORTA-LECIMIENTO Y DESARROLLO DE CENTROS REGIONALES DE DESA-RROLLO CIENTIFICO Y TECNOLOGICO) [316A10002]; VILLUM FONDEN; CECS; basal fund</t>
  </si>
  <si>
    <t>Council for Research and Scientific Development of Brazil (CNPq) through the Brazilian National Institute of Science and Technology of Cryosphere (INCT-CRIOSFERA; CNPq)(Fundacao de Apoio a Pesquisa do Distrito Federal (FAPDF)Conselho Nacional de Desenvolvimento Cientifico e Tecnologico (CNPQ)); CNPq(Conselho Nacional de Desenvolvimento Cientifico e Tecnologico (CNPQ)); CAPES(Coordenacao de Aperfeicoamento de Pessoal de Nivel Superior (CAPES)); CEQUA basal fund (CONICYT III CONCURSO DE FORTA-LECIMIENTO Y DESARROLLO DE CENTROS REGIONALES DE DESA-RROLLO CIENTIFICO Y TECNOLOGICO); VILLUM FONDEN(Villum Fonden); CECS; basal fund</t>
  </si>
  <si>
    <t>This study has been funded by the Council for Research and Scientific Development of Brazil (CNPq) through grants from the Brazilian National Institute of Science and Technology of Cryosphere (INCT-CRIOSFERA; CNPq grant no. 573720/2008-8) and the CNPq grant no. 461414/2014-7. The authors would like to thank Brazilian financial agencies J. Arigony-Neto acknowledges CNPq research grant no. 305897/2013-6 and Rodrigo Gomez acknowledges CAPES scholarship and CEQUA basal fund (CONICYT III CONCURSO DE FORTA-LECIMIENTO Y DESARROLLO DE CENTROS REGIONALES DE DESA-RROLLO CIENTIFICO Y TECNOLOGICO grant no. 316A10002). Saurabh Vijay acknowledges the funding from VILLUM FONDEN. Andres Rivera was supported by CECS and the basal fund.</t>
  </si>
  <si>
    <t>0921-8181</t>
  </si>
  <si>
    <t>1872-6364</t>
  </si>
  <si>
    <t>GLOBAL PLANET CHANGE</t>
  </si>
  <si>
    <t>Glob. Planet. Change</t>
  </si>
  <si>
    <t>10.1016/j.gloplacha.2018.12.012</t>
  </si>
  <si>
    <t>HP1FX</t>
  </si>
  <si>
    <t>WOS:000461411900001</t>
  </si>
  <si>
    <t>Tipisova, EV; Gorenko, IN; Popkova, VA; Elfimova, AE; Potutkinl, DS; Andronov, SV; Kochkin, RA; Popov, AI; Lobanov, AA; Bogdanova, EN</t>
  </si>
  <si>
    <t>Tipisova, Elena, V; Gorenko, Irina N.; Popkova, Victoria A.; Elfimova, Alexandra E.; Potutkinl, Dmitry S.; Andronov, Sergey, V; Kochkin, Ruslan A.; Popov, Andrei, I; Lobanov, Andrei A.; Bogdanova, Elena N.</t>
  </si>
  <si>
    <t>The Relationship between Blood Thyroid Hormone and Dopamine Levels in Residents of the Arctic Regions of Russia</t>
  </si>
  <si>
    <t>INTERNATIONAL JOURNAL OF BIOMEDICINE</t>
  </si>
  <si>
    <t>dopamine; iodothyronines; cyclic adenosine monophosphate; Arctic</t>
  </si>
  <si>
    <t>PROLONGED ANTARCTIC RESIDENCE; THYROTROPIN; TSH; IODOTHYRONINE; SUBUNIT; AXIS</t>
  </si>
  <si>
    <t>Due to the presence of contradictory results about the effect of dopamine on the synthesis and secretion of thyroid hormones, as well as the absence of this information in clinically healthy individuals, we were interested in studying this problem in permanent residents of the Arctic territories, which are characterized by high thyroid activity and dopamine content. The aim of this work was to study the hormone levels of hypothalamic-pituitary-thyroid axis (HPTA) under the different levels of dopamine in the blood of permanent residents of the Arctic territories. Materials and Methods: We examined 316 healthy individuals (the indigenous population, mestizos, and the local Russian population) born and permanently residing in the territories of the Russian Arctic zone. The examined participants were divided into 3 groups: Group 1 with undetectable levels of dopamine in the blood (0 nmol/l); Group 2 with reference levels of dopamine (&lt;0.653 nmol/l); and Group 3 with increased levels of dopamine (&gt;0.653 nmol/l). The serum levels of TSH, T4, free T4, T3, and free T3, and the plasma dopamine level were determined by enzyme immunoassay. The plasma cAMP level was determined by radioimmunoassay. Results: In individuals of Group 1, there was a decrease in the activity of hypothalamic-pituitary-thyroid axis (HTPA) and the peripheral conversion of iodothyronines compared with persons with reference or increased dopamine levels. In individuals of Groups 2 and 3, we found an increase in the activity of HTPA with an increase in the blood level of dopamine. The absence of the inhibitory effect of high levels of dopamine on HPTA hormones in the examined individuals may be a compensatory-adaptive response of the body under the conditions of permanently acting extreme factors of the North.</t>
  </si>
  <si>
    <t>[Tipisova, Elena, V; Gorenko, Irina N.; Popkova, Victoria A.; Elfimova, Alexandra E.; Potutkinl, Dmitry S.] N Laverov Fed Ctr Integrated Arctic Res, Arkhangelsk, Russia; [Andronov, Sergey, V; Kochkin, Ruslan A.; Popov, Andrei, I; Lobanov, Andrei A.] Sci Ctr Arctic Res, Salekhard, Russia; [Bogdanova, Elena N.] Northern Arctic Fed Univ, Arkhangelsk, Russia</t>
  </si>
  <si>
    <t>N. Laverov Federal Center for Integrated Arctic Research; Northern Arctic Federal University</t>
  </si>
  <si>
    <t>Tipisova, EV (corresponding author), N Laverov Fed Ctr Integrated Arctic Res, Arkhangelsk, Russia.</t>
  </si>
  <si>
    <t>tipisova@rambler.ru</t>
  </si>
  <si>
    <t>Bogdanova, Elena/HPE-0080-2023; Alikina, Viktoria A/B-5992-2011; Bogdanova, Elena/AAC-7516-2019; Lobanov, Andrei/AAC-8310-2019; Andronov, Sergei/G-4977-2016; Molodovskaya, Irina N/AGA-9279-2022; Molodovskaya, Irina N/J-5077-2018; Tipisova, Elena V/J-5064-2018; Bogdanova, Elena/AAY-1394-2021; Tipisova, Elena/HHM-3941-2022; Lobanov, Andrey/AAI-3489-2020; Elfimova, Aleksandra E/J-5188-2018</t>
  </si>
  <si>
    <t>Bogdanova, Elena/0000-0001-9610-4709; Molodovskaya, Irina N/0000-0003-3097-9427; Molodovskaya, Irina N/0000-0003-3097-9427; Tipisova, Elena V/0000-0003-2097-3806; Tipisova, Elena/0000-0003-2097-3806; Elfimova, Aleksandra E/0000-0003-2519-1600; Andronov, Sergei/0000-0002-5616-5897</t>
  </si>
  <si>
    <t>Russian Foundation for Basic Research [AAAA-A15-115122810188-4]; [18-010-00875]</t>
  </si>
  <si>
    <t>The reported study was funded by the FCIARctic according to the research project: Elucidation of the modulating effect of the catecholamine levels on the hormonal profile in humans and aquatic organisms of the European North (AAAA-A15-115122810188-4) and supported by the Russian Foundation for Basic Research (Grant No 18-010-00875).</t>
  </si>
  <si>
    <t>INT MEDICAL RESEARCH &amp; DEVELOPMENT CORP</t>
  </si>
  <si>
    <t>6308 12TH AVE, NEW YORK, NY 11219 USA</t>
  </si>
  <si>
    <t>2158-0510</t>
  </si>
  <si>
    <t>2158-0529</t>
  </si>
  <si>
    <t>INT J BIOMED</t>
  </si>
  <si>
    <t>Int. J. Biomed.</t>
  </si>
  <si>
    <t>10.21103/Article9(1)_OA8</t>
  </si>
  <si>
    <t>Medicine, Research &amp; Experimental</t>
  </si>
  <si>
    <t>Research &amp; Experimental Medicine</t>
  </si>
  <si>
    <t>HP1RD</t>
  </si>
  <si>
    <t>WOS:000461443400009</t>
  </si>
  <si>
    <t>Foppert, A</t>
  </si>
  <si>
    <t>Foppert, Annie</t>
  </si>
  <si>
    <t>Observed Storm Track Dynamics in Drake Passage</t>
  </si>
  <si>
    <t>Currents; Eddies; Fluxes; Mesoscale processes; Ocean dynamics; Topographic effects</t>
  </si>
  <si>
    <t>ANTARCTIC CIRCUMPOLAR CURRENT; WAVE-ACTIVITY FLUX; DOWNSTREAM BAROCLINIC DEVELOPMENT; EDDY HEAT-FLUX; ENERGY; TRANSPORT; OCEAN; FORMULATION; STATIONARY; ENERGETICS</t>
  </si>
  <si>
    <t>The dynamics of an oceanic storm track-where energy and enstrophy transfer between the mean flow and eddies-are investigated using observations from an eddy-rich region of the Antarctic Circumpolar Current downstream of the Shackleton Fracture Zone (SFZ) in Drake Passage. Four years of measurements by an array of current- and pressure-recording inverted echo sounders deployed between November 2007 and November 2011 are used to diagnose eddy-mean flow interactions and provide insight into physical mechanisms for these transfers. Averaged within the upper to mid-water column (400-1000-m depth) and over the 4-yr-record mean field, eddy potential energy is highest in the western part of the storm track and maximum eddy kinetic energy occurs farther away from the SFZ, shifting the proportion of eddy energies from to about 1 along the storm track. There are enhanced mean 3D wave activity fluxes immediately downstream of SFZ with strong horizontal flux vectors emanating northeast from this region. Similar patterns across composites of Polar Front and Subantarctic Front meander intrusions suggest the dynamics are set more so by the presence of the SFZ than by the eddy's sign. A case study showing the evolution of a single eddy event, from 15 to 23 July 2010, highlights the storm-track dynamics in a series of snapshots. Consistently, explaining the eddy energetics pattern requires both horizontal and vertical components of W, implying the importance of barotropic and baroclinic processes and instabilities in controlling storm-track dynamics in Drake Passage.</t>
  </si>
  <si>
    <t>[Foppert, Annie] CSIRO Oceans &amp; Atmosphere, Ctr Southern Hemisphere Oceans Res, Hobart, Tas, Australia</t>
  </si>
  <si>
    <t>Commonwealth Scientific &amp; Industrial Research Organisation (CSIRO)</t>
  </si>
  <si>
    <t>Foppert, A (corresponding author), CSIRO Oceans &amp; Atmosphere, Ctr Southern Hemisphere Oceans Res, Hobart, Tas, Australia.</t>
  </si>
  <si>
    <t>annie.foppert@csiro.au</t>
  </si>
  <si>
    <t>Foppert, Annie/0000-0003-2958-1454</t>
  </si>
  <si>
    <t>National Science Foundation [OCE1141802]; Centre for Southern Hemisphere Oceans Research (CSHOR); University of Tasmania; University of New South Wales</t>
  </si>
  <si>
    <t>National Science Foundation(National Science Foundation (NSF)); Centre for Southern Hemisphere Oceans Research (CSHOR); University of Tasmania; University of New South Wales</t>
  </si>
  <si>
    <t>This work was supported by the National Science Foundation Grant OCE1141802 and the Centre for Southern Hemisphere Oceans Research (CSHOR), a collaborative research partnership between Qingdao National Laboratory for Marine Science and Technology (QNLM) and CSIRO, along with CSHOR's partners University of Tasmania and University of New South Wales. cDrake data are availableat the National Centers for Environmental Information, online at http://www.nodc.noaa.gov.Many thanks to Kathy Donohue, Randy Watts, and Karen Tracey for the helpful discussions and guidance throughout this work; thanks also to Steve Rintoul for constructive comments and feedback on the manuscript. Comments from two anonymous reviewers that helped to significantly improve this work are much appreciated.</t>
  </si>
  <si>
    <t>10.1175/JPO-D-18-0150.1</t>
  </si>
  <si>
    <t>HP0PJ</t>
  </si>
  <si>
    <t>WOS:000461367700002</t>
  </si>
  <si>
    <t>Suárez, RJ; Ghiglione, MC; Calderón, M; Sue, C; Martinod, J; Guillaume, B; Rojo, D</t>
  </si>
  <si>
    <t>Suarez, Rodrigo J.; Ghiglione, Matias C.; Calderon, Mauricio; Sue, Christian; Martinod, Joseph; Guillaume, Benjamin; Rojo, Diego</t>
  </si>
  <si>
    <t>The metamorphic rocks of the Nunatak Viedma in the Southern Patagonian Andes: Provenance sources and implications for the early Mesozoic Patagonia-Antarctic Peninsula connection</t>
  </si>
  <si>
    <t>Nunatak Viedma; Very-low grade metamorphic rocks; Detrital zircons ages; Antarctic Peninsula; Southern Patagonian Andes; Southwestern Gondwana</t>
  </si>
  <si>
    <t>LATE PALEOZOIC METASEDIMENTS; DETRITAL ZIRCON RECORD; CAPE-MEREDITH COMPLEX; EASTERN PALMER LAND; DE-DIOS ARCHIPELAGO; PB SHRIMP AGES; BACK-ARC BASIN; U-PB; GRAHAM LAND; ACCRETIONARY OROGENS</t>
  </si>
  <si>
    <t>The Nunatak Viedma within the Southern Patagonian Icefield has been considered as a volcanic center based on its geomorphologic features, despite the fact that field explorations by Eric Shipton determined its metamorphic nature 70 years ago. We carried out fieldwork to characterize this isolated outcrop and performed the first U-Pb dating in detrital zircons from the basement rocks located inside the Southern Patagonian Icefield. We recognized very-low grade metamorphic rocks, corresponding principally to metapelites and metapsammites, and scarce metabasites. Detrital zircons in three metapsammitic samples (composite group of 240 grains) yielded prominent age population peaks at similar to 1090, similar to 960, similar to 630, similar to 520, similar to 480-460, similar to 380, similar to 290-260, similar to 235-225 Ma that are typical of Gondwanide affinity, and youngest grains at 208 Ma. Maximum depositional ages of 225, 223 and 212 Ma were calculated for each sample from the youngest cluster of ages. This distinctive and novelty Late Triassic age justifies differentiate the Nunatak Viedma Unit from the Devonian-early Carboniferous and Permian-Early Triassic (?) belts of the Eastern Andean Metamorphic Complex. Possible primary source areas for the detrital zircons are outcropping in southern Patagonia, the Antarctic Peninsula, and the Malvinas Islands. Additionally, secondary sources could be part of the erosion and recycling of metasediments from the Eastern Andean Metamorphic Complex. We propose that the cluster of Triassic ages is related to the volcanic arc emplaced along the Antarctic Peninsula and active at that time when was still attached to southern Patagonia during the Triassic. The dynamics of the early Mesozoic orogen is also discussed.</t>
  </si>
  <si>
    <t>[Suarez, Rodrigo J.; Ghiglione, Matias C.] Univ Buenos Aires, Inst Estudios Andinos IDEAN, CONICET, Buenos Aires, DF, Argentina; [Calderon, Mauricio] Univ Andres Bello, Carrera Geol, Fac Ingn, Santiago 2119, Chile; [Sue, Christian] Univ Bourgogne Franche Comte, CNRS UMR6249, 16 Route Gray, F-25030 Besancon, France; [Martinod, Joseph] Univ Savoie Mt Blanc, ISTerre, F-73376 Le Bourget Du Lac, France; [Guillaume, Benjamin] Univ Rennes, CNRS, Geosci Rennes UMR 6118, F-35000 Rennes, France; [Rojo, Diego] Univ Arturo Prat, Fac Ingn &amp; Arquitectura, Iquique, Chile</t>
  </si>
  <si>
    <t>Consejo Nacional de Investigaciones Cientificas y Tecnicas (CONICET); University of Buenos Aires; Universidad Andres Bello; Universite de Franche-Comte; Communaute Universite Grenoble Alpes; Universite Grenoble Alpes (UGA); Centre National de la Recherche Scientifique (CNRS); Institut de Recherche pour le Developpement (IRD); Universite Gustave-Eiffel; Universite Savoie Mont Blanc; Universite de Rennes; Centre National de la Recherche Scientifique (CNRS); CNRS - National Institute for Earth Sciences &amp; Astronomy (INSU); Universidad Arturo Prat</t>
  </si>
  <si>
    <t>Suárez, RJ (corresponding author), Univ Buenos Aires, Inst Estudios Andinos IDEAN, CONICET, Intendente Guiraldes 2160 Ciudad Univ Pabellon 2, Caba, Argentina.</t>
  </si>
  <si>
    <t>rodrigo_s_37@hotmail.com</t>
  </si>
  <si>
    <t>Calderon, Mauricio/AAY-6863-2020; martinod, joseph/N-4238-2016; Ghiglione, Matias C/A-9413-2010; Guillaume, Benjamin/D-6570-2012</t>
  </si>
  <si>
    <t>Rojo, Diego/0000-0002-5764-2819; Guillaume, Benjamin/0000-0002-4260-3155; martinod, joseph/0000-0003-0891-5232; sue, christian/0000-0002-2472-5001</t>
  </si>
  <si>
    <t>CONICET PIP 2014-2016; Argentinian-French ECOS-SUD [A15U02]; Proyecto FONDECYT [1161818]; [PICT-2013-1291]</t>
  </si>
  <si>
    <t>CONICET PIP 2014-2016; Argentinian-French ECOS-SUD; Proyecto FONDECYT(Comision Nacional de Investigacion Cientifica y Tecnologica (CONICYT)CONICYT FONDECYT);</t>
  </si>
  <si>
    <t>This work has been carried out thanks to the financial support of grants projects Agencia PICT-2013-1291; CONICET PIP 2014-2016 GI directed by M.G., Argentinian-French ECOS-SUD project A15U02 (CS and MG), and Proyecto FONDECYT No. 1161818 to MC. The authors are grateful to Parques Nacionales of Argentina for granting permission to access and study Los Glaciares National Park. RS is grateful to Dr. Pablo Gonzalez (UNRN-CONICET) for comments and suggestions about the U-Pb geochronology. Likewise, we are thankful to both reviewers and the editor of the journal to spend time checking the work. This is contribution R-274 of the Institute de Estudios Andinos Don Pablo Groeber (UBA-CONICET).</t>
  </si>
  <si>
    <t>10.1016/j.jsames.2018.12.015</t>
  </si>
  <si>
    <t>HP2SN</t>
  </si>
  <si>
    <t>Green Submitted, Green Accepted, Green Published</t>
  </si>
  <si>
    <t>WOS:000461525800033</t>
  </si>
  <si>
    <t>Alexander, KA; Haward, M</t>
  </si>
  <si>
    <t>Alexander, K. A.; Haward, M.</t>
  </si>
  <si>
    <t>The human side of marine ecosystem-based management (EBM): `Sectoral interplay' as a challenge to implementing EBM</t>
  </si>
  <si>
    <t>Marine; Ecosystem based management; Sectoral interplay; Institutional fit; Governance</t>
  </si>
  <si>
    <t>PROTECTED AREA; FISHERIES MANAGEMENT; GUIDING PRINCIPLES; GOVERNANCE; LESSONS; OCEAN; REGIONALIZATION; SUPPORT; POLICY; ACT</t>
  </si>
  <si>
    <t>Although ecosystem-based management (EBM) has been adopted by many management organisations in principle, operationalising EBM has been problematic. A mismatch in institutional arrangements, created by the traditional sectoral focus of marine environmental and resource management, may be one factor acting against EBM implementation. To investigate this potential issue, this study focused on 'sectoral interplay', the challenges and tensions that prevent 'whole of government' cooperation, political consensus among conflicting user and interest groups, and collaboration between government and stakeholders that preconditon implementation of EBM. Four key challenges/tensions to sectoral interplay in marine EBM were found, including: governance structures and mechanisms, communication and sharing, participation and exclusion and fragmentation. Several ways in which these challenges/tensions could be addressed are proposed such as creating co-ordinating structures which operate across sectors and clarifying mandates and precedence between decision-making agencies. There are myriad case study examples from which to learn how to manage, and how not to manage, sectoral interplay in marine governance, and this should be the focus of future research.</t>
  </si>
  <si>
    <t>[Alexander, K. A.; Haward, M.] Univ Tasmania, Ctr Marine Socioecol, Hobart, Tas 7001, Australia; [Alexander, K. A.; Haward, M.] Univ Tasmania, Inst Marine &amp; Antarctic Studies, POB 49, Hobart, Tas 7001, Australia</t>
  </si>
  <si>
    <t>Alexander, KA (corresponding author), Univ Tasmania, Inst Marine &amp; Antarctic Studies, POB 49, Hobart, Tas 7001, Australia.</t>
  </si>
  <si>
    <t>Karen.Alexander@utas.edu.au</t>
  </si>
  <si>
    <t>Haward, Marcus/G-3369-2014; Alexander, Karen/O-7042-2017</t>
  </si>
  <si>
    <t>Haward, Marcus/0000-0003-4775-0864; Alexander, Karen/0000-0001-8801-413X</t>
  </si>
  <si>
    <t>Centre for Marine Socioecology</t>
  </si>
  <si>
    <t>This work was supported by the Centre for Marine Socioecology.</t>
  </si>
  <si>
    <t>10.1016/j.marpol.2018.12.019</t>
  </si>
  <si>
    <t>HO5UF</t>
  </si>
  <si>
    <t>WOS:000460992600005</t>
  </si>
  <si>
    <t>Meier, WN; Stewart, JS</t>
  </si>
  <si>
    <t>Meier, Walter N.; Stewart, J. Scott</t>
  </si>
  <si>
    <t>Assessing uncertainties in sea ice extent climate indicators</t>
  </si>
  <si>
    <t>ENVIRONMENTAL RESEARCH LETTERS</t>
  </si>
  <si>
    <t>sea ice; sea ice extent; Arctic; Antarctic; remote sensing; passive microwave; climate change indicator</t>
  </si>
  <si>
    <t>ALGORITHM</t>
  </si>
  <si>
    <t>The uncertainties in sea ice extent (total area covered by sea ice with concentration &gt;15%) derived from passive microwave sensors are assessed in two ways. Absolute uncertainty (accuracy) is evaluated based on the comparison of the extent between several products. There are clear biases between the extent from the different products that are of the order of 500 000 to 1 x 10(6) km(2) depending on the season and hemisphere. These biases are due to differences in the algorithm sensitivity to ice edge conditions and the spatial resolution of different sensors. Relative uncertainty is assessed by examining extents from the National Snow and Ice Data Center Sea Ice Index product. The largest source of uncertainty, similar to 100 000 km(2), is between near-real-time and final products due to different input source data and different processing and quality control. For consistent processing, the uncertainty is assessed using different input source data and by varying concentration algorithm parameters. This yields a relative uncertainty of 30 000-70 000 km(2). The Arctic minimum extent uncertainty is similar to 40 000 km(2). Uncertainties in comparing with earlier parts of the record may be higher due to sensor transitions. For the first time, this study provides a quantitative estimate of sea ice extent uncertainty.</t>
  </si>
  <si>
    <t>[Meier, Walter N.; Stewart, J. Scott] Univ Colorado, Cooperat Inst Res Environm Sci, Natl Snow &amp; Ice Data Ctr, Boulder, CO 80309 USA</t>
  </si>
  <si>
    <t>University of Colorado System; University of Colorado Boulder</t>
  </si>
  <si>
    <t>Meier, WN (corresponding author), Univ Colorado, Cooperat Inst Res Environm Sci, Natl Snow &amp; Ice Data Ctr, Boulder, CO 80309 USA.</t>
  </si>
  <si>
    <t>walt@nsidc.org</t>
  </si>
  <si>
    <t>Meier, Walter/AAI-9583-2021</t>
  </si>
  <si>
    <t>Meier, Walter/0000-0003-2857-0550</t>
  </si>
  <si>
    <t>Sea Ice Prediction Network (SIPN) project - NSF [PLR1304246]; NASA Distributed Active Archive Center at the National Snow and Ice Data Center [80GSFC18C0102]</t>
  </si>
  <si>
    <t>Sea Ice Prediction Network (SIPN) project - NSF; NASA Distributed Active Archive Center at the National Snow and Ice Data Center</t>
  </si>
  <si>
    <t>This work was supported by the Sea Ice Prediction Network (SIPN) project, funded by the NSF (Grant #PLR1304246) and through the NASA Distributed Active Archive Center at the National Snow and Ice Data Center (Contract#80GSFC18C0102). Thanks to T Lavergne, Norwegian Meteorological Institute, for OSISAF extents and R Gersten, NASA Goddard Space Flight Center, for Bootstrap extents.</t>
  </si>
  <si>
    <t>1748-9326</t>
  </si>
  <si>
    <t>ENVIRON RES LETT</t>
  </si>
  <si>
    <t>Environ. Res. Lett.</t>
  </si>
  <si>
    <t>10.1088/1748-9326/aaf52c</t>
  </si>
  <si>
    <t>HO5MN</t>
  </si>
  <si>
    <t>WOS:000460971300002</t>
  </si>
  <si>
    <t>Bilyk, KT; Cheng, CC</t>
  </si>
  <si>
    <t>Bilyk, K. T.; Cheng, CH-C</t>
  </si>
  <si>
    <t>Evolutionary Impacts of Chronic Cold on the Antarctic Notothenioid Chaperome and its Regulatory Mechanisms</t>
  </si>
  <si>
    <t>INTEGRATIVE AND COMPARATIVE BIOLOGY</t>
  </si>
  <si>
    <t>Annual Meeting of the Society-for-Integrative-and-Comparative-Biology (SICB)</t>
  </si>
  <si>
    <t>JAN 03-07, 2019</t>
  </si>
  <si>
    <t>Tampa, FL</t>
  </si>
  <si>
    <t>Western Kentucky Univ, Bowling Green, KY 42101 USA; Univ Illinois, Urbana, IL USA</t>
  </si>
  <si>
    <t>Western Kentucky University; University of Illinois System; University of Illinois Urbana-Champaign</t>
  </si>
  <si>
    <t>kevin.bilyk@wku.edu</t>
  </si>
  <si>
    <t>OXFORD UNIV PRESS INC</t>
  </si>
  <si>
    <t>CARY</t>
  </si>
  <si>
    <t>JOURNALS DEPT, 2001 EVANS RD, CARY, NC 27513 USA</t>
  </si>
  <si>
    <t>1540-7063</t>
  </si>
  <si>
    <t>1557-7023</t>
  </si>
  <si>
    <t>INTEGR COMP BIOL</t>
  </si>
  <si>
    <t>Integr. Comp. Biol.</t>
  </si>
  <si>
    <t>P2-128</t>
  </si>
  <si>
    <t>E273</t>
  </si>
  <si>
    <t>HO0UO</t>
  </si>
  <si>
    <t>WOS:000460620903052</t>
  </si>
  <si>
    <t>Finch, G; Perretta, C; Davies, B; Rosendale, AJ; Rosendale, AJ; Holmes, CJ; Jennings, EC; Gantz, JD; Spacht, D; Lee, RE; Denlinger, DL; Weirauch, MT; Benoit, JB</t>
  </si>
  <si>
    <t>Finch, G.; Perretta, C.; Davies, B.; Rosendale, A. J.; Rosendale, A. J.; Holmes, C. J.; Jennings, E. C.; Gantz, J. D.; Spacht, D.; Lee, R. E., Jr.; Denlinger, D. L.; Weirauch, M. T.; Benoit, J. B.</t>
  </si>
  <si>
    <t>RNA-Seq and Proteomics Analyses of Mechanisms Underlying Reproduction in the Antarctic Extremophile, Belgica antarctica</t>
  </si>
  <si>
    <t>Univ Cincinnati, Cincinnati, OH 45221 USA; Miami Univ, Oxford, OH 45056 USA; Ohio State Univ, Columbus, OH 43210 USA; Cincinnati Childrens Hosp Med Ctr, Cincinnati, OH 45229 USA</t>
  </si>
  <si>
    <t>University System of Ohio; University of Cincinnati; University System of Ohio; Miami University; University System of Ohio; Ohio State University; Cincinnati Children's Hospital Medical Center</t>
  </si>
  <si>
    <t>joshua.benoit@uc.edu</t>
  </si>
  <si>
    <t>95-2</t>
  </si>
  <si>
    <t>E71</t>
  </si>
  <si>
    <t>WOS:000460620900282</t>
  </si>
  <si>
    <t>Kawarasaki, Y; Teets, NM; Philip, BN; Potts, LJ; Gantz, JD; Denlinger, DL; Lee, RE</t>
  </si>
  <si>
    <t>Kawarasaki, Y.; Teets, N. M.; Philip, B. N.; Potts, L. J.; Gantz, J. D.; Denlinger, D. L.; Lee, R. E.</t>
  </si>
  <si>
    <t>Characterization of Drought-Induced Rapid Cold-Hardening in the Antarctic Midge, Belgica antarctica</t>
  </si>
  <si>
    <t>Gustavus Adolphus Coll, St Peter, MN 56082 USA; Univ Kentucky, Lexington, KY 40506 USA; Miami Univ, Oxford, OH 45056 USA; Hendrix Coll, Conway, AR USA; Ohio State Univ, Columbus, OH 43210 USA</t>
  </si>
  <si>
    <t>Gustavus Adolphus College; University of Kentucky; University System of Ohio; Miami University; University System of Ohio; Ohio State University</t>
  </si>
  <si>
    <t>ykawaras@gustavus.edu</t>
  </si>
  <si>
    <t>Teets, Nicholas/IQT-5328-2023; Philip, Ben/JYQ-5173-2024; Kawarasaki, Yuta/AAD-4032-2019</t>
  </si>
  <si>
    <t>NSF [PLP-1341385, PLP-1341393]</t>
  </si>
  <si>
    <t>Supported by NSF grants PLP-1341385 and PLP-1341393.</t>
  </si>
  <si>
    <t>P2-161</t>
  </si>
  <si>
    <t>E345</t>
  </si>
  <si>
    <t>WOS:000460620904098</t>
  </si>
  <si>
    <t>Kenny, NJ; Riesgo, A</t>
  </si>
  <si>
    <t>Kenny, N. J.; Riesgo, A.</t>
  </si>
  <si>
    <t>Evolution on Ice: 'Omic insights into Molecular Adaptation in Antarctic Sponges</t>
  </si>
  <si>
    <t>[Kenny, N. J.; Riesgo, A.] Nat Hist Museum, London, England</t>
  </si>
  <si>
    <t>Natural History Museum London</t>
  </si>
  <si>
    <t>n.kenny@nhm.ac.uk</t>
  </si>
  <si>
    <t>Riesgo, Ana/E-3341-2014; Kenny, Nathan/AAD-2391-2020</t>
  </si>
  <si>
    <t>Riesgo, Ana/0000-0002-7993-1523; Kenny, Nathan/0000-0003-4816-4103</t>
  </si>
  <si>
    <t>P2-281</t>
  </si>
  <si>
    <t>E347</t>
  </si>
  <si>
    <t>WOS:000460620904107</t>
  </si>
  <si>
    <t>Lobert, GT; Collins, EE; Mahon, AR</t>
  </si>
  <si>
    <t>Lobert, G. T.; Collins, E. E.; Mahon, A. R.</t>
  </si>
  <si>
    <t>Phylogeography and biodiversity of Pycnogonida in the Western Antarctic</t>
  </si>
  <si>
    <t>[Lobert, G. T.; Collins, E. E.; Mahon, A. R.] Cent Michigan Univ, Mt Pleasant, MI 48859 USA</t>
  </si>
  <si>
    <t>Central Michigan University</t>
  </si>
  <si>
    <t>lober1gt@cmich.edu</t>
  </si>
  <si>
    <t>Collins, Erin/M-6432-2019</t>
  </si>
  <si>
    <t>P1-202</t>
  </si>
  <si>
    <t>E361</t>
  </si>
  <si>
    <t>WOS:000460620904163</t>
  </si>
  <si>
    <t>Murphy, DW; Olsen, D; Kanagawa, M; King, R; Kawaguchi, S; Osborn, J; Webster, DR; Yen, J</t>
  </si>
  <si>
    <t>Murphy, D. W.; Olsen, D.; Kanagawa, M.; King, R.; Kawaguchi, S.; Osborn, J.; Webster, D. R.; Yen, J.</t>
  </si>
  <si>
    <t>Antarctic Krill Schools: Linking Three Dimensional Structure and Function</t>
  </si>
  <si>
    <t>Univ S Florida, Tampa, FL 33620 USA; Georgia Inst Technol, Atlanta, GA 30332 USA; Australian Antarctic Div, Kingston, Tas, Australia; Univ Tasmania, Hobart, Tas, Australia</t>
  </si>
  <si>
    <t>State University System of Florida; University of South Florida; University System of Georgia; Georgia Institute of Technology; Australian Antarctic Division; University of Tasmania</t>
  </si>
  <si>
    <t>davidmurphy@usf.edu</t>
  </si>
  <si>
    <t>111-7</t>
  </si>
  <si>
    <t>E165</t>
  </si>
  <si>
    <t>WOS:000460620902019</t>
  </si>
  <si>
    <t>Reed, KA; Bleau, JM; Munden, TMN; Lee, SG; Park, HK; Covi, JA</t>
  </si>
  <si>
    <t>Reed, K. A.; Bleau, J. M.; Munden, T. M. N.; Lee, S. G.; Park, H. K.; Covi, J. A.</t>
  </si>
  <si>
    <t>Keep calm and sleep on: how to survive as a zooplankton in an Antarctic freshwater lake</t>
  </si>
  <si>
    <t>Univ N Carolina, Wilmington, NC 28401 USA; Korean Polar Res Inst, Incheon, South Korea</t>
  </si>
  <si>
    <t>University of North Carolina; University of North Carolina Wilmington</t>
  </si>
  <si>
    <t>kar7752@uncw.edu</t>
  </si>
  <si>
    <t>36-6</t>
  </si>
  <si>
    <t>E190</t>
  </si>
  <si>
    <t>WOS:000460620902118</t>
  </si>
  <si>
    <t>Schiavon, L; Battistotti, A; Marino, IAM; Duliere, V; Codogno, G; Beoni, S; Dal Borgo, L; De Biasio, L; Soave, N; La Mesa, M; Zane, L; Papetti, C</t>
  </si>
  <si>
    <t>Schiavon, L.; Battistotti, A.; Marino, I. A. M.; Duliere, V; Codogno, G.; Beoni, S.; Dal Borgo, L.; De Biasio, L.; Soave, N.; La Mesa, M.; Zane, L.; Papetti, C.</t>
  </si>
  <si>
    <t>In Cold Blood: Speciation, Introgression and Hybridization in Antarctic Fish</t>
  </si>
  <si>
    <t>Univ Padua, Padua, Italy; Royal Belgian Inst Nat Sci, Brussels, Belgium; CNR, Ist Sci Marine ISMAR, Ancona, Italy</t>
  </si>
  <si>
    <t>University of Padua; Royal Belgian Institute of Natural Sciences; Consiglio Nazionale delle Ricerche (CNR); Istituto di Scienze Marine (ISMAR-CNR)</t>
  </si>
  <si>
    <t>chiara.papetti@unipd.it</t>
  </si>
  <si>
    <t>Zane, Lorenzo/G-6249-2010; Marino, Ilaria/JFK-4053-2023</t>
  </si>
  <si>
    <t>Zane, Lorenzo/0000-0002-6963-2132;</t>
  </si>
  <si>
    <t>6-7</t>
  </si>
  <si>
    <t>E206</t>
  </si>
  <si>
    <t>WOS:000460620902184</t>
  </si>
  <si>
    <t>Teets, NM; Kawarasaki, Y; Potts, LJ; Gantz, JD; Philip, DP; Denlinger, DL; Lee, RE</t>
  </si>
  <si>
    <t>Teets, N. M.; Kawarasaki, Y.; Potts, L. J.; Gantz, J. D.; Philip, D. P.; Denlinger, D. L.; Lee, R. E.</t>
  </si>
  <si>
    <t>Rapid Cold Hardening Provides Sublethal Benefits in an Antarctic Extremophilic Insect</t>
  </si>
  <si>
    <t>Univ Kentucky, Lexington, KY 40506 USA; Gustavus Adolphus Coll, St Peter, MN 56082 USA; Hendrix Coll, Conway, AR USA; Miami Univ, Oxford, OH 45056 USA; Ohio State Univ, Columbus, OH 43210 USA</t>
  </si>
  <si>
    <t>University of Kentucky; Gustavus Adolphus College; University System of Ohio; Miami University; University System of Ohio; Ohio State University</t>
  </si>
  <si>
    <t>n.teets@uky.edu</t>
  </si>
  <si>
    <t>Kawarasaki, Yuta/AAD-4032-2019; Teets, Nicholas/IQT-5328-2023</t>
  </si>
  <si>
    <t>102-5</t>
  </si>
  <si>
    <t>E229</t>
  </si>
  <si>
    <t>WOS:000460620902274</t>
  </si>
  <si>
    <t>Marynets, K</t>
  </si>
  <si>
    <t>Marynets, Kateryna</t>
  </si>
  <si>
    <t>On the modeling of the flow of the Antarctic Circumpolar Current</t>
  </si>
  <si>
    <t>MONATSHEFTE FUR MATHEMATIK</t>
  </si>
  <si>
    <t>Geophysical flow; Elliptic equation; Maximum principle</t>
  </si>
  <si>
    <t>PURELY AZIMUTHAL FLOW; STEADY</t>
  </si>
  <si>
    <t>A recent model for the flow of the Antarctic Circumpolar Current, formulated in spherical coordinates as a Dirichlet boundary-value problem for a nonlinear elliptic partial differential equation, reduces for flows with no azimuthal variations to a two-point boundary-value problem for a second-order ordinary differential equation. We provide some general settings for which these apparently simpler solutions are the unique solutions, due to an inherent symmetry of the model.</t>
  </si>
  <si>
    <t>[Marynets, Kateryna] Uzhgorod Natl Univ, Dept Math, Uzhgorod, Ukraine</t>
  </si>
  <si>
    <t>Ministry of Education &amp; Science of Ukraine; Uzhgorod National University</t>
  </si>
  <si>
    <t>Marynets, K (corresponding author), Uzhgorod Natl Univ, Dept Math, Uzhgorod, Ukraine.</t>
  </si>
  <si>
    <t>kateryna.marynets@uzhnu.edu.ua</t>
  </si>
  <si>
    <t>Marynets, Kateryna/S-5816-2019</t>
  </si>
  <si>
    <t>Marynets, Kateryna/0000-0002-0043-6336</t>
  </si>
  <si>
    <t>0026-9255</t>
  </si>
  <si>
    <t>1436-5081</t>
  </si>
  <si>
    <t>MONATSH MATH</t>
  </si>
  <si>
    <t>Mon.heft. Math.</t>
  </si>
  <si>
    <t>10.1007/s00605-017-1147-6</t>
  </si>
  <si>
    <t>Mathematics</t>
  </si>
  <si>
    <t>HM9PK</t>
  </si>
  <si>
    <t>WOS:000459817000010</t>
  </si>
  <si>
    <t>Rontani, JF; Smik, L; Belt, ST</t>
  </si>
  <si>
    <t>Rontani, Jean-Francois; Smik, Lukas; Belt, Simon T.</t>
  </si>
  <si>
    <t>Autoxidation of the sea ice biomarker proxy IPSO25 in the near-surface oxic layers of Arctic and Antarctic sediments</t>
  </si>
  <si>
    <t>ORGANIC GEOCHEMISTRY</t>
  </si>
  <si>
    <t>IPSO25; Degradation; Autoxidation; Arctic and Antarctic sediments; Biotic and abiotic interactions; IP25; DIP25</t>
  </si>
  <si>
    <t>BRANCHED ISOPRENOID ALKENES; ABIOTIC DEGRADATION; FATTY-ACID; IDENTIFICATION; IP25; PHOTOOXIDATION; OXIDATION; PARTICLES; SINKING; CYTOCHROME-P450</t>
  </si>
  <si>
    <t>Over the last decade or so, the mono- and di-unsaturated highly branched isoprenoid (HBI) lipids IP25 (Ice Proxy with 25 carbon atoms) and IPSO25 (Ice Proxy for the Southern Ocean with 25 carbon atoms) have emerged as useful proxies for sea ice in the Arctic and Antarctic, respectively. A more complete understanding of their respective proxy signatures, however, requires more detailed knowledge of their stability in the water column and in sediments. In the current study, we focused on the autoxidation of IPSO25, first by performing laboratory-based oxidation reactions on a purified sample and characterizing products based on detailed mass spectral analysis. We then analysed for the same oxidation products in near-surface sediments retrieved from the Arctic and the Antarctic, and some suspended organic matter from the Antarctic. Our data show that IPSO25 is susceptible to partial autoxidation within the oxic layers of Arctic and Antarctic sediments, while the same processes appear not to be so important in the water column. Although the number of primary autoxidation reactions identified in sediments was not as large as in laboratory experiments, there was evidence for their subsequent modification by biotic degradation. Quantifying the extent of degradation of IPSO25 and IP25 in sediments, and thus the impact of such process on the use of these biomarkers as paleo sea ice proxies, remains challenging at this stage, since most of the primary oxidation products do not accumulate, likely due to secondary biodegradation reactions. Some interesting differences in reactivity were also observed between IPSO25 and IP25 present in the same Arctic sediments. This suggests that factors other than environmental control may influence the IPSO25/IP25 ratio (i.e. DIP25) in Arctic sediments. Crown Copyright (C) 2019 Published by Elsevier Ltd. All rights reserved.</t>
  </si>
  <si>
    <t>[Rontani, Jean-Francois] Aix Marseille Univ, Univ Toulon, MIO, CNRS,INSU,IRD,UM 110, F-13288 Marseille, France; [Smik, Lukas; Belt, Simon T.] Univ Plymouth, Sch Geog Earth &amp; Environm Sci, Biogeochem Res Ctr, Plymouth PL4 8AA, Devon, England</t>
  </si>
  <si>
    <t>Centre National de la Recherche Scientifique (CNRS); CNRS - National Institute for Earth Sciences &amp; Astronomy (INSU); Institut de Recherche pour le Developpement (IRD); Aix-Marseille Universite; University of Plymouth</t>
  </si>
  <si>
    <t>Rontani, JF (corresponding author), Aix Marseille Univ, Univ Toulon, MIO, CNRS,INSU,IRD,UM 110, F-13288 Marseille, France.</t>
  </si>
  <si>
    <t>Smik, Lukas/0000-0003-2280-7342</t>
  </si>
  <si>
    <t>Centre National de la Recherche Scientifique (CNRS); Aix-Marseille University; FEDER OCEANOMED [1166-39417]; University of Plymouth; NERC [bosc01001, NE/S00954X/1] Funding Source: UKRI</t>
  </si>
  <si>
    <t>Centre National de la Recherche Scientifique (CNRS)(Centre National de la Recherche Scientifique (CNRS)); Aix-Marseille University; FEDER OCEANOMED; University of Plymouth; NERC(UK Research &amp; Innovation (UKRI)Natural Environment Research Council (NERC))</t>
  </si>
  <si>
    <t>Financial support from the Centre National de la Recherche Scientifique (CNRS) and the Aix-Marseille University is gratefully acknowledged. Thanks are due to the FEDER OCEANOMED (No. 1166-39417) for the funding of the apparatus employed. LS and STB are grateful to the University of Plymouth for financial support. We thank Leanne Armand and Amy Leventer for providing the SPM samples. Thanks are due to two anonymous reviewers and to the Associate Editor for their useful and constructive comments.</t>
  </si>
  <si>
    <t>0146-6380</t>
  </si>
  <si>
    <t>ORG GEOCHEM</t>
  </si>
  <si>
    <t>Org. Geochem.</t>
  </si>
  <si>
    <t>10.1016/j.orggeochem.2019.02.002</t>
  </si>
  <si>
    <t>HO4ML</t>
  </si>
  <si>
    <t>Green Submitted, hybrid, Green Published</t>
  </si>
  <si>
    <t>WOS:000460896700006</t>
  </si>
  <si>
    <t>Browne, E; Peeters, F; Priston, M; Marquis, PT</t>
  </si>
  <si>
    <t>Browne, Emma; Peeters, Frank; Priston, Melanie; Marquis, P. T.</t>
  </si>
  <si>
    <t>Expired Drugs in the Remote Environment</t>
  </si>
  <si>
    <t>WILDERNESS &amp; ENVIRONMENTAL MEDICINE</t>
  </si>
  <si>
    <t>out-of-date; temperature; pharmaceuticals; supply chain; ethics; expedition</t>
  </si>
  <si>
    <t>STABILITY; NIFEDIPINE</t>
  </si>
  <si>
    <t>Introduction The British Antarctic Survey Medical Unit works in a very remote area of the world, with several Antarctic bases receiving only a single annual resupply of consumable goods. Pharmaceuticals supplied in this manner will often be approaching or past the end of their nominal shelf life before the following year's resupply. Drugs are transported from the UK via ship; the hold is not temperature controlled, and the ship crosses through the tropics (air temperature 25-30 degrees C for approximately 3 wk). The drugs then must be transported from the ship to the base, often in temperatures substantially below freezing. This study assessed the stability of 5 expired drugs (atropine, nifedipine, flucloxacillin, naproxen, and bendroflumethiazide) returned from Antarctic bases. Methods Drugs were opportunistically obtained and tested using stability-indicating assays. Results All tested drugs were stable. Conclusions The results suggest that the studied drugs may be stable beyond expiry, even when not maintained in strictly temperature-controlled conditions.</t>
  </si>
  <si>
    <t>[Browne, Emma; Marquis, P. T.] British Antarctic Survey, Med Unit, Plymouth, Devon, England; [Peeters, Frank] Royal Mil Acad, Ctr Life Sci LIFE, Brussels, Belgium; [Priston, Melanie] Derriford Hosp, Pharm Res Lab, Plymouth, Devon, England</t>
  </si>
  <si>
    <t>UK Research &amp; Innovation (UKRI); Natural Environment Research Council (NERC); NERC British Antarctic Survey; Derriford Hospital</t>
  </si>
  <si>
    <t>Browne, E (corresponding author), Camps Moulin, St Martins GY4 6DZ, Guernsey, Scotland.</t>
  </si>
  <si>
    <t>blackrock46@yahoo.co.uk</t>
  </si>
  <si>
    <t>Priston, Melanie/IVH-6163-2023; Peeters, Frank A.M./S-8939-2017</t>
  </si>
  <si>
    <t>Peeters, Frank A.M./0000-0003-4440-5432</t>
  </si>
  <si>
    <t>British Antarctic Survey Medical Unit, MSc project; Plymouth University; NERC [bas010011] Funding Source: UKRI</t>
  </si>
  <si>
    <t>British Antarctic Survey Medical Unit, MSc project; Plymouth University; NERC(UK Research &amp; Innovation (UKRI)Natural Environment Research Council (NERC))</t>
  </si>
  <si>
    <t>This research was supported and aided financially by the British Antarctic Survey Medical Unit as a part of an MSc project with Plymouth University. We particularly thank Dr Anne Hicks, Clinical Lead of BASMU, for all her assistance with this project.</t>
  </si>
  <si>
    <t>1080-6032</t>
  </si>
  <si>
    <t>1545-1534</t>
  </si>
  <si>
    <t>WILD ENVIRON MED</t>
  </si>
  <si>
    <t>Wildern. Environ. Med.</t>
  </si>
  <si>
    <t>10.1016/j.wem.2018.11.003</t>
  </si>
  <si>
    <t>Public, Environmental &amp; Occupational Health; Sport Sciences</t>
  </si>
  <si>
    <t>HO3UW</t>
  </si>
  <si>
    <t>WOS:000460849400005</t>
  </si>
  <si>
    <t>Ji, F; Li, F; Zhang, Q; Gao, JY; Hao, WF; Li, YD; Guan, QS; Lin, X</t>
  </si>
  <si>
    <t>Ji Fei; Li Fei; Zhang Qiao; Gao JinYao; Hao WeiFeng; Li YongDong; Guan QingSheng; Lin Xing</t>
  </si>
  <si>
    <t>Crustal density structure of the Antarctic continent from constrained 3-D gravity inversion</t>
  </si>
  <si>
    <t>CHINESE JOURNAL OF GEOPHYSICS-CHINESE EDITION</t>
  </si>
  <si>
    <t>Chinese</t>
  </si>
  <si>
    <t>Antarctic continent; Crust; 3-D gravity inversion; Density structure; Reference density model</t>
  </si>
  <si>
    <t>EFFECTIVE ELASTIC THICKNESS; WILKES SUBGLACIAL BASIN; UPPER-MANTLE STRUCTURE; ROSS SEA BASINS; TRANSANTARCTIC MOUNTAINS; RIFT SYSTEM; STRUCTURE BENEATH; GEOPHYSICAL INVESTIGATIONS; LITHOSPHERIC STRUCTURE; VELOCITY STRUCTURE</t>
  </si>
  <si>
    <t>Crustal density is a fundamental physical parameter that helps to reveal its composition and structure, and hence it is also significantly related to the tectonic evolution and geodynamics. Based on the latest complete Bouguer gravity anomalies and by the constrains of 3-D shear velocity model, surface heat flow and petrology data, the 3-D gravity inversion method, incorporating deep weighting function, has been used to obtain the refined density structure over the Antarctic continent. Our results show that the density anomalies changes from -0.25 g.cm(-3) to 0.20 g.cm(-3). Due to the multi-phase extensional tectonics in Mesozoic and Cenozoic, respectively, the low density anomalies dominates in the West Antarctica, whereas the East Antarctica is characterized by high values of density anomalies. By comparing with the variations of effective elastic thickness, the inverted density structure correlates well with the lithospheric strength. According to the mechanical strength and inverted density anomalies in the West Antarctic Rift System (WARS), our analysis find that except for the small-scale area affected by the Cenozoic extension and magmatic activity, the crustal thermal structure in the most part of WARS tends to be normal under the effect of thermal diffusion. Finally, the low density anomalies features in West Antarctica extend to beneath the Transantarcitc Mountains (TAMs), however, we hypothesize that a single rift mechanism seems not be used to explain the entire TAMs range.</t>
  </si>
  <si>
    <t>[Ji Fei; Li Fei; Hao WeiFeng] Wuhan Univ, Chinese Antarctic Ctr Surveying &amp; Mapping, Wuhan 430079, Hubei, Peoples R China; [Zhang Qiao] Chinese Acad Geol Sci, Inst Geomech, Beijing 100081, Peoples R China; [Ji Fei; Gao JinYao; Guan QingSheng] Minist Nat Resources, Inst Oceanog 2, Hangzhou 310012, Zhejiang, Peoples R China; [Li YongDong] China Univ Geosci, Inst Geophys &amp; Geomat, Wuhan 430074, Hubei, Peoples R China; [Lin Xing] Tianjin Ctr Geophys Prospecting, Tianjin 300170, Peoples R China</t>
  </si>
  <si>
    <t>Wuhan University; China Geological Survey; Institute of Geomechanics, Chinese Academy of Geological Sciences; Chinese Academy of Geological Sciences; Ministry of Natural Resources of the People's Republic of China; China University of Geosciences</t>
  </si>
  <si>
    <t>Li, F (corresponding author), Wuhan Univ, Chinese Antarctic Ctr Surveying &amp; Mapping, Wuhan 430079, Hubei, Peoples R China.</t>
  </si>
  <si>
    <t>jifeii@163.com; fli@whu.edn.cn</t>
  </si>
  <si>
    <t>Li, Yongdong/P-5605-2016; GAO, Jinyao/HHN-6642-2022</t>
  </si>
  <si>
    <t>0001-5733</t>
  </si>
  <si>
    <t>CHINESE J GEOPHYS-CH</t>
  </si>
  <si>
    <t>Chinese J. Geophys.-Chinese Ed.</t>
  </si>
  <si>
    <t>10.6038/cjg2019M0507</t>
  </si>
  <si>
    <t>HO2XV</t>
  </si>
  <si>
    <t>WOS:000460781600004</t>
  </si>
  <si>
    <t>Gao, CC; Lu, Y; Shi, HL; Zhang, ZZ; Xu, CY; Tan, B</t>
  </si>
  <si>
    <t>Gao ChunChun; Lu Yang; Shi HongLing; Zhang ZiZhan; Xu ChangYi; Tan Bing</t>
  </si>
  <si>
    <t>Detection and analysis of ice sheet mass changes over 27 Antarctic drainage systems from GRACE RLO6 data</t>
  </si>
  <si>
    <t>Antarctic ice sheet; Mass balance; GRACE; Drainage system; Interannual change</t>
  </si>
  <si>
    <t>GLACIAL ISOSTATIC-ADJUSTMENT; SEA-LEVEL RISE; SOUTHERN ANNULAR MODE; WATER STORAGE CHANGES; SATELLITE-GRAVIMETRY; RECONCILED ESTIMATE; WEST ANTARCTICA; LEAKAGE ERROR; GRAVITY-FIELD; GREENLAND</t>
  </si>
  <si>
    <t>Based on the recently published GRACE data of Release 6 (RL06) from the Center for Space Research (CSR), we estimate the ice mass changes over 27 Antarctic drainage systems using a new method of Slepian space domain inverse (SSDIM), which is developed by combining the Slepian spatiospectral concentration method (SSCM) and the space domain inverse method (SDIM). The main advantage of SSDIM is to reduce the deviations of signal leakage and attenuation due to the coarse spatial resolution of GRACE, and therefore it is helpful to obtain both spatial and temporal mass changes for all Antarctic drainage systems with high accuracy. The errors of typical north south oriented stripes from RL06 are significantly reduced when compared to that from the Release 5 (RL05) products, which makes the related time series of mass changes from RL06 more smooth than that from RL05. However, both of their trends are not much difference (less than 10 Gt/a). The results from this study indicate that, over the period April 2002 to August 2016, the trend of mass change in entire Antarctic ice sheet is -118.6 +/- 16.3 Gt/a, of which West Antarctica is -142.4 +/- 10.5 Gt/a, the Antarctic Peninsula is -29.2 +/- 2.1 Gt/a, and East Antarctica is 52.9 +/- 8.6 Gt/a. The ice mass loss is mostly concentrated in Amundsen Sea Embayment (ASE; basins 20-23) of West Antarctica at a rate of -203.5 +/- 14.1 Gt/a, while elsewhere in the Antarctic Peninsula (basins 24-27) and Victoria-Wilkes Land (VWL; basins 13-15) of East Antarctica we find much smaller magnitudes of -29.2 +/- 2.1 Gt/a, and -19.0 +/- 4.7 Gt/a. Our results imply an increasing rate of ice discharge among outlet glaciers or ice streams in ASE and the Southern Antarctic Peninsula (SAP; basins 24 and 27). Outside above-mentioned areas we find three distinct patterns: Ellsworth Land (EL; basin 1) and Siple Coast (SC; basins 18 and 19) of West Antarctica and Coats Queen Maud-Enderby Land (CQMEL; basins 3-8) of East Antarctica exhibit significant mass gains with trends of 17.2 +/- 2.4 Gt/a, 43.9 +/- 1.9 Gt/a, and 62.7 +/- 3.8 Gt/a. The mass gains in these regions are primarily driven by positive surface mass balance (SMB) anomalies, e.g., massive snowing over CQMEL occurred in 2009 and 2011, however, the Kamb Ice Stream that located on SC, with one exception, shows a positive ice mass balance due to ice dynamic thickening. In addation, a preliminary analysis shows the interannual mass change of Antarctic ice sheet from GRACE data compares very well with that from surface mass balance (SMB) driven by the regional atmospheric climate model RACMO2.3, which illustrates interannual ice sheet mass variations observed by GRACE are largely explained by SMB variations. However, the interannual mass changes are not linearly related to the indices of El Nino/Southern Oscillation (ENSO), Southern Annular Mode (SAM), and Amundsen Sea Low (ASL) that are major climate drivers of interannual changes in Antarctica, likely meaning that the impact of climate events on interannual SMB variations is complicated, nonlinear and coupled.</t>
  </si>
  <si>
    <t>[Gao ChunChun; Tan Bing] Nanyang Normal Univ, Nanyang 473061, Henan, Peoples R China; [Gao ChunChun; Xu ChangYi] Acad Sinica, Inst Earth Sci, Taipei 11529, Taiwan; [Lu Yang; Shi HongLing; Zhang ZiZhan] Chinese Acad Sci, Inst Geodesy &amp; Geophys, State Key Lab Geodesy &amp; Earths Dynam, Wuhan 430077, Hubei, Peoples R China; [Lu Yang] Univ Chinese Acad Sci, Beijing 100049, Peoples R China; [Xu ChangYi] China Earthquake Adm, Inst Earthquake Forecasting, Beijing 100036, Peoples R China</t>
  </si>
  <si>
    <t>Nanyang Normal College; Academia Sinica - Taiwan; Chinese Academy of Sciences; Innovation Academy for Precision Measurement Science &amp; Technology, CAS; Chinese Academy of Sciences; University of Chinese Academy of Sciences, CAS; China Earthquake Administration; Institute of Earthquake Forecasting, CEA</t>
  </si>
  <si>
    <t>Lu, Y (corresponding author), Chinese Acad Sci, Inst Geodesy &amp; Geophys, State Key Lab Geodesy &amp; Earths Dynam, Wuhan 430077, Hubei, Peoples R China.;Lu, Y (corresponding author), Univ Chinese Acad Sci, Beijing 100049, Peoples R China.</t>
  </si>
  <si>
    <t>gaocc@nynu.edu.cn; luyang@whigg.ac.cn</t>
  </si>
  <si>
    <t>Zhang, Zizhan/F-5705-2016; Gao, Chunchun/AAD-9621-2019</t>
  </si>
  <si>
    <t>Xu, Changyi/0000-0002-6066-244X</t>
  </si>
  <si>
    <t>10.6038/cjg2019M0586</t>
  </si>
  <si>
    <t>WOS:000460781600005</t>
  </si>
  <si>
    <t>Williams, LK; Fergus, AJ; Shaw, JD; Terauds, A; Kristiansen, P; Wilson, SC; Gosden, JL; Ziegler, K; Sindel, BM</t>
  </si>
  <si>
    <t>Williams, Laura K.; Fergus, Alexander J.; Shaw, Justine D.; Terauds, Aleks; Kristiansen, Paul; Wilson, Susan Caroline; Gosden, Jane L.; Ziegler, Karen; Sindel, Brian M.</t>
  </si>
  <si>
    <t>Quantifying site and species factors to inform the feasibility of eradication of alien plants from Southern Ocean Islands: Stellaria media on Macquarie Island</t>
  </si>
  <si>
    <t>BIOLOGICAL INVASIONS</t>
  </si>
  <si>
    <t>Invasive; Non-native; Eradication; Control; Protected area; Sub-Antarctic</t>
  </si>
  <si>
    <t>INVASIONS; IMPACTS; WEEDS; BIOLOGY</t>
  </si>
  <si>
    <t>Eradication of alien plants is notoriously challenging, however eradication projects reap great biodiversity benefits, particularly on islands. To date only individual plants or small restricted populations have been successfully eradicated from the Southern Ocean Islands (SOI). The next phase in conservation for the region is tackling more widespread, abundant alien plant species. Several on-going and proposed control programs for such weeds exist in the SOI and Antarctic regions. If eradication of a widespread species is to be successful, a number of factors need to be considered. Organisational' factors such as management agency capacity, resources and the availability of effective control methods are critical to the success of an eradication. Site and species' factors such as infestation extent, number of discrete populations, dispersal processes and detectability typically show a cumulative effect on success. We assessed the site and species factors for Stellaria media, an alien species on sub-Antarctic Macquarie Island, to determine the feasibility of its eradication from the island. Organisational factors can successfully be met with adequate funding. Site and species factors which reduce the likelihood of eradication included large gross infestation areas, large plants with high reproductive output (precocity or fecundity), dense seed banks, short pre-reproductive period, extended seed longevity and vegetative reproductive capacity. We recommend a small-scale eradication trial for restricted, easily accessible populations of S. media on Macquarie Island to further evaluate the likelihood of broader eradication.</t>
  </si>
  <si>
    <t>[Williams, Laura K.; Fergus, Alexander J.; Kristiansen, Paul; Wilson, Susan Caroline; Gosden, Jane L.; Ziegler, Karen; Sindel, Brian M.] Univ New England, Sch Environm &amp; Rural Sci, Armidale, NSW 2351, Australia; [Fergus, Alexander J.] Manaaki Whenua Landcare Res, Lincoln 7640, New Zealand; [Shaw, Justine D.] Univ Queensland, Sch Biol Sci, Ctr Biodivers &amp; Conservat Sci, St Lucia, Qld 4067, Australia; [Terauds, Aleks] Australian Antarctic Div, Kingston, Tas 7053, Australia</t>
  </si>
  <si>
    <t>University of New England; Landcare Research - New Zealand; University of Queensland; Australian Antarctic Division</t>
  </si>
  <si>
    <t>Williams, LK (corresponding author), Univ New England, Sch Environm &amp; Rural Sci, Armidale, NSW 2351, Australia.</t>
  </si>
  <si>
    <t>lwilliams20@gmail.com</t>
  </si>
  <si>
    <t>Kristiansen, Paul/X-6638-2019; Terauds, Aleks/A-4991-2010; Kristiansen, Paul/JDV-9957-2023</t>
  </si>
  <si>
    <t>Kristiansen, Paul/0000-0003-2116-0663; Terauds, Aleks/0000-0001-7804-6648; wilson, susan/0000-0002-3409-0847; Fergus, Alex/0000-0002-5138-5241; Shaw, Justine/0000-0002-9603-2271; Sindel, Brian/0000-0002-4100-218X</t>
  </si>
  <si>
    <t>University of New England; Australian Antarctic Division [AAS 4341]</t>
  </si>
  <si>
    <t>University of New England; Australian Antarctic Division</t>
  </si>
  <si>
    <t>Funding for this project was provided by The University of New England and the Australian Antarctic Division, project AAS 4341. Access to Macquarie Island was provided by the Tasmanian Parks and Wildlife Service and logistical support was provided by the Australian Antarctic Division, Department of the Environment and Energy.</t>
  </si>
  <si>
    <t>1387-3547</t>
  </si>
  <si>
    <t>1573-1464</t>
  </si>
  <si>
    <t>BIOL INVASIONS</t>
  </si>
  <si>
    <t>Biol. Invasions</t>
  </si>
  <si>
    <t>10.1007/s10530-018-1880-3</t>
  </si>
  <si>
    <t>HN3PD</t>
  </si>
  <si>
    <t>WOS:000460094800023</t>
  </si>
  <si>
    <t>Bond, AL; Brooke, MD; Cuthbert, RJ; Lavers, JL; McClelland, GTW; Churchyard, T; Donaldson, A; Duffield, N; Forrest, A; Harrison, G; Mackinnon, L; Proud, T; Skinner, A; Torr, N; Vickery, JA; Oppel, S</t>
  </si>
  <si>
    <t>Bond, Alexander L.; Brooke, M. De L.; Cuthbert, Richard J.; Lavers, Jennifer L.; McClelland, Gregory T. W.; Churchyard, Thomas; Donaldson, Angus; Duffield, Neil; Forrest, Alice; Harrison, Gavin; Mackinnon, Lorna; Proud, Tara; Skinner, Andrew; Torr, Nick; Vickery, Juliet A.; Oppel, Steffen</t>
  </si>
  <si>
    <t>Population status of four endemic land bird species after an unsuccessful rodent eradication on Henderson Island</t>
  </si>
  <si>
    <t>BIRD CONSERVATION INTERNATIONAL</t>
  </si>
  <si>
    <t>PIGEONS HEMIPHAGA NOVAESEELANDIAE; DRYOLIMNAS CUVIERI ALDABRANUS; NEW-ZEALAND; ESTIMATING ABUNDANCE; PITCAIRN ISLANDS; BREEDING SUCCESS; NATURAL-HISTORY; INTRODUCED RATS; INVASIVE RATS; SOUTH-PACIFIC</t>
  </si>
  <si>
    <t>Invasive rodents detrimentally affect native bird species on many islands worldwide, and rodent eradication is a useful tool to safeguard endemic and threatened species. However, especially on tropical islands, rodent eradications can fail for various reasons, and it is unclear whether the temporary reduction of a rodent population during an unsuccessful eradication operation has beneficial effects on native birds. Here we examine the response of four endemic land bird species on subtropical Henderson Island in the Pitcairn Island Group, South Pacific Ocean, following an unsuccessful rodent eradication in 2011. We conducted point counts at 25 sampling locations in 14 survey periods between 2011 and 2015, and modelled the abundance trends of all species using binomial mixture models accounting for observer and environmental variation in detection probability. Henderson Reed Warbler Acrocephalus taiti more than doubled in abundance (2015 population estimate: 7,194-28,776), and Henderson Fruit Dove Ptilinopus insularis increased slightly between 2011 and 2015 (2015 population estimate: 4,476-10,072), while we detected no change in abundance of the Henderson Lorikeet Vini stepheni (2015 population estimate: 554-3014). Henderson Crake Zapornia atra increased to pre-eradication levels following anticipated mortality during the operation (2015 population estimate: 4,960-20,783). A temporary reduction of rat predation pressure and rat competition for fruit may have benefitted the reed warbler and the fruit dove, respectively. However, a long drought may have naturally suppressed bird populations prior to the rat eradication operation in 2011, potentially confounding the effects of temporary rat reduction and natural recovery. We therefore cannot unequivocally ascribe the population recovery to the temporary reduction of the rat population. We encourage robust monitoring of island biodiversity both before and after any management operation to better understand responses of endemic species to failed or successful operations.</t>
  </si>
  <si>
    <t>[Bond, Alexander L.; Cuthbert, Richard J.; Lavers, Jennifer L.; McClelland, Gregory T. W.; Churchyard, Thomas; Donaldson, Angus; Duffield, Neil; Forrest, Alice; Mackinnon, Lorna; Proud, Tara; Skinner, Andrew; Torr, Nick; Vickery, Juliet A.] Royal Soc Protect Birds, RSPB Ctr Conservat Sci, Sandy SG19 2DL, Beds, England; [Bond, Alexander L.] Nat Hist Museum, Dept Life Sci, Bird Grp, Akeman St, Tring HP23 6AP, Herts, England; [Cuthbert, Richard J.] Conservat Solut, 9 Prospect Dr, Belper DE56 1UY, Derby, England; [Lavers, Jennifer L.] Univ Tasmania, Inst Marine &amp; Antarctic Studies, 20 Castray Esplanade, Battery Point, Tas 7004, Australia; [Brooke, M. De L.] Univ Cambridge, Dept Zool, Downing St, Cambridge CB2 3EJ, England; [Harrison, Gavin] Edinburgh Zoo, Royal Zool Soc Scotland, 134 Corstorphine Rd, Edinburgh EH12 6TS, Midlothian, Scotland; [Harrison, Gavin] Waddesdon Manor, Natl Trust, Waddesdon HP18 OJH, Bucks, England; [Oppel, Steffen] Royal Soc Protect Birds, RSPB Ctr Conservat Sci, David Attenborough Bldg,Pembroke St, Cambridge CB2 3QZ, England</t>
  </si>
  <si>
    <t>Royal Society for Protection of Birds; Natural History Museum London; University of Tasmania; University of Cambridge; Royal Society for Protection of Birds</t>
  </si>
  <si>
    <t>Bond, AL (corresponding author), Royal Soc Protect Birds, RSPB Ctr Conservat Sci, Sandy SG19 2DL, Beds, England.;Bond, AL (corresponding author), Nat Hist Museum, Dept Life Sci, Bird Grp, Akeman St, Tring HP23 6AP, Herts, England.</t>
  </si>
  <si>
    <t>a.bond@nhm.ac.uk</t>
  </si>
  <si>
    <t>Lavers, Jennifer/IWM-5417-2023; Lavers, Jennifer/O-4831-2017; Bond, Alexander L/A-3786-2010; Oppel, Steffen/H-2771-2019</t>
  </si>
  <si>
    <t>Lavers, Jennifer/0000-0001-7596-6588; Oppel, Steffen/0000-0002-8220-3789; Bond, Alexander/0000-0003-2125-7238</t>
  </si>
  <si>
    <t>David and Lucile Packard Foundation; Darwin Plus: Overseas Territories Environment and Climate Fund; British Birds; RSPB, the UK partner in BirdLife International</t>
  </si>
  <si>
    <t>David and Lucile Packard Foundation(The David &amp; Lucile Packard Foundation); Darwin Plus: Overseas Territories Environment and Climate Fund; British Birds; RSPB, the UK partner in BirdLife International</t>
  </si>
  <si>
    <t>We thank the Government of the Pitcairn Islands for permission to work on Henderson Island, P. Warren, S. O'Keefe, M. Rodden, D. Brown, and A. Brown for assistance in the field, and J. Hall, A. Schofield, J. Kelly and C. Stringer for general support. The crews of the Braveheart, Claymore II, Teba, and Xplore, provided transportation to and from Henderson. The David and Lucile Packard Foundation, Darwin Plus: Overseas Territories Environment and Climate Fund, British Birds, generous donors, and the RSPB, the UK partner in BirdLife International, helped to fund our research. Comments from three anonymous reviewers improved this manuscript.</t>
  </si>
  <si>
    <t>0959-2709</t>
  </si>
  <si>
    <t>1474-0001</t>
  </si>
  <si>
    <t>BIRD CONSERV INT</t>
  </si>
  <si>
    <t>Bird Conserv. Int.</t>
  </si>
  <si>
    <t>10.1017/S0959270918000072</t>
  </si>
  <si>
    <t>Biodiversity Conservation; Ornithology</t>
  </si>
  <si>
    <t>Biodiversity &amp; Conservation; Zoology</t>
  </si>
  <si>
    <t>HN9TY</t>
  </si>
  <si>
    <t>WOS:000460544300009</t>
  </si>
  <si>
    <t>Suttle, MD; Genge, MJ; Folco, L; Van Ginneken, M; Lin, Q; Russell, SS; Najorka, J</t>
  </si>
  <si>
    <t>Suttle, M. D.; Genge, M. J.; Folco, L.; Van Ginneken, M.; Lin, Q.; Russell, S. S.; Najorka, J.</t>
  </si>
  <si>
    <t>The atmospheric entry of fine-grained micrometeorites: The role of volatile gases in heating and fragmentation</t>
  </si>
  <si>
    <t>ANTARCTIC MICROMETEORITES; COSMIC SPHERULES; ACCRETION RATE; DUST; QUANTIFICATION; MINERALOGY; METEORITE; POROSITY; PHYLLOSILICATES; TEMPERATURES</t>
  </si>
  <si>
    <t>The early stages of atmospheric entry are investigated in four large (250-950 mu m) unmelted micrometeorites (three fine-grained and one composite), derived from the Transantarctic Mountain micrometeorite collection. These particles have abundant, interconnected, secondary pore spaces which form branching channels and show evidence of enhanced heating along their channel walls. Additionally, a micrometeorite with a double-walled igneous rim is described, suggesting that some particles undergo volume expansion during entry. This study provides new textural data which links together entry heating processes known to operate inside micrometeoroids, thereby generating a more comprehensive model of their petrographic evolution. Initially, flash heated micrometeorites develop a melt layer on their exterior; this igneous rim migrates inwards. Meanwhile, the particle core is heated by the decomposition of low-temperature phases and by volatile gas release. Where the igneous rim acts as a seal, gas pressures rise, resulting in the formation of interconnected voids and higher particle porosities. Eventually, the igneous rim is breached and gas exchange with the atmosphere occurs. This mechanism replaces inefficient conductive rim-to-core thermal gradients with more efficient particle-wide heating, driven by convective gas flow. Interconnected voids also increase the likelihood of particle fragmentation during entry and, may therefore explain the rarity of large fine-grained micrometeorites among collections.</t>
  </si>
  <si>
    <t>[Suttle, M. D.; Genge, M. J.; Lin, Q.] Imperial Coll London, Dept Earth Sci &amp; Engn, London SW7 2AZ, England; [Suttle, M. D.; Genge, M. J.; Russell, S. S.; Najorka, J.] Nat Hist Museum, Dept Earth Sci, Cromwell Rd, London SW7 5BD, England; [Suttle, M. D.; Folco, L.] Univ Pisa, Dipartimento Sci Terra, I-56126 Pisa, Italy; [Van Ginneken, M.] Vrije Univ Brussel, Analyt Environm &amp; Geochem AMGC, Av FD Roosevelt 50, B-1050 Brussels, Belgium; [Van Ginneken, M.] Univ Libre Bruxelles, Lab G Time, Franklin Rooseveltlaan 50, B-1050 Brussels, Belgium</t>
  </si>
  <si>
    <t>Imperial College London; Natural History Museum London; University of Pisa; Vrije Universiteit Brussel; Universite Libre de Bruxelles</t>
  </si>
  <si>
    <t>Suttle, MD (corresponding author), Imperial Coll London, Dept Earth Sci &amp; Engn, London SW7 2AZ, England.;Suttle, MD (corresponding author), Nat Hist Museum, Dept Earth Sci, Cromwell Rd, London SW7 5BD, England.;Suttle, MD (corresponding author), Univ Pisa, Dipartimento Sci Terra, I-56126 Pisa, Italy.</t>
  </si>
  <si>
    <t>mds10@ic.ac.uk</t>
  </si>
  <si>
    <t>Van Ginneken, Matthias/AFQ-5594-2022; Lin, Qingyang/AAT-2405-2020; Folco, Luigi/AAB-8586-2021; Folco, Luigi/AAA-6351-2020</t>
  </si>
  <si>
    <t>Van Ginneken, Matthias/0000-0002-2508-7021; Lin, Qingyang/0000-0001-5691-9532; Russell, Sara/0000-0001-5531-7847; Genge, Matthew/0000-0002-9528-5971; Suttle, Martin/0000-0001-7165-2215; Folco, Luigi/0000-0002-7276-3483</t>
  </si>
  <si>
    <t>Science and Technology Council (STFC) [ST/M503526/1]; STFC [ST/J001260/1, ST/M00094X/1]; Italian MIUR [PNRA16_00029, PRIN2015_20158W4JZ7]; STFC [ST/J001260/1, ST/M00094X/1, ST/R000727/1, ST/N000803/1] Funding Source: UKRI</t>
  </si>
  <si>
    <t>Science and Technology Council (STFC); STFC(UK Research &amp; Innovation (UKRI)Science &amp; Technology Facilities Council (STFC)); Italian MIUR(Ministry of Education, Universities and Research (MIUR)); STFC(UK Research &amp; Innovation (UKRI)Science &amp; Technology Facilities Council (STFC))</t>
  </si>
  <si>
    <t>The data presented in this paper were acquired during M. Suttle's Ph.D. research and funded by the Science and Technology Council (STFC) (ST/M503526/1). Matthew Genge and Sara Russell are funded by the STFC grants (ST/J001260/1 and ST/M00094X/1, respectively), while Luigi Folco is funded by the Italian MIUR (grant PNRA16_00029 and PRIN2015_20158W4JZ7). We also thank John Spratt, Tomasz Goral, and Tobias Salge from the NHM and Tina Geriaki from Diamond Lightsource for their support during and analytical acquisition. Adam Suttle from Queen's College Oxford, UK is thanked for his help processing the CT video. Finally, Luke Daly from Glasgow University is thanked for his handling of samples and organization of analytical time.</t>
  </si>
  <si>
    <t>10.1111/maps.13220</t>
  </si>
  <si>
    <t>HN7ZK</t>
  </si>
  <si>
    <t>WOS:000460412500003</t>
  </si>
  <si>
    <t>Ai, ST; Wang, SS; Li, YS; Moholdt, G; Zhou, CX; Liu, LB; Yang, YD</t>
  </si>
  <si>
    <t>Ai, Songtao; Wang, Shansi; Li, Yuansheng; Moholdt, Geir; Zhou, Chunxia; Liu, Leibao; Yang, Yuande</t>
  </si>
  <si>
    <t>High-precision ice-flow velocities from ground observations on Dalk Glacier, Antarctica</t>
  </si>
  <si>
    <t>POLAR SCIENCE</t>
  </si>
  <si>
    <t>Bedrock rise; Dalk glacier; East Antarctica; Ice-flow velocity; Surface fluctuation</t>
  </si>
  <si>
    <t>LARSEMANN HILLS; MASS-BALANCE; RETREAT; SURFACE; MOTION</t>
  </si>
  <si>
    <t>Dalk Glacier, which has been monitored by CHINARE since 2007, is a calving outlet glacier near the Chinese Zhongshan Station in East Antarctica. Using in situ observational azimuthal data from 2007 to 2012, 67 high-precision spatial intersection points were calculated. Consequently, the ice-flow features of the tongue of Dalk Glacier were explored via ground measurements. The maximum observed ice-flow velocity (IV) was 192.72 m/a, at stake P9. The velocities then decreased with the distance from the central flow line on both sides of the glacier in a cross section. Further analysis showed the following: the velocities of each stake increased annually; the closer to the terminus, the faster the ice flowed; and the ascent ratio of the IVs was approximately 10.67 m/a(2) in the main flow area. We also observed seasonal variations in the ice-flow velocities, including a speed-up in January 2009 preceding an ice-calving event. The elevation change measurements at the stakes showed fluctuations along the central flow line, which indicates ice-shelf grounding over a seamount that had not been previously identified.</t>
  </si>
  <si>
    <t>[Ai, Songtao; Wang, Shansi; Zhou, Chunxia; Yang, Yuande] Wuhan Univ, Chinese Antarctic Ctr Surveying &amp; Mapping, Wuhan 430079, Hubei, Peoples R China; [Li, Yuansheng; Liu, Leibao] Polar Res Inst China, Shanghai 20036, Peoples R China; [Moholdt, Geir] Norwegian Polar Res Inst, N-9296 Tromso, Norway</t>
  </si>
  <si>
    <t>Wuhan University; Polar Research Institute of China; Norwegian Polar Institute</t>
  </si>
  <si>
    <t>Ai, ST (corresponding author), Wuhan Univ, Chinese Antarctic Ctr Surveying &amp; Mapping, Wuhan 430079, Hubei, Peoples R China.</t>
  </si>
  <si>
    <t>ast@whu.edu.cn</t>
  </si>
  <si>
    <t>Ai, Songtao/AAA-7338-2019</t>
  </si>
  <si>
    <t>National Natural Science Foundation of China [41531069, 41476162, 41276201, 41776200]; Chinese Arctic and Antarctic Administration, State Oceanic Administration, People's Republic of China</t>
  </si>
  <si>
    <t>National Natural Science Foundation of China(National Natural Science Foundation of China (NSFC)); Chinese Arctic and Antarctic Administration, State Oceanic Administration, People's Republic of China</t>
  </si>
  <si>
    <t>This work was supported by the National Natural Science Foundation of China (41531069, 41476162, 41276201, 41776200). All the in situ observation data were from the Chinese National Antarctic Research Expeditions and were mostly collected by researchers of Wuhan University. The primary observers were Fushun Wang and Wei Lan of CHINARE23; Songtao Ai, Leibao Liu, Xin Zhang, Huijun Han and Haibo Feng of CHINARE24; Li Liu and Hongxi Pang of CHINARE25; Zhiyue Lu, Yihan Gao and Jifeng Huang of CHINARE26; Chunxia Zhou and Yujun Du of CHINARE27; and Surui Xie and Yubing Mo of CHINARE28. A few other members also supported the in situ observations. We are grateful to the members of CHINARE for their help in our field work. We greatly appreciate the sustaining support from the Chinese Arctic and Antarctic Administration, State Oceanic Administration, People's Republic of China.</t>
  </si>
  <si>
    <t>1873-9652</t>
  </si>
  <si>
    <t>1876-4428</t>
  </si>
  <si>
    <t>POLAR SCI</t>
  </si>
  <si>
    <t>Polar Sci.</t>
  </si>
  <si>
    <t>10.1016/j.polar.2018.09.003</t>
  </si>
  <si>
    <t>HN9TO</t>
  </si>
  <si>
    <t>WOS:000460543300002</t>
  </si>
  <si>
    <t>Akilan, A; Azeez, KKA; Schuh, H; Padhy, S; Kotluri, SK</t>
  </si>
  <si>
    <t>Akilan, A.; Azeez, K. K. Abdul; Schuh, H.; Padhy, S.; Kotluri, S. Kumar</t>
  </si>
  <si>
    <t>Perturbations in atmospheric gaseous components over coastal Antarctica detected in GPS signals and its natural origin to volcanic eruption</t>
  </si>
  <si>
    <t>GPS; Zenith total delay; Black carbon; Mt. chaiten; Antarctica</t>
  </si>
  <si>
    <t>WATER-VAPOR; DELAY</t>
  </si>
  <si>
    <t>Although the variations in atmospheric water content control the perturbations in total travel time delay experienced by GPS signals during passage through the atmosphere (ZTD-Zenith Total Delay), significant changes in ZTD can also occur due to anomalous high influx of dry components into the atmosphere during massive volcanic eruptions. Such a possibility is illustrated here by analyzing GPS data from different locations around the Antarctic continent during the massive eruption of Mt. Chaiten volcano in Chile on 19th, February 2009. GPS derived ZTD values showed abnormal perturbation during the transition from summer to winter time in Antarctic margins. The irregular ZTD values, which existed for the short period from 19th February to 08th, March 2009, exhibited perturbations and showed high correspondence with the abnormal atmospheric black carbon (BC) content noticed over the Indian Antarctic station (Maitri) during the same period. We therefore suggest that the anomalous ZTD changes might have resulted due to high BC influx into the atmosphere. We propose that the 19th, February 2009 massive eruption of Mt. Chaiten is the source for the BC, which moved from the volcanic front to the East Antarctica margin along with the circum polar current.</t>
  </si>
  <si>
    <t>[Akilan, A.; Azeez, K. K. Abdul; Padhy, S.; Kotluri, S. Kumar] Natl Geophys Res Inst, CSIR, Hyderabad 500007, Andhra Pradesh, India; [Schuh, H.] GFZ, Potsdam, Germany</t>
  </si>
  <si>
    <t>Council of Scientific &amp; Industrial Research (CSIR) - India; CSIR - National Geophysical Research Institute (NGRI); Helmholtz Association; Helmholtz-Center Potsdam GFZ German Research Center for Geosciences</t>
  </si>
  <si>
    <t>Akilan, A (corresponding author), Natl Geophys Res Inst, CSIR, Hyderabad 500007, Andhra Pradesh, India.</t>
  </si>
  <si>
    <t>akilan@ngri.res.in</t>
  </si>
  <si>
    <t>Schuh, Harald/L-7074-2013</t>
  </si>
  <si>
    <t>Schuh, Harald/0000-0001-5443-0370</t>
  </si>
  <si>
    <t>CSIR-NGRI [ILP-0301-28 (KJC)]</t>
  </si>
  <si>
    <t>CSIR-NGRI</t>
  </si>
  <si>
    <t>We thank two anonymous reviewers and the editor for their constructive comments that significantly improved the quality of the paper. A. Akilan who has participated in the XXVIII Indian Antarctica Scientific expedition wants to express his gratitude to all the members of the expedition for their support to carry out his GPS experiments. Thanks to Dr. V.M. Tiwari, Director, CSIR-National Geophysical Research Institute for permitting us to publish this work. The IGS data were downloaded from the global data center (http://sopac.ucsd.edu/dataBrowser.shtml). The work has been carried out under project ILP-0301-28 (KJC) of CSIR-NGRI.</t>
  </si>
  <si>
    <t>10.1016/j.polar.2018.11.009</t>
  </si>
  <si>
    <t>WOS:000460543300007</t>
  </si>
  <si>
    <t>Tanaka, Y; Hiramatsu, Y; Ishihara, Y; Kanao, M</t>
  </si>
  <si>
    <t>Tanaka, Yuya; Hiramatsu, Yoshihiro; Ishihara, Yoshiaki; Kanao, Masaki</t>
  </si>
  <si>
    <t>Characteristics of non-tectonic tremors around the Lutzow-Holm Bay, East Antarctica, during 2013-2015</t>
  </si>
  <si>
    <t>Cryosphere; Fast-sea-ice; Harmonic tremor; Microbaroms; MODIS</t>
  </si>
  <si>
    <t>GREENLAND; WAVES</t>
  </si>
  <si>
    <t>Characteristics of non-tectonic tremors, excited mainly by the interaction within the cryosphere, were investigated using seismic waveform data of 2013-2015 recorded at broadband stations on the east coast of the Liitzow-Holm Bay (LHB), East Antarctica. The tremors were classified into three types by spectral and waveform features. Type A events have long durations, typically several hours to days, with high amplitudes of spectra over 1-8 Hz. They occur dominantly in austral summers. Type B events have characteristically irregular variations in discrete dominant frequencies in spectra. Type C events are harmonic tremors with discrete dominant frequencies in spectra that vary regularly with time. Type B and C events show similar seasonal variations: they are numerous around April and less so in austral winter. Comparison of spectra between seismic waves and infra-sound, together with satellite images, suggests that type A events originated from storm-induced swells near off-LHB. Source locations of type C events and satellite images suggest that type C events are likely to result from the collision/crevassing of ice blocks in fast-sea-ice in LHB. Similar seasonal variations of type B and C events imply that these two events have similar origins.</t>
  </si>
  <si>
    <t>[Tanaka, Yuya] Kanazawa Univ, Grad Sch Nat Sci &amp; Technol, Kanazawa, Ishikawa 9201192, Japan; [Hiramatsu, Yoshihiro] Kanazawa Univ, Coll Sci &amp; Engn, Sch Nat Syst, Kanazawa, Ishikawa 9201192, Japan; [Ishihara, Yoshiaki] Japan Aerosp Explorat Agcy, Chuo Ku, Yoshinodai 3-1-1, Sagamihara, Kanagawa 2525210, Japan; [Kanao, Masaki] Natl Inst Polar Res, Res Org Informat &amp; Syst, 10-3 Midori Cho, Tachikawa, Tokyo 1908518, Japan; [Ishihara, Yoshiaki] Natl Inst Environm Studies, 16-2 Onogawa, Tsukuba, Ibaraki 3058506, Japan</t>
  </si>
  <si>
    <t>Kanazawa University; Kanazawa University; Japan Aerospace Exploration Agency (JAXA); Research Organization of Information &amp; Systems (ROIS); National Institute of Polar Research (NIPR) - Japan; National Institute for Environmental Studies - Japan</t>
  </si>
  <si>
    <t>Hiramatsu, Y (corresponding author), Kanazawa Univ, Coll Sci &amp; Engn, Sch Nat Syst, Kanazawa, Ishikawa 9201192, Japan.</t>
  </si>
  <si>
    <t>mail2ytanaka@gmail.com; yoshizo@staff.kanazawa-u.ac.jp; ishihara.yoshiaki@nies.go.jp; kanao@nipr.ac.jp</t>
  </si>
  <si>
    <t>Hiramatsu, Yoshihiro/AAJ-1987-2020; Ishihara, Yoshiaki/A-8499-2011</t>
  </si>
  <si>
    <t>Hiramatsu, Yoshihiro/0000-0001-9874-5059; Ishihara, Yoshiaki/0000-0002-0375-6300</t>
  </si>
  <si>
    <t>JSPS KAKENHI [26241010]; Grants-in-Aid for Scientific Research [26241010] Funding Source: KAKEN</t>
  </si>
  <si>
    <t>We are grateful to the many people who have collaborated with seismic/infrasound observation around LHB, especially for members of the Japanese Antarctic Research Expeditions (JARE). We also thank for two anonymous reviewers for constructive comments. This work was supported by JSPS KAKENHI Grant Number 26241010 (PI Masaki Kanao). We used the MODIS imagery from National Aeronautics and Space Administration (NASA). We also used temperature data from Japan Meteorological Agency. The authors declare that they have no competing interests related to the contents of this work.</t>
  </si>
  <si>
    <t>10.1016/j.polar.2018.11.010</t>
  </si>
  <si>
    <t>WOS:000460543300008</t>
  </si>
  <si>
    <t>Bhushan, B; Prabhakar, A; Yadav, AP; Ashraf, MZ; Sigh, SB; Ganju, L</t>
  </si>
  <si>
    <t>Bhushan, Brij; Prabhakar, A.; Yadav, A. P.; Ashraf, M. Z.; Sigh, S. B.; Ganju, L.</t>
  </si>
  <si>
    <t>Activation of platelets and inflammatory cytokines in male participants of an Indian Antarctic expedition</t>
  </si>
  <si>
    <t>Antarctica; Platelets; Inflammation; Clotting time; Stress</t>
  </si>
  <si>
    <t>CELL-MEDIATED-IMMUNITY; P-SELECTIN; EXPOSURE; STRESS; COLD</t>
  </si>
  <si>
    <t>Based on 12 male volunteers we investigated through blood samples at four distinct time-points if a sojourn of 90 days in the Antarctic environment induces or impels significant alterations in platelet activation and inflammatory cytokines. The levels of coagulation signatures in terms of platelet activation molecules, clotting time, clot rate, key inflammatory cytokines and coagulation-associated inflammatory markers were measured. Significant enhancement in the expression of platelet activation molecules and cytokines was observed with shortened clotting time, most prominent during the ship's approach to the continent. In conclusion, exposure to the Antarctic environment correlated with hyper activation of platelets and inflammatory cytokines, indicative of the pro-coagulative state.</t>
  </si>
  <si>
    <t>[Bhushan, Brij; Prabhakar, A.; Yadav, A. P.; Ashraf, M. Z.; Sigh, S. B.; Ganju, L.] DRDO, DIPAS, Lucknow Rd, New Delhi 110054, India</t>
  </si>
  <si>
    <t>Defence Research &amp; Development Organisation (DRDO); Defence Institute of Physiology &amp; Allied Sciences (DIPAS)</t>
  </si>
  <si>
    <t>Ganju, L (corresponding author), DRDO, DIPAS, Lucknow Rd, New Delhi 110054, India.</t>
  </si>
  <si>
    <t>lilly.ganju65@gmail.com</t>
  </si>
  <si>
    <t>Bhushan, Brij/GNP-7700-2022; Prabhakar, Amit/AAO-5892-2021</t>
  </si>
  <si>
    <t>Bhushan, Brij/0000-0003-4036-5816; Prabhakar, Amit/0000-0002-9263-7038</t>
  </si>
  <si>
    <t>Defence Research and Development organisation (DRDO)</t>
  </si>
  <si>
    <t>Defence Research and Development organisation (DRDO)(Defence Research &amp; Development Organisation (DRDO))</t>
  </si>
  <si>
    <t>Dr. Victor Meyer-Rochow is highly acknowledged for his contribution in concluding the manuscript. Authors would like to thank National Centre for Antarctic and Ocean Research (NCAOR) for their logistic support during expedition and all the participants of the study. Brijbhushan would like to recognise Defence Research and Development organisation (DRDO) for the research fellowship.</t>
  </si>
  <si>
    <t>10.1016/j.polar.2018.11.003</t>
  </si>
  <si>
    <t>WOS:000460543300015</t>
  </si>
  <si>
    <t>Rabokon, AM; Pirko, YV; Demkovych, AY; Andreev, IO; Parnikoza, IY; Kozeretska, IA; Yu, Z; Kunakh, VA; Blume, YB</t>
  </si>
  <si>
    <t>Rabokon, A. M.; Pirko, Y., V; Demkovych, A. Ye; Andreev, I. O.; Parnikoza, I. Yu; Kozeretska, I. A.; Yu, Z.; Kunakh, V. A.; Blume, Y. B.</t>
  </si>
  <si>
    <t>Intron length polymorphism of β-tubulin genes in Deschampsia antarctica E. Desv. across the western coast of the Antarctic Peninsula</t>
  </si>
  <si>
    <t>beta-tubulin genes; Intron length polymorphism; Deschampsia antarctica; Antarctic Peninsula; Population descrimination</t>
  </si>
  <si>
    <t>MARKERS; TBP</t>
  </si>
  <si>
    <t>The origin of one from two native vascular plants in Antarctic, the Antarctic hairgrass (Deschampsia antarctic E. Desv.) (Poaceae), remains unclear. Molecular genetic analyses have demonstrated low genetic heterogeneity among representatives of this species. The search for new marker nucleotide sequences of the Antarctic hairgrass is justified, which would be useful in clarifying the phylogeographic origin, heterogeneity and population dynamics of D. antarctica. Here we report the results of a comparative analysis of the introns of beta-tubulin genes for several populations of the Antarctic hairgrass across the maritime Antarctic. We demonstrate that the first intron of the beta-tubulin gene contain markers capable of discriminating D. antarctica subpopulations in the maritime Antarctic. The sequence of the first intron of the beta-tubulin gene can therefore be used for more detailed population genetics studies of D. antarctica.</t>
  </si>
  <si>
    <t>[Rabokon, A. M.; Pirko, Y., V; Demkovych, A. Ye; Blume, Y. B.] NAS Ukraine, Inst Food Biotechnol &amp; Genom, Osypovskoho Str 2a, UA-04123 Kiev, Ukraine; [Andreev, I. O.; Parnikoza, I. Yu; Kunakh, V. A.] NAS Ukraine, Inst Mol Biol &amp; Genet, Zabolotnogo Str 150, UA-03680 Kiev, Ukraine; [Parnikoza, I. Yu; Kozeretska, I. A.] Minist Educ &amp; Sci Ukraine, State Inst Natl Antarctic Sci Ctr, Shevchenko Ave 16, UA-01601 Kiev, Ukraine; [Kozeretska, I. A.] Natl Taras Shevchenko Univ Kyiv, Volodymyrska Str 64, UA-01601 Kiev, Ukraine; [Yu, Z.] Lehigh Univ, Dept Earth &amp; Environm Sci, 1 West Packer Ave, Bethlehem, PA 18015 USA</t>
  </si>
  <si>
    <t>National Academy of Sciences Ukraine; Institute of Food Biotechnology &amp; Genomics of the National Academy of Sciences of Ukraine; National Academy of Sciences Ukraine; Institute of Molecular Biology &amp; Genetics of NASU; Ministry of Education &amp; Science of Ukraine; State Institution National Antarctic Scientific Center; Ministry of Education &amp; Science of Ukraine; Taras Shevchenko National University of Kyiv; Lehigh University</t>
  </si>
  <si>
    <t>Parnikoza, IY (corresponding author), Minist Educ &amp; Sci Ukraine, State Inst Natl Antarctic Sci Ctr, Shevchenko Ave 16, UA-01601 Kiev, Ukraine.</t>
  </si>
  <si>
    <t>ivan.parnikoza@uac.gov.ua</t>
  </si>
  <si>
    <t>Rabokon, Anastasiia/ABB-1195-2021; Andreev, Igor/G-6194-2016; Pirko, Yaroslav/ABD-5170-2020; Kozeretska, Iryna A/F-1383-2010; Blume, Yaroslav B./D-2076-2009; Kunakh, Viktor A./HKV-4993-2023; Blume, Yaroslav B./JAZ-0649-2023; Parnikoza, Ivan/I-2398-2016</t>
  </si>
  <si>
    <t>Andreev, Igor/0000-0002-3706-8514; Blume, Yaroslav B./0000-0001-7078-7548; Blume, Yaroslav B./0000-0001-7078-7548; Yu, Zicheng/0000-0003-2358-2712; Rabokon, Anastasiia/0000-0002-6249-1824; Pirko, Yaroslav/0000-0003-1887-5406</t>
  </si>
  <si>
    <t>10.1016/j.polar.2018.11.001</t>
  </si>
  <si>
    <t>WOS:000460543300016</t>
  </si>
  <si>
    <t>Lima, CR; Mendes, CRB; Tavano, VM; Detoni, AMS; Secchi, ER</t>
  </si>
  <si>
    <t>Lima, Camila Rodrigues; Borges Mendes, Carlos Rafael; Tavano, Virginia Maria; Sacilotto Detoni, Amalia Maria; Secchi, Eduardo Resende</t>
  </si>
  <si>
    <t>Chemotaxonomy-based mapping of phytoplankton communities in the subtropical Southwestern Atlantic Ocean, with emphasis on the marine cyanobacterium Trichodesmium</t>
  </si>
  <si>
    <t>Phytoplankton pigments; HPLC-CHEMTAX; Trichodesmium; Myxoxanthophyll; Atlantic Ocean</t>
  </si>
  <si>
    <t>BRAZIL-MALVINAS CONFLUENCE; SOUTH-ATLANTIC; LATITUDINAL DISTRIBUTION; PIGMENT RATIOS; SYNECHOCOCCUS WH7803; RIVER DISCHARGE; SHELF BREAK; HPLC; PATTERNS; FIXATION</t>
  </si>
  <si>
    <t>The composition and distribution of the phytoplankton community on the southweastem Brazilian continental shelf and continental slope were evaluated through chemotaxonomic analyses (HPLC-CHEMTAX). The samples were collected during five oceanographic cruises from 2012 to 2014 in spring and autumn. Fourteen surface blooms of Trichodesmium (slicks) were registered during the field surveys. The Trichodesmium biomass was estimated by both pigment analyses and microscope counts, with significant correlation found between the methods, except in some slicks. However, myxoxanthophyll, a Trichodesmium pigment biomarker generally used in CHEMTAX, was detectable only in seven samples from stations with Trichodesmium slicks, indicating that their use in pigment chemotaxonomic approaches should be taken with caution, because it could lead to errors in the estimation of Trichodesmium biomass. Four water masses were identified at the surface: Plata Plume Water (PPW), Subtropical Shelf Water (STSW), Shelf Water (SW) and Tropical Water (TW). The identified water masses seem to be the main driving factor influencing the composition, distribution and biomass of phytoplankton groups in the study region. The salty-warm oligotrophic TW, associated with the Brazil Current, was the dominant surface water mass in both autumn and spring. The surface waters in this work were generally associated with low values of both total chlorophyll a (TChl a) and nutrient concentration. In no slicks conditions, surface TChl a concentration was low ranging between 0.04 and 2.44 mg m(-3) (mean 0.27 mg m(-3)) in almost all oceanographic stations. The highest biomass concentrations were recorded in stations under influence of both PPW and STSW. Overall, Prochlorococcus, haptophytes, Synechococcus, and Trichodesmium dominated the phytoplankton community and their contributions were above 70% to total Chl a in both spring and autumn. The other phytoplankton groups (prasinophytes, cryptophytes and dinoflagellates) represented a minor fraction, with values below 15% of the total biomass. A Canonical Correspondence Analysis showed that Prochlorococcus, haptophytes, Synechococcus and Trichodesmium were related with both TW and SW and were also positively associated with weaker water column stability, a deeper mixed layer, temperature and salinity. In turn, cryptophytes, dinoflagellates, prasynophytes and diatoms, mainly associated with STSW and PPW, were positively correlated with higher stability and nutrients (nitrogen and phosphorus), and negatively associated with both temperature and salinity. Our results showed that the pigment analysis (HPLC-CHEMTAX) allowed a detailed mapping of phytoplankton communities' distribution in the south and southeastern Brazilian continental shelf and shelf-break, and that the Trichodesmium biomass, as currently estimated by this approach, should be carefully revised.</t>
  </si>
  <si>
    <t>[Lima, Camila Rodrigues; Borges Mendes, Carlos Rafael; Tavano, Virginia Maria; Sacilotto Detoni, Amalia Maria] Univ Fed Rio Grande FURG, Inst Oceanog, Lab Fitoplancton &amp; Microorganismos Marinhos, Av Italia,Km 8, BR-96203900 Rio Grande, RS, Brazil; [Borges Mendes, Carlos Rafael; Tavano, Virginia Maria] Univ Fed Rio Grande FURG, Inst Oceanog, Lab Estudo Oceanos &amp; Clima, Av Italia,Km 8, BR-96203900 Rio Grande, RS, Brazil; [Sacilotto Detoni, Amalia Maria] Columbia Univ, Lamont Doherty Earth Observ, Palisades, NY 10964 USA; [Secchi, Eduardo Resende] Univ Fed Rio Grande FURG, Inst Oceanog, Lab Ecol &amp; Conservacao Megafauna Marinha, Av Italia,Km 8, BR-96203900 Rio Grande, RS, Brazil</t>
  </si>
  <si>
    <t>Universidade Federal do Rio Grande; Universidade Federal do Rio Grande; Columbia University; Universidade Federal do Rio Grande</t>
  </si>
  <si>
    <t>Lima, CR (corresponding author), Univ Fed Rio Grande FURG, Inst Oceanog, Lab Fitoplancton &amp; Microorganismos Marinhos, Av Italia,Km 8, BR-96203900 Rio Grande, RS, Brazil.</t>
  </si>
  <si>
    <t>camilaarlima@hotmail.com; crbmendes@furg.br</t>
  </si>
  <si>
    <t>Secchi, Eduardo R./ABF-1191-2020; Mendes, Carlos/I-1520-2012; Mendes, Carlos/GVU-7596-2022; Mendes, Carlos/AAD-6504-2021; Sacilotto Detoni, Amália Maria/IVV-1485-2023; Tavano, Virginia/C-5241-2013</t>
  </si>
  <si>
    <t>Secchi, Eduardo R./0000-0001-9087-9909; Mendes, Carlos/0000-0001-6875-8860; Mendes, Carlos/0000-0001-6875-8860; Sacilotto Detoni, Amália Maria/0000-0002-7893-5370; Tavano, Virginia/0000-0003-0039-8111</t>
  </si>
  <si>
    <t>Chevron Brasil Upstrem Frade Ltda; National Counsel of Technological and Scientific Development (CNPq) [PQ 307843/2014-0]; CAPES Foundation; CNPq [610012/2011-8]; Fapergs [3029-2551/11-0]</t>
  </si>
  <si>
    <t>Chevron Brasil Upstrem Frade Ltda; National Counsel of Technological and Scientific Development (CNPq)(Conselho Nacional de Desenvolvimento Cientifico e Tecnologico (CNPQ)); CAPES Foundation(Coordenacao de Aperfeicoamento de Pessoal de Nivel Superior (CAPES)); CNPq(Conselho Nacional de Desenvolvimento Cientifico e Tecnologico (CNPQ)); Fapergs(Fundacao de Amparo a Ciencia e Tecnologia do Estado do Rio Grande do Sul (FAPERGS))</t>
  </si>
  <si>
    <t>We also thank the crew of FURG's RN Atlantic Sul and several investigators participating in the cruises for their valuable help during samples' collection. We are grateful to Simon Wright, from the Australian Antarctic Division, for providing CHEMTAX v.1.95. This project was mostly funded by Chevron Brasil Upstrem Frade Ltda. The Brazilian Inter-Ministerial Commission for the Resources of the Sea (CIRM) supplied diesel for the ship for all surveys. The National Counsel of Technological and Scientific Development (CNPq) provided a research fellowship to V.M. Tavano, A.M.C. Detoni and E.R. Secchi (PQ 307843/2014-0). CAPES Foundation provided a graduate study scholarship to C. R. Lima and a research fellowship to C.R.B. Mendes. CAPES also provided free access to many relevant journals though the portal Periodicos CAPES. This study is a contribution of the Brazilian National Institute of Science and Technology -INCT-Mar COI funded by CNPq and Fapergs Grant Number 610012/2011-8 and 3029-2551/11-0, respectively.</t>
  </si>
  <si>
    <t>10.1016/j.pocean.2019.01.008</t>
  </si>
  <si>
    <t>HN9BP</t>
  </si>
  <si>
    <t>WOS:000460493500006</t>
  </si>
  <si>
    <t>Stark, JS; Peltzer, ET; Kline, DI; Queirós, AM; Cox, TE; Headley, K; Barry, J; Gazeau, F; Runcie, JW; Widdicombe, S; Milnes, M; Roden, NP; Black, J; Whiteside, S; Johnstone, G; Ingels, J; Shaw, E; Bodrossy, L; Gaitan-Espitia, JD; Kirkwood, W; Gattuso, J</t>
  </si>
  <si>
    <t>Stark, Jonathan S.; Peltzer, Edward T.; Kline, David I.; Queiros, Ana M.; Cox, T. Erin; Headley, Kent; Barry, James; Gazeau, Frederic; Runcie, John W.; Widdicombe, Stephen; Milnes, Mark; Roden, Nicholas P.; Black, James; Whiteside, Steven; Johnstone, Glenn; Ingels, Jeroen; Shaw, Emily; Bodrossy, Levente; Gaitan-Espitia, Juan Diego; Kirkwood, William; Gattuso, JeanPierre</t>
  </si>
  <si>
    <t>Free Ocean CO2 Enrichment (FOCE) experiments: Scientific and technical recommendations for future in situ ocean acidification projects</t>
  </si>
  <si>
    <t>Field experiment; pH; Marine communities; Carbon dioxide; In situ studies; FOCE; Ocean acidification; Benthic habitats; Multi-stressor; Coral reefs; Antarctica</t>
  </si>
  <si>
    <t>ENVIRONMENTAL-IMPACT; ELEVATED PCO(2); PSEUDOREPLICATION; CARBON; GROWTH; ALGAE; BIOTURBATION; LESSONS; ECOLOGY; SYSTEMS</t>
  </si>
  <si>
    <t>Free Ocean CO2 Enrichment (FOCE) experiments are a relatively recent development in ocean acidification research, designed to address the need for in situ, long-term, community level experiments. FOCE studies have been conducted across different marine benthic habitats and regions, from Antarctica to the tropics. Based on this previous research we have formed some core operating principles that will aid those embarking on future FOCE experiments. FOCE studies have potential to provide important insight into the effects of ocean acidification that can add to or refine conclusions drawn from laboratory or single species studies because they are conducted in situ on intact assemblages. Scaling up from sub-organismal and individual effects to also include indirect impacts on the ecosystem and ecosystem services, make FOCE experiments essential in filling in current knowledge gaps in our understanding of ocean acidification. While FOCE systems are complex, relatively costly, and somewhat difficult to operate, the challenges they pose are tractable and they have proven to be a useful approach in ocean acidification research. The aim of this paper is to draw from the experiences of past FOCE experiments and provide practical advice for designing, building and operating a FOCE experiment. Some of the most important recommendations include: field testing the system design; having a backup power supply; using replicate treatment enclosures; monitoring and maintaining the chemistry appropriately; allowing sufficient time to achieve near CO2 equilibrium conditions; and having a scientific focus with a core set of hypotheses. Future FOCE experiments could focus on longer durations, multiple factors, and testing more intact benthic marine communities and ecosystems. We hope this paper will encourage further FOCE deployments and experiments, as well as provide some guidelines to improve future FOCE studies and advance ocean acidification research.</t>
  </si>
  <si>
    <t>[Stark, Jonathan S.; Milnes, Mark; Whiteside, Steven; Johnstone, Glenn] Australian Antarctic Div, Antarctic Conservat &amp; Management Program, Kingston, Tas 7050, Australia; [Peltzer, Edward T.; Headley, Kent; Barry, James; Kirkwood, William] Monterey Bay Aquarium Res Inst, 7700 Sandholdt Rd, Moss Landing, CA 95039 USA; [Kline, David I.] Univ Calif San Diego, Scripps Inst Oceanog, 9500 Gilman Dr, La Jolla, CA 92093 USA; [Kline, David I.] Smithsonian Trop Res Inst, Panama City 084303092, Panama; [Queiros, Ana M.; Widdicombe, Stephen] Plymouth Marine Lab, Prospect Pl, Plymouth PL1 3DH, Devon, England; [Cox, T. Erin; Gazeau, Frederic; Gattuso, JeanPierre] Sorbonne Univ, CNRS, Lab Oceanog Villefranche, 181 Chemin Lazaret, F-06230 Villefranche Sur Mer, France; [Cox, T. Erin] Univ New Orleans, Biol Sci, 2000 Lakeshore Dr, New Orleans, LA 70148 USA; [Runcie, John W.] Univ Sydney, Sch Life &amp; Environm Sci, Sydney, NSW 2006, Australia; [Runcie, John W.] Aquat Pty Ltd, POB 3146, Umina Beach, NSW 2257, Australia; [Roden, Nicholas P.; Black, James] Univ Tasmania, Inst Marine &amp; Antarctic Studies, Hobart, Tas, Australia; [Ingels, Jeroen] Florida State Univ, Coastal &amp; Marine Lab, 3618 Coastal Highway 98, St Teresa, FL 32358 USA; [Shaw, Emily] Calif State Univ Northridge, Dept Biol, Northridge, CA 91330 USA; [Bodrossy, Levente; Gaitan-Espitia, Juan Diego] CSIRO Oceans &amp; Atmosphere, GPO Box 1538, Hobart, Tas 7001, Australia; [Gaitan-Espitia, Juan Diego] Univ Hong Kong, Sch Biol Sci, Swire Inst Marine Sci, Pokfulam, Hong Kong, Peoples R China; [Gattuso, JeanPierre] Sci Po, Inst Sustainable Dev &amp; Int Relat, 27 Rue St Guillaume, F-75007 Paris, France</t>
  </si>
  <si>
    <t>Australian Antarctic Division; Monterey Bay Aquarium Research Institute; University of California System; University of California San Diego; Scripps Institution of Oceanography; Smithsonian Institution; Smithsonian Tropical Research Institute; Plymouth Marine Laboratory; Centre National de la Recherche Scientifique (CNRS); Sorbonne Universite; University of Louisiana System; University of New Orleans; University of Sydney; University of Tasmania; State University System of Florida; Florida State University; California State University System; California State University Northridge; Commonwealth Scientific &amp; Industrial Research Organisation (CSIRO); University of Hong Kong; Institut d'Etudes Politiques Paris (Sciences Po)</t>
  </si>
  <si>
    <t>Stark, JS (corresponding author), Australian Antarctic Div, Antarctic Conservat &amp; Management Program, Kingston, Tas 7050, Australia.</t>
  </si>
  <si>
    <t>jonny.stark@aad.gov.au</t>
  </si>
  <si>
    <t>Gaitan-Espitia, Juan Diego/A-9945-2012; Gattuso, Jean-Pierre/AAG-8643-2019; Gazeau, Frédéric/G-3050-2011; Roden, Nick/T-1206-2019; Stark, Jonathan/ABF-4025-2020; Bodrossy, Levente/B-8054-2009; Roden, Nicholas/M-3801-2016; Ingels, Jeroen/A-1691-2008</t>
  </si>
  <si>
    <t>Gaitan-Espitia, Juan Diego/0000-0001-8781-5736; Gattuso, Jean-Pierre/0000-0002-4533-4114; Gazeau, Frédéric/0000-0001-8807-4597; Stark, Jonathan/0000-0002-4268-8072; Bodrossy, Levente/0000-0001-6940-452X; Johnstone, Glenn/0000-0002-9302-4794; Peltzer, Edward/0000-0003-2821-3553; Kline, David/0000-0001-5128-9439; Cox, Traci/0000-0002-5722-4270; Roden, Nicholas/0000-0001-5623-0284; Ingels, Jeroen/0000-0001-8342-2222</t>
  </si>
  <si>
    <t>Australian Antarctic Division [AAS 4127]; 4th International Symposium on the Ocean in a High-CO2 World conference; National Science Foundation [OCE 14-15268]; Schmidt Marine Technology Partners [G-1605-55984, G-1802-57451]; Research Council's Special Research Initiative for Antarctic Gateway Partnership [SR140300001]</t>
  </si>
  <si>
    <t>Australian Antarctic Division; 4th International Symposium on the Ocean in a High-CO2 World conference; National Science Foundation(National Science Foundation (NSF)); Schmidt Marine Technology Partners; Research Council's Special Research Initiative for Antarctic Gateway Partnership</t>
  </si>
  <si>
    <t>This paper is the product of an xFOCE workshop held at the Australian Antarctic Division, Kingston, Tasmania in April 2016. The workshop was supported by the Australian Antarctic Division (AAS 4127) and the 4th International Symposium on the Ocean in a High-CO2 World conference. E. Shaw was supported by a National Science Foundation grant (OCE 14-15268) to attend the workshop. D. Kline acknowledges Schmidt Marine Technology Partners Grants G-1605-55984 and G-1802-57451. The antFOCE research was supported under Australian Research Council's Special Research Initiative for Antarctic Gateway Partnership (Project ID SR140300001).</t>
  </si>
  <si>
    <t>10.1016/j.pocean.2019.01.006</t>
  </si>
  <si>
    <t>WOS:000460493500007</t>
  </si>
  <si>
    <t>Panarello, HO; Sanci, R; Wassenaar, LI</t>
  </si>
  <si>
    <t>Panarello, Hector O.; Sanci, Romina; Wassenaar, Leonard I.</t>
  </si>
  <si>
    <t>14C chronology and stable isotopes on Lymnaea viatrix shells in northwest Patagonia, Argentina. Do they express the Antarctic climatic reversal?</t>
  </si>
  <si>
    <t>CARBONATES AND EVAPORITES</t>
  </si>
  <si>
    <t>Modeled C-14 ages; Stable isotopes; Continental carbonates</t>
  </si>
  <si>
    <t>LATE CENOZOIC GLACIATIONS; ANDEAN PIEDMONT; FIRE HISTORY; RADIOCARBON; VEGETATION; DEPOSITION; STANDARDS; CARBON; OXYGEN; LAKE</t>
  </si>
  <si>
    <t>A multi-isotope environmental record comprising an upper section of the late Pleistocene and the lower and middle Holocene, including isotopic data on 30 samples of peat, marl, tufa, Lymnaea viatrix shells, and Hippidion sp. teeth, is described from a 15m profile at Arroyo Leuto Caballo, Neuquen Province, Argentina. The chronology of the Pleistocene sequence was derived from five modeled C-14 ages. O-18 of L. viatrix, assumed as a proxy for O-18 of meteoric water isotopic composition and thus sensitive to air temperature changes, showed a warming period from 14.03calka BP until ca. 13.90calka BP, followed by a rapid decline in temperature, attaining a minimum between 13.79 and 13.56calka BP and a subsequent warming reestablishment. In addition, a specular pattern of C-13 of L. viatrix peaking in the same time span would be probably showing aridity. This pattern developed within the globally defined Antarctic Cold Reversal-ACR-time span (from 14.6-2.8calka BP), and prior to the onset of the Huelmo Mascardi Cold Reversal episode, HCMR, from ca 13.30-1.87calka BP. Given the characteristics and the time span covered, it could be related to a continental expression of the ACR event.</t>
  </si>
  <si>
    <t>[Panarello, Hector O.] Univ Buenos Aires, Consejo Nacl Invest Cient Tecn, Inst Geocronol &amp; Geol Isotop, Ciudad Univ,Intendente Guiraldes 2160, Buenos Aires, DF, Argentina; [Sanci, Romina] Univ Buenos Aires, Consejo Nacl Invest Cient Tecn, Inst Geociencias Basicas Aplicadas &amp; Ambientales, Ciudad Univ,Intendente Guiraldes 2160,Pabellon 2, Buenos Aires, DF, Argentina; [Wassenaar, Leonard I.] IAEA, Vienna Int Ctr, Dept Nucl Sci &amp; Applicat, POB 100, A-1400 Vienna, Austria</t>
  </si>
  <si>
    <t>University of Buenos Aires; Consejo Nacional de Investigaciones Cientificas y Tecnicas (CONICET); Consejo Nacional de Investigaciones Cientificas y Tecnicas (CONICET); University of Buenos Aires; International Atomic Energy Agency</t>
  </si>
  <si>
    <t>Panarello, HO (corresponding author), Univ Buenos Aires, Consejo Nacl Invest Cient Tecn, Inst Geocronol &amp; Geol Isotop, Ciudad Univ,Intendente Guiraldes 2160, Buenos Aires, DF, Argentina.</t>
  </si>
  <si>
    <t>h-panarello@doctor.com</t>
  </si>
  <si>
    <t>Wassenaar, Leonard Irwin/B-5996-2013</t>
  </si>
  <si>
    <t>Wassenaar, Leonard Irwin/0000-0001-5532-0771</t>
  </si>
  <si>
    <t>Agencia de Promocion Cientifica y Tecnologica Argentina (ANPCyT) [BID 802-OC AR PID 0535]; International Atomic Energy Agency (IAEA) within the framework of the CRP Continental Indicators of Paleoclimate [7117/RB]</t>
  </si>
  <si>
    <t>Agencia de Promocion Cientifica y Tecnologica Argentina (ANPCyT); International Atomic Energy Agency (IAEA) within the framework of the CRP Continental Indicators of Paleoclimate</t>
  </si>
  <si>
    <t>The authors are indebted to the Agencia de Promocion Cientifica y Tecnologica Argentina (ANPCyT) BID 802-OC AR PID 0535 project and to the International Atomic Energy Agency (IAEA), Research Contract 7117/RB, within the framework of the CRP Continental Indicators of Paleoclimate for their financial support. This work is dedicated to the memory of Jorge Fernandez (1943-2001) and Susana Valencio (1955-2005) former responsible of the Stable Isotopes Laboratory of the INGEIS. We also thank Dr. Kazimierz Rozanki (University of Science and Technology in Krakow, Poland, Faculty of Physics and Applied Computer Science) for his valuable comments.</t>
  </si>
  <si>
    <t>0891-2556</t>
  </si>
  <si>
    <t>1878-5212</t>
  </si>
  <si>
    <t>CARBONATE EVAPORITE</t>
  </si>
  <si>
    <t>Carbonates Evaporites</t>
  </si>
  <si>
    <t>10.1007/s13146-018-0455-9</t>
  </si>
  <si>
    <t>HN2XU</t>
  </si>
  <si>
    <t>WOS:000460049000011</t>
  </si>
  <si>
    <t>Lee-Estevez, M; Larama, G; Figueroa, E; Ulloa-Rodríguez, P; Díaz, R; Valdebenito, I; Farías, JG</t>
  </si>
  <si>
    <t>Lee-Estevez, Manuel; Larama, Giovanni; Figueroa, Elias; Ulloa-Rodriguez, Patricio; Diaz, Rommy; Valdebenito, Ivan; Farias, Jorge G.</t>
  </si>
  <si>
    <t>Complete mitochondrial genome sequence of Patagonian blenny, Eleginops maclovinus (Perciformes: Eleginopidae) with phylogenetic consideration</t>
  </si>
  <si>
    <t>CONSERVATION GENETICS RESOURCES</t>
  </si>
  <si>
    <t>Patagonian blenny; Eleginops maclovinus; Mitochondrial DNA; Sequence; Phylogenetic analysis</t>
  </si>
  <si>
    <t>Patagonian blenny (Eleginops maclovinus) is the only member of Eleginopidae family. It has been an important resource for Chilean artisanal fishermen communities, however, capture volumes have progressively decreased over last decades likely because overfishing, and concerns for conservation of this species have rised. In this work, mitochondrial DNA of E. maclovinus was fully sequenced using NGS technology. The mitochondrial genome is 16,960bp long, showing high similarity with other Antarctic fishes. Phylogenetic analysis showed E. maclovinus closer to Nototheniidae and Channichthyidae families within Notothenioidei suborder. As conclusion, we obtained and described the complete mitogenome from E. maclovinus, which constitute a valuable and useful resource for population genetic study and monitoring, as well as for further conservation efforts on this species.</t>
  </si>
  <si>
    <t>[Lee-Estevez, Manuel; Figueroa, Elias; Ulloa-Rodriguez, Patricio; Diaz, Rommy; Farias, Jorge G.] Univ La Frontera, Dept Chem Engn, Temuco, Chile; [Larama, Giovanni] Univ La Frontera, Dept Ingn Matemat, Temuco, Chile; [Larama, Giovanni] Univ La Frontera, Ctr Excelencia Modelac &amp; Comp Cient, Temuco, Chile; [Figueroa, Elias; Valdebenito, Ivan] Catholic Univ Temuco, Sch Aquaculture, Temuco, Chile</t>
  </si>
  <si>
    <t>Universidad de La Frontera; Universidad de La Frontera; Universidad de La Frontera; Universidad Catolica de Temuco</t>
  </si>
  <si>
    <t>Farías, JG (corresponding author), Univ La Frontera, Dept Chem Engn, Temuco, Chile.</t>
  </si>
  <si>
    <t>jorge.farias@ufrontera.cl</t>
  </si>
  <si>
    <t>Larama, Giovanni/O-2745-2019; Farias, Jorge G./H-4119-2018; Díaz, Rommy/I-3255-2018; ULLOA RODRIGUEZ, PATRICIO HERNAN/JZC-8316-2024; Larama, Giovanni/IAN-1822-2023; valdebenito, ivan/ABH-4457-2020</t>
  </si>
  <si>
    <t>Farias, Jorge G./0000-0001-7660-9603; Larama, Giovanni/0000-0002-9658-7752; Diaz, Rommy/0000-0002-6209-6728; Ulloa-Rodriguez, Patricio/0009-0008-2979-6061; Lee-Estevez, Manuel/0000-0002-7715-6463; Figueroa Villalobos, Elias/0000-0002-3979-7876</t>
  </si>
  <si>
    <t>FONDECYT [1151315, 3160572]; CONICYT National Doctorate Scholarships; supercomputing infrastructure of NLHPC (ECM-02) at Centro de Excelencia de Modelacion y Computacion Cientifica of Universidad de La Frontera</t>
  </si>
  <si>
    <t>FONDECYT(Comision Nacional de Investigacion Cientifica y Tecnologica (CONICYT)CONICYT FONDECYT); CONICYT National Doctorate Scholarships; supercomputing infrastructure of NLHPC (ECM-02) at Centro de Excelencia de Modelacion y Computacion Cientifica of Universidad de La Frontera</t>
  </si>
  <si>
    <t>This work was financially supported by FONDECYT Project No. 1151315 (JGF), FONDECYT Postdoctoral project No. 3160572 (RD) and CONICYT National Doctorate Scholarships (MLE, EF, PUR). This research was also supported by the supercomputing infrastructure of NLHPC (ECM-02) at Centro de Excelencia de Modelacion y Computacion Cientifica of Universidad de La Frontera. Special thanks to Dr. Silvana Bravo and Ms. Stefania E. Short for their technical assistance. The datasets used and/or analysed during the current study are available from the corresponding author on reasonable request.</t>
  </si>
  <si>
    <t>1877-7252</t>
  </si>
  <si>
    <t>1877-7260</t>
  </si>
  <si>
    <t>CONSERV GENET RESOUR</t>
  </si>
  <si>
    <t>Conserv. Genet. Resour.</t>
  </si>
  <si>
    <t>10.1007/s12686-017-0954-3</t>
  </si>
  <si>
    <t>Biodiversity Conservation; Genetics &amp; Heredity</t>
  </si>
  <si>
    <t>Biodiversity &amp; Conservation; Genetics &amp; Heredity</t>
  </si>
  <si>
    <t>HN3QA</t>
  </si>
  <si>
    <t>WOS:000460097500006</t>
  </si>
  <si>
    <t>Vance, TDR; Bayer-Giraldi, M; Davies, PL; Mangiagalli, M</t>
  </si>
  <si>
    <t>Vance, Tyler D. R.; Bayer-Giraldi, Maddalena; Davies, Peter L.; Mangiagalli, Marco</t>
  </si>
  <si>
    <t>Ice-binding proteins and the 'domain of unknown function' 3494 family</t>
  </si>
  <si>
    <t>FEBS JOURNAL</t>
  </si>
  <si>
    <t>DUF 3494; IBP-1 fold; ice recrystallization inhibition; ice-binding protein; thermal hysteresis</t>
  </si>
  <si>
    <t>HYPERACTIVE ANTIFREEZE PROTEIN; HORIZONTAL GENE-TRANSFER; BETA-HELIX; FREEZING RESISTANCE; THERMAL HYSTERESIS; EPIPHYTIC BACTERIA; STRUCTURAL BASIS; AMYLOID FIBRILS; ANTARCTIC MOSS; RECRYSTALLIZATION</t>
  </si>
  <si>
    <t>Ice-binding proteins (IBPs) control the growth and shape of ice crystals to cope with subzero temperatures in psychrophilic and freeze-tolerant organisms. Recently, numerous proteins containing the domain of unknown function (DUF) 3494 were found to bind ice crystals and, hence, are classified as IBPs. DUF3494 IBPs constitute today the most widespread of the known IBP families. They can be found in different organisms including bacteria, yeasts and microalgae, supporting the hypothesis of horizontal transfer of its gene. Although the 3D structure is always a discontinuous beta-solenoid with a triangular cross-section and an adjacent alpha-helix, DUF3494 IBPs present very diverse activities in terms of the magnitude of their thermal hysteresis and inhibition of ice recrystallization. The proteins are secreted into the environments around the host cells or are anchored on their cell membranes. This review covers several aspects of this new class of IBPs, which promise to leave their mark on several research fields including structural biology, protein biochemistry and cryobiology.</t>
  </si>
  <si>
    <t>[Vance, Tyler D. R.; Davies, Peter L.] Queens Univ, Dept Biomed &amp; Mol Sci, Kingston, ON, Canada; [Bayer-Giraldi, Maddalena] Helmholtz Ctr Polar &amp; Marine Res, Alfred Wegener Inst, Dept Glaciol, Bremerhaven, Germany; [Mangiagalli, Marco] Univ Milano Bicocca, Dept Biotechnol &amp; Biosci, Piazza Sci 2, I-20126 Milan, Italy</t>
  </si>
  <si>
    <t>Queens University - Canada; Helmholtz Association; Alfred Wegener Institute, Helmholtz Centre for Polar &amp; Marine Research; University of Milano-Bicocca</t>
  </si>
  <si>
    <t>Mangiagalli, M (corresponding author), Univ Milano Bicocca, Dept Biotechnol &amp; Biosci, Piazza Sci 2, I-20126 Milan, Italy.</t>
  </si>
  <si>
    <t>m.mangiagalli@campus.unimib.it</t>
  </si>
  <si>
    <t>MANGIAGALLI, MARCO/Q-9988-2018; Bayer-Giraldi, Maddalena/T-6438-2017</t>
  </si>
  <si>
    <t>MANGIAGALLI, MARCO/0000-0001-8211-165X; Bayer-Giraldi, Maddalena/0000-0002-7158-5478</t>
  </si>
  <si>
    <t>Canadian Institutes of Health Research Foundation [353755]; Natural Sciences and Engineering Council of Canada [RGPIN 2016-04810]; Deutsche Forschungsgemeinschaft (German Research Association Special Program 1158) [SPP1158, BA 3694/2-1]; Innovation Fund from the Alfred Wegener Institute (Project MIAA); Progetto Nazionale di Ricerche in Antartide PEA 2014-2016; RISE-MSCA Project 'Metable'; National Science and Engineering Research Council (NSERC)</t>
  </si>
  <si>
    <t>Canadian Institutes of Health Research Foundation(Canadian Institutes of Health Research (CIHR)); Natural Sciences and Engineering Council of Canada(Natural Sciences and Engineering Research Council of Canada (NSERC)); Deutsche Forschungsgemeinschaft (German Research Association Special Program 1158)(German Research Foundation (DFG)); Innovation Fund from the Alfred Wegener Institute (Project MIAA); Progetto Nazionale di Ricerche in Antartide PEA 2014-2016; RISE-MSCA Project 'Metable'; National Science and Engineering Research Council (NSERC)(Natural Sciences and Engineering Research Council of Canada (NSERC))</t>
  </si>
  <si>
    <t>PLD holds the Canada Research Chair in Protein Engineering and acknowledges financial support from the Canadian Institutes of Health Research Foundation grant 353755 and the Natural Sciences and Engineering Council of Canada discovery grant RGPIN 2016-04810. MBG thanks support by the Deutsche Forschungsgemeinschaft SPP1158 (German Research Association Special Program 1158, Grant BA 3694/2-1) and the Innovation Fund from the Alfred Wegener Institute (Project MIAA). MM thanks Marina Lotti and Stefania Brocca for the fruitful suggestions and acknowledges support by Progetto Nazionale di Ricerche in Antartide PEA 2014-2016 and the RISE-MSCA Project 'Metable'. TDRV holds a Canadian Graduate Scholarships from the National Science and Engineering Research Council (NSERC).</t>
  </si>
  <si>
    <t>1742-464X</t>
  </si>
  <si>
    <t>1742-4658</t>
  </si>
  <si>
    <t>FEBS J</t>
  </si>
  <si>
    <t>FEBS J.</t>
  </si>
  <si>
    <t>10.1111/febs.14764</t>
  </si>
  <si>
    <t>Biochemistry &amp; Molecular Biology</t>
  </si>
  <si>
    <t>HN6OY</t>
  </si>
  <si>
    <t>WOS:000460306800002</t>
  </si>
  <si>
    <t>Palerme, C; Claud, C; Wood, NB; L'Ecuyer, T; Genthon, C</t>
  </si>
  <si>
    <t>Palerme, Cyril; Claud, Chantal; Wood, Norman B.; L'Ecuyer, Tristan; Genthon, Christophe</t>
  </si>
  <si>
    <t>How Does Ground Clutter Affect CloudSat Snowfall Retrievals Over Ice Sheets?</t>
  </si>
  <si>
    <t>IEEE GEOSCIENCE AND REMOTE SENSING LETTERS</t>
  </si>
  <si>
    <t>CloudSat; ground clutter; snowfall</t>
  </si>
  <si>
    <t>BLOWING SNOW; ANTARCTICA; PRODUCT</t>
  </si>
  <si>
    <t>CloudSat has provided the first spaceborne snowfall observations in polar regions. Nevertheless, CloudSat retrievals may be affected by ground clutter even if the snowfall rate at the surface is estimated from the reflectivity measured at about 1200 m above land/ice surface. In this study, the impact of ground clutter contamination on CloudSat snowfall retrievals over the Antarctic and Greenland ice sheets is investigated. Our results suggest that ground clutter affects CloudSat snowfall observations over some areas, particularly over complex terrain such as mountain ranges and fjords. Over these areas, the snowfall rates deduced from CloudSat observations can be, therefore, significantly overestimated. This has implications when developing snowfall climatologies from CloudSat products.</t>
  </si>
  <si>
    <t>[Palerme, Cyril; Claud, Chantal] Sorbonne Univ, PSL Res Univ, Univ Paris Saclay, Ecole Polytech,LMD IPSL,CNRS,UMR 8539,ENS, Palaiseau, France; [Wood, Norman B.] Univ Wisconsin, Inst Meteorol Satellite Studies, Madison, WI 53706 USA; [L'Ecuyer, Tristan] Univ Wisconsin, Dept Atmospher &amp; Ocean Sci, Madison, WI 53706 USA; [Genthon, Christophe] Univ Grenoble Alpes, CNRS, IRD, Grenoble INP,IGE,UMR 5001, F-38000 Grenoble, France</t>
  </si>
  <si>
    <t>Centre National de la Recherche Scientifique (CNRS); CNRS - National Institute for Earth Sciences &amp; Astronomy (INSU); Universite Paris Saclay; Universite Paris Cite; Ecole des Ponts ParisTech; Universite PSL; Institut Polytechnique de Paris; Sorbonne Universite; University of Wisconsin System; University of Wisconsin Madison; University of Wisconsin System; University of Wisconsin Madison; Institut de Recherche pour le Developpement (IRD); Centre National de la Recherche Scientifique (CNRS); CNRS - National Institute for Earth Sciences &amp; Astronomy (INSU); Communaute Universite Grenoble Alpes; Institut National Polytechnique de Grenoble; Universite Grenoble Alpes (UGA)</t>
  </si>
  <si>
    <t>Palerme, C (corresponding author), Sorbonne Univ, PSL Res Univ, Univ Paris Saclay, Ecole Polytech,LMD IPSL,CNRS,UMR 8539,ENS, Palaiseau, France.</t>
  </si>
  <si>
    <t>cyrilpalerme@gmail.com</t>
  </si>
  <si>
    <t>L'Ecuyer, Tristan S/E-5607-2012</t>
  </si>
  <si>
    <t>L'Ecuyer, Tristan S/0000-0002-7584-4836; Genthon, Christophe/0000-0002-3678-4447; Wood, Norman/0000-0001-8228-3910; Palerme, Cyril/0000-0003-1475-7496</t>
  </si>
  <si>
    <t>ACAHC2 project [ANR-15-CE01-0015]; Centre National d'Etudes Spatiales (program EECLAT); National Aeronautics and Space Administration; APRES3 project [ANR-15-CE01-0003]</t>
  </si>
  <si>
    <t>ACAHC2 project; Centre National d'Etudes Spatiales (program EECLAT); National Aeronautics and Space Administration(National Aeronautics &amp; Space Administration (NASA)); APRES3 project</t>
  </si>
  <si>
    <t>This work was supported in part by the ANR-15-CE01-0015 ACAHC2 and ANR-15-CE01-0003 APRES3 projects, and in part by the Centre National d'Etudes Spatiales (program EECLAT). The works of N. B. Wood and T. L'Ecuyer were supported by the National Aeronautics and Space Administration.</t>
  </si>
  <si>
    <t>1545-598X</t>
  </si>
  <si>
    <t>1558-0571</t>
  </si>
  <si>
    <t>IEEE GEOSCI REMOTE S</t>
  </si>
  <si>
    <t>IEEE Geosci. Remote Sens. Lett.</t>
  </si>
  <si>
    <t>10.1109/LGRS.2018.2875007</t>
  </si>
  <si>
    <t>HN8EK</t>
  </si>
  <si>
    <t>WOS:000460427600004</t>
  </si>
  <si>
    <t>Trallero, L; Farré, M; Phillips, RA; Navarro, J</t>
  </si>
  <si>
    <t>Trallero, L.; Farre, M.; Phillips, R. A.; Navarro, J.</t>
  </si>
  <si>
    <t>Geometric morphometrics reveal interspecific and sexual differences in bill morphology in four sympatric planktivorous petrels</t>
  </si>
  <si>
    <t>JOURNAL OF ZOOLOGY</t>
  </si>
  <si>
    <t>bill shape; bill size; geometric morphometrics; interspecific variability; sexual dimorphism; ecological segregation; seabirds; Procellariformes</t>
  </si>
  <si>
    <t>FEEDING ECOLOGY; HALOBAENA-CAERULEA; PELECANOIDES-GEORGICUS; ILES-KERGUELEN; BLUE PETRELS; LONG-RANGE; DIMORPHISM; EVOLUTION; SEGREGATION; URINATRIX</t>
  </si>
  <si>
    <t>Variation in morphological structures may indicate the existence of ecological differences between species or sexes. In birds, the bill is one of the structures most affected by selection pressures because it is directly involved with several biological functions, particularly the acquisition of food. In this study, we combined geometric morphometrics and comparisons of linear measurements to assess the presence of sexual dimorphism and differences in bill shape and size of four species of abundant zooplanktivorous seabirds that coexist during their breeding season in Southern Ocean ecosystems [blue petrel (Halobaena caerulea), Antarctic prion (Pachyptila desolata), common diving petrel (Pelecanoides urinatrix) and South Georgia diving petrel (P. georgicus)]. The results showed that bills of Antarctic prion and blue petrel differed noticeably in size and shape from those of the two diving petrels, whereas those of common diving and South Georgian diving petrels overlapped in bill shape. These differences may be due to diet segregation or factors such as diving strategy, vocalizations or olfactory development. In addition, there was sexual dimorphism in bill shape or size in all four species. However, we could not directly attribute these differences to selection pressures because of the lack of studies comparing feeding ecology between sexes in these seabirds. These results reveal relationships between the bill shape and key factors of the ecology of these species, and demonstrate the usefulness of geometric morphometrics for detecting interspecific and sexual differences in species of otherwise sexually monomorphic petrels.</t>
  </si>
  <si>
    <t>[Trallero, L.; Farre, M.; Navarro, J.] CSIC, Inst Ciencies Mar, Passeig Maritim Barceloneta 37-49, E-08003 Barcelona, Spain; [Phillips, R. A.] NERC, British Antarctic Survey, Cambridge, England</t>
  </si>
  <si>
    <t>Consejo Superior de Investigaciones Cientificas (CSIC); CSIC - Centro Mediterraneo de Investigaciones Marinas y Ambientales (CMIMA); CSIC - Instituto de Ciencias del Mar (ICM); UK Research &amp; Innovation (UKRI); Natural Environment Research Council (NERC); NERC British Antarctic Survey</t>
  </si>
  <si>
    <t>Farré, M (corresponding author), CSIC, Inst Ciencies Mar, Passeig Maritim Barceloneta 37-49, E-08003 Barcelona, Spain.</t>
  </si>
  <si>
    <t>farre@icm.csic.es</t>
  </si>
  <si>
    <t>Navarro, Joan/C-2119-2009; Farré, Marc/Z-5067-2019; González-Solís, Jacob/AAB-1161-2019</t>
  </si>
  <si>
    <t>Navarro, Joan/0000-0002-5756-9543; Farré, Marc/0000-0002-2263-4800;</t>
  </si>
  <si>
    <t>Collaborative Gearing Scheme of the NERC Antarctic Funding Initiative; Spanish National Program Ramon y Cajal [RYC-2015-17809]; NERC [bas0100035] Funding Source: UKRI</t>
  </si>
  <si>
    <t>Collaborative Gearing Scheme of the NERC Antarctic Funding Initiative; Spanish National Program Ramon y Cajal(German Research Foundation (DFG)); NERC(UK Research &amp; Innovation (UKRI)Natural Environment Research Council (NERC))</t>
  </si>
  <si>
    <t>The authors want to thank Ruth Brown for her help during the fieldwork. JN was funded with the Collaborative Gearing Scheme of the NERC Antarctic Funding Initiative and was supported by the Spanish National Program Ramon y Cajal (RYC-2015-17809). All work was approved by the Ethics Committee of the British Antarctic Survey and was carried out under permit from the Government of South Georgia and the Sandwich Islands.</t>
  </si>
  <si>
    <t>0952-8369</t>
  </si>
  <si>
    <t>1469-7998</t>
  </si>
  <si>
    <t>J ZOOL</t>
  </si>
  <si>
    <t>J. Zool.</t>
  </si>
  <si>
    <t>10.1111/jzo.12631</t>
  </si>
  <si>
    <t>HN6MD</t>
  </si>
  <si>
    <t>WOS:000460299300002</t>
  </si>
  <si>
    <t>Lloro, V; Lozano-de Luaces, V; Lloro, I; Manzanares, MC</t>
  </si>
  <si>
    <t>Lloro, V.; Lozano-de Luaces, V.; Lloro, I.; Manzanares, M. C.</t>
  </si>
  <si>
    <t>The Incidence of Dental Needs During Isolated Missions Compared to Non-isolated Missions: A Systematic Review and Implications for Future Prevention Strategies</t>
  </si>
  <si>
    <t>MILITARY MEDICINE</t>
  </si>
  <si>
    <t>EMERGENCY RATES; HEALTH-PROBLEMS; INJURIES; PERIODS; DISEASE; DEPLOYMENT; PERSONNEL; SOLDIERS; IMPACT; FORCES</t>
  </si>
  <si>
    <t>Introduction: Dental emergencies in isolated groups have always been difficult to treat. Especially in people or groups who cannot be evacuated and who need urgent dental assistance: long-term submarine missions, long-term spaceship trips, military or non-governmental organizations deployments in conflict areas, military maneuvers, etc. The dental and evacuation problems could put the success of the mission at risk, with relevant associated economic and strategic costs. Our study summarizes current evidence about dental problems in isolated personnel (submarines and Antarctic missions) compared to other non-isolation conditions (military deployment in conflict area, military maneuvers) with the objective to assess the need for specific dental equipment in special long-term isolation conditions. Materials and Methods: We searched Medline, Cochrane Library, and Dentalgate between 1960 and 2017 for studies reporting dental disease in long-term isolation conditions (minimum 1 month) versus non-isolation conditions. We conducted the systematic review with all studies fitting the inclusion criteria. The comparison of the incidence rate was performed fitting a Poisson regression model to see the effect of the individual's condition on the incidence of dental event. Results: Thirty-eight studies were included in the systematic review. Antarctic missions showed a higher dental incidence rate compared to non-isolation conditions, but submarine missions showed the lowest dental incidence rate. In the sub-analysis of acute dental events, those with great impact on unit effectiveness, the incidence rates were higher. Caries and secondary decay events were the most prevalent dental problem in all conditions, followed by periodontal pathology and fractures of teeth or tooth problems not due to tooth decay in isolation conditions, and then by molar problems and endodontic problems in non-isolation conditions. The most common acute dental events were third molar problems and endodontic problems in all conditions. Conclusion: This systematic review shows that the incidence of dental pathology in long-term isolation conditions may seem relatively infrequent but it exists and is relevant. Dental events are unpredictable, unrelated to trauma, and caused mainly by poor dental status. Preventive measures considerably reduce dental prevalence.</t>
  </si>
  <si>
    <t>[Lloro, V.] Odontol Hosp UB, Feixa Llarga St, Barcelona 08907, Spain; [Lozano-de Luaces, V.] Univ Barcelona, Falculty Med &amp; Hlth Sci, Feixa Llarga St, Lhospitalet De Llobregat 08907, Spain; [Lloro, I.] Inst Space Sci IEEC CSIC, Campus Univ Autonoma Barcelona UAB Bellaterra, Barcelona 08193, Spain; [Manzanares, M. C.] Univ Barcelona, Human Anat &amp; Embryol Unit, Expt Pathol &amp; Therapeut Dept, Feixa Llarga St, Lhospitalet De Llobregat 08907, Spain</t>
  </si>
  <si>
    <t>University of Barcelona; Institut d'Estudis Espacials de Catalunya (IEEC); Consejo Superior de Investigaciones Cientificas (CSIC); CSIC - Instituto de Ciencias del Espacio (ICE); University of Barcelona</t>
  </si>
  <si>
    <t>Lloro, V (corresponding author), Odontol Hosp UB, Feixa Llarga St, Barcelona 08907, Spain.</t>
  </si>
  <si>
    <t>Manzanares-Céspedes, Maria Cristina/H-5489-2015</t>
  </si>
  <si>
    <t>Manzanares-Céspedes, Maria Cristina/0000-0002-4585-4953; LLoro Boada, Victor/0000-0003-2190-4896</t>
  </si>
  <si>
    <t>0026-4075</t>
  </si>
  <si>
    <t>1930-613X</t>
  </si>
  <si>
    <t>MIL MED</t>
  </si>
  <si>
    <t>Milit. Med.</t>
  </si>
  <si>
    <t>3-4</t>
  </si>
  <si>
    <t>E148</t>
  </si>
  <si>
    <t>E155</t>
  </si>
  <si>
    <t>10.1093/milmed/usy364</t>
  </si>
  <si>
    <t>Medicine, General &amp; Internal</t>
  </si>
  <si>
    <t>General &amp; Internal Medicine</t>
  </si>
  <si>
    <t>HN6MF</t>
  </si>
  <si>
    <t>WOS:000460299500007</t>
  </si>
  <si>
    <t>Shi, GT; Wang, XC; Li, YS; Trengove, R; Hu, ZY; Mi, M; Li, XC; Yu, JH; Hunter, B; He, TH</t>
  </si>
  <si>
    <t>Shi, Guitao; Wang, Xuan-Ce; Li, Yuansheng; Trengove, Robert; Hu, Zhengyi; Mi, Mei; Li, Xichen; Yu, Jinhai; Hunter, Benjamin; He, Tianhua</t>
  </si>
  <si>
    <t>Organic tracers from biomass burning in snow from the coast to the ice sheet summit of East Antarctica</t>
  </si>
  <si>
    <t>ATMOSPHERIC ENVIRONMENT</t>
  </si>
  <si>
    <t>Levoglucosan; Snow; Antarctica; Biomass burning; Liquid chromatography-tandem mass; spectrometry</t>
  </si>
  <si>
    <t>DOME C; MOLECULAR TRACERS; EMISSION FACTORS; FIRE HISTORY; CORE RECORDS; MINERAL DUST; LEVOGLUCOSAN; AEROSOLS; CLIMATE; NITRATE</t>
  </si>
  <si>
    <t>Biomass burning is a significant process in the Earth system, driving ecosystem dynamics and changes in global vegetation, and affecting the carbon cycle and climate. Projections of future fire activities require an understanding of the connection between fire history and climate in the past. Polar snow/ice contain long-term records of past climates and fire activity and hold great promise to improve our understanding of wildfire patterns. Here, using ultra-high-performance liquid chromatography-tandem mass spectrometry techniques, we quantified three organic compounds (levoglucosan, vanillic, and syringic acids) released by biomass burning in snow samples collected along a 1250-km transect from the coast to the ice sheet summit Dome A in East Antarctica. Results indicate that these tracers are ubiquitous and have reached the ice sheet summit from the continental emissions in the Southern Hemisphere. These compounds showed high levels close to the coastal areas and decreased to a low level on the Antarctic plateau. The snow samples had similar levoglucosan/vanillic acid (similar to 45) and levoglucosan/syringic acid ratios ( similar to 243) as aerosols from biomass burning. Multivariate analysis indicates that these compounds were likely derived from the burning of grasses and evergreen broadleaf trees that are widespread in Southern Hemisphere than from evergreen conifers that dominate northern hemisphere fire-prone ecosystems. Snow accumulation rate influenced the levels of these compounds, while coexisting ions had little effect on compound contents in the snow. The low concentrations of levoglucosan at inland sites (mean of 2.7 pg mL(-1); versus 3.5 and 3.7 pg mL(-1) in coastal and transition zones, respectively) could be associated with the oxidation by OH radicals under sunlight. Our analysis demonstrated that the ubiquity of multiple biomarkers from biomass burning in East Antarctic surface snow can provide baseline concentrations for future studies in Antarctica.</t>
  </si>
  <si>
    <t>[Shi, Guitao] East China Normal Univ, Key Lab Geog Informat Sci, Minist Educ, Sch Geog Sci, Shanghai 200241, Peoples R China; [Shi, Guitao] East China Normal Univ, Inst Ecochongming, Shanghai 200241, Peoples R China; [Shi, Guitao; Li, Yuansheng; Hu, Zhengyi; Yu, Jinhai] Polar Res Inst China, Shanghai 200062, Peoples R China; [Shi, Guitao] Univ Corp Polar Res, Beijing 100875, Peoples R China; [Wang, Xuan-Ce] Changan Univ, Sch Earth Sci &amp; Resources, Xian 710054, Shanxi, Peoples R China; [Wang, Xuan-Ce] Curtin Univ, Sch Earth &amp; Planetary Sci, Inst Geosci Res TIGeR, GPO Box U1987, Perth, WA 6845, Australia; [Trengove, Robert; Hunter, Benjamin] Murdoch Univ, Separat Sci &amp; Metabol Lab, Perth, WA, Australia; [Mi, Mei] Chinese Acad Sci, Guangzhou Inst Geochem, CAS Key Lab Mineral &amp; Metallogeny, Guangzhou 510640, Guangdong, Peoples R China; [Li, Xichen] Chinese Acad Sci, Inst Atmospher Phys, Beijing 100029, Peoples R China; [He, Tianhua] Curtin Univ, Sch Mol &amp; Life Sci, GPO Box U1987, Perth, WA 6845, Australia</t>
  </si>
  <si>
    <t>East China Normal University; East China Normal University; Polar Research Institute of China; Chang'an University; Curtin University; Murdoch University; Chinese Academy of Sciences; Guangzhou Institute of Geochemistry, CAS; Chinese Academy of Sciences; Institute of Atmospheric Physics, CAS; Curtin University</t>
  </si>
  <si>
    <t>Wang, XC (corresponding author), Changan Univ, Sch Earth Sci &amp; Resources, Xian 710054, Shanxi, Peoples R China.;He, TH (corresponding author), Curtin Univ, Sch Mol &amp; Life Sci, GPO Box U1987, Perth, WA 6845, Australia.</t>
  </si>
  <si>
    <t>x.wang3@curtin.edu.au; Tianhua.He@curtin.edu.au</t>
  </si>
  <si>
    <t>Wang, Xuan-Ce/K-9270-2019; He, Tianhua/Y-5372-2019; Li, Xichen/ISB-4663-2023</t>
  </si>
  <si>
    <t>Wang, Xuan-Ce/0000-0001-7276-6273; He, Tianhua/0000-0002-0924-3637; Shi, Guitao/0000-0003-1702-6322; Yu, Jinhai/0000-0003-4945-9405; Trengove, Robert/0000-0003-2454-0477</t>
  </si>
  <si>
    <t>Australian Research Council Future Fellowship [FT140100826]; National Science Foundation of China [41576190]; Fundamental Research Funds for the Central Universities [310827163412]</t>
  </si>
  <si>
    <t>Australian Research Council Future Fellowship(Australian Research Council); National Science Foundation of China(National Natural Science Foundation of China (NSFC)); Fundamental Research Funds for the Central Universities(Fundamental Research Funds for the Central Universities)</t>
  </si>
  <si>
    <t>This project was supported by the Australian Research Council Future Fellowship (Grant no. FT140100826 to X.C. Wang), the National Science Foundation of China (Grant no. 41576190 to G. Shi), and the Fundamental Research Funds for the Central Universities (program for Innovative Research Team of chemical geodynamics and Earth resources, Grant no. 310827163412 to X.C. Wang). We thank the CHINARE inland traverse members for assistance in field sampling, Sze How Bong for assistance in tracer chemicals analysis, Byron Lamont for cleaning the English.</t>
  </si>
  <si>
    <t>1352-2310</t>
  </si>
  <si>
    <t>1873-2844</t>
  </si>
  <si>
    <t>ATMOS ENVIRON</t>
  </si>
  <si>
    <t>Atmos. Environ.</t>
  </si>
  <si>
    <t>10.1016/j.atmosenv.2018.12.058</t>
  </si>
  <si>
    <t>HM9XI</t>
  </si>
  <si>
    <t>WOS:000459837900023</t>
  </si>
  <si>
    <t>McMillan, M; Muir, A; Shepherd, A; Escolà, R; Roca, M; Aublanc, J; Thibaut, P; Restano, M; Ambrozio, A; Benveniste, J</t>
  </si>
  <si>
    <t>McMillan, Malcolm; Muir, Alan; Shepherd, Andrew; Escola, Roger; Roca, Monica; Aublanc, Jeremie; Thibaut, Pierre; Restano, Marco; Ambrozio, Americo; Benveniste, Jerome</t>
  </si>
  <si>
    <t>Sentinel-3 Delay-Doppler altimetry over Antarctica</t>
  </si>
  <si>
    <t>GREENLAND ICE-SHEET; DIGITAL ELEVATION MODEL; SEA-LEVEL RISE; SATELLITE RADAR; MASS-BALANCE; GROWTH; GLACIERS; GNSS</t>
  </si>
  <si>
    <t>The launch of Sentinel-3A in February 2016 represented the beginning of a new long-term series of operational satellite radar altimeters, which will provide Delay-Doppler altimetry measurements over ice sheets for decades to come. Given the potential benefits that these satellites can offer to a range of glaciological applications, it is important to establish their capacity to monitor ice sheet elevation and elevation change. Here, we present the first analysis of Sentinel-3 Delay-Doppler altimetry over the Antarctic ice sheet, and assess the accuracy and precision of retrievals of ice sheet elevation across a range of topographic regimes. Over the low-slope regions of the ice sheet interior, we find that the instrument achieves both an accuracy and a precision of the order of 10 cm, with similar to 98% of the data validated being within 50 cm of co-located airborne measurements. Across the steeper and more complex topography of the ice sheet margin, the accuracy decreases, although analysis at two coastal sites with densely surveyed airborne campaigns shows that similar to 60%-85% of validated data are still within 1 m of co-located airborne elevation measurements. We then explore the utility of the Sentinel-3A Delay-Doppler altimeter for mapping ice sheet elevation change. We show that with only 2 years of available data, it is possible to resolve known signals of ice dynamic imbalance and to detect evidence of subglacial lake drainage activity. Our analysis demonstrates a new, long-term source of measurements of ice sheet elevation and elevation change, and the early potential of this operational system for monitoring ice sheet imbalance for decades to come.</t>
  </si>
  <si>
    <t>[McMillan, Malcolm] Univ Lancaster, UK Ctr Polar Observat &amp; Modelling, Ctr Excellence Environm Data Sci, Lancaster LA1 4YW, England; [Muir, Alan] UCL, Dept Space &amp; Climate Phys, Mullard Space Sci Lab, Gower St, London WC1E 6BT, England; [Shepherd, Andrew] Univ Leeds, Ctr Polar Observat &amp; Modelling, Leeds LS2 9JT, W Yorkshire, England; [Escola, Roger; Roca, Monica] IsardSAT Ltd, Surrey Space Incubator, 40 Occam Rd,Surrey Res Pk, Guildford GU2 7YG, Surrey, England; [Aublanc, Jeremie; Thibaut, Pierre] CLS, 11 Rue Hermes,Parc Technol Canal, F-31520 Ramonville St Agne, France; [Restano, Marco] ESA ESRIN, SERCO, Largo Galileo Galilei 1, I-00044 Frascati, RM, Italy; [Ambrozio, Americo] ESA ESRIN, DEIMOS, Largo Galileo Galilei 1, I-00044 Frascati, RM, Italy; [Benveniste, Jerome] ESA ESRIN, Largo Galileo Galilei 1, I-00044 Frascati, RM, Italy</t>
  </si>
  <si>
    <t>Lancaster University; University of London; University College London; University of Leeds; European Space Agency; European Space Agency; European Space Agency</t>
  </si>
  <si>
    <t>McMillan, M (corresponding author), Univ Lancaster, UK Ctr Polar Observat &amp; Modelling, Ctr Excellence Environm Data Sci, Lancaster LA1 4YW, England.</t>
  </si>
  <si>
    <t>m.mcmillan@lancaster.ac.uk</t>
  </si>
  <si>
    <t>McMillan, Malcolm/HLQ-1163-2023; Benveniste, Jérôme/JWP-2537-2024</t>
  </si>
  <si>
    <t>Muir, Alan/0000-0001-7754-088X; McMillan, Malcolm/0000-0002-5113-0177; Aublanc, Jeremie/0009-0000-3090-8093</t>
  </si>
  <si>
    <t>UK NERC Centre for Polar Observation and Modelling; European Space Agency [4000115201/15/I-BG]; Sentinel-3 Mission Performance Centre; NERC [NE/T009470/1, cpom30001, NE/J005681/1] Funding Source: UKRI</t>
  </si>
  <si>
    <t>UK NERC Centre for Polar Observation and Modelling(UK Research &amp; Innovation (UKRI)Natural Environment Research Council (NERC)); European Space Agency(European Space Agency); Sentinel-3 Mission Performance Centre; NERC(UK Research &amp; Innovation (UKRI)Natural Environment Research Council (NERC))</t>
  </si>
  <si>
    <t>This work was supported by the UK NERC Centre for Polar Observation and Modelling, the European Space Agency contract SEOM - Sentinel-3 Performance Improvements for ICE sheets (contract number 4000115201/15/I-BG), and the Sentinel-3 Mission Performance Centre. We thank the editor Ginny Catannia and two anonymous reviewers for their comments, which have substantially improved the manuscript.</t>
  </si>
  <si>
    <t>10.5194/tc-13-709-2019</t>
  </si>
  <si>
    <t>HN3YK</t>
  </si>
  <si>
    <t>WOS:000460120900001</t>
  </si>
  <si>
    <t>Uenzelmann-Neben, G</t>
  </si>
  <si>
    <t>Uenzelmann-Neben, Gabriele</t>
  </si>
  <si>
    <t>Variations in ice-sheet dynamics along the Amundsen Sea and Bellingshausen Sea West Antarctic Ice Sheet margin</t>
  </si>
  <si>
    <t>GEOLOGICAL SOCIETY OF AMERICA BULLETIN</t>
  </si>
  <si>
    <t>PINE ISLAND BAY; OUTER CONTINENTAL-SHELF; CIRCUMPOLAR DEEP-WATER; DEBRIS FLOW DEPOSITS; TROUGH-MOUTH FAN; PACIFIC MARGIN; SEDIMENTARY PROCESSES; TECTONIC EVOLUTION; EMBAYMENT SHELF; CLIMATE-CHANGE</t>
  </si>
  <si>
    <t>Modern global warming and its possible contribution to sea-level rise and flooding of low-lying coastal areas have moved both the Antarctic and Greenland ice sheets into the focus of public and scientific interest. Research has concentrated on reconstructing the dynamics of the ice sheets in order to understand their vulnerability to a changing climate by collecting multidisciplinary data and conducting numerical simulations. Synchronous changes in ice-sheet extent along its margin are assumed by a number of authors. The study presented here analyzes the regional and chronological appearance, distribution, and modification of sedimentary features and structures identified at the slope and rise off the West Antarctic Ice Sheet margin to test whether this assumption is correct. In general, a synchronous West Antarctic Ice Sheet dynamic is not supported by the analysis presented here; instead, this study documents a west-east trend with an early Miocene ice advance in the Amundsen Sea, while a glacial advance in the Bellingshausen Sea occurred only post-15 Ma. For the Bellingshausen Sea, stronger variability in sediment flux is observed, indicating stronger variability in ice extent. The dominance of downslope or along-slope sediment transport shows opposing trends between the two seas, which also reflects the advance/retreat of the local ice sheet and thus an increase/decrease in sediment input from the continent and a modification in intensity and relocation of the bottom current pathways. A possible reason for this west-east trend in ice-sheet dynamics may be the local geology (hinterland and basal), basal geomorphology, and the geometry of the local ice sheets.</t>
  </si>
  <si>
    <t>[Uenzelmann-Neben, Gabriele] Helmholtz Zentrum Polar &amp; Meeresforsch, Alfred Wegener Inst, Alten Hafen 26, D-27568 Bremerhaven, Germany</t>
  </si>
  <si>
    <t>Uenzelmann-Neben, G (corresponding author), Helmholtz Zentrum Polar &amp; Meeresforsch, Alfred Wegener Inst, Alten Hafen 26, D-27568 Bremerhaven, Germany.</t>
  </si>
  <si>
    <t>Gabriele.Uenzelmann-Neben@awi.de</t>
  </si>
  <si>
    <t>Uenzelmann-Neben, Gabriele/AAI-8618-2020</t>
  </si>
  <si>
    <t>Uenzelmann-Neben, Gabriele/0000-0002-0115-5923</t>
  </si>
  <si>
    <t>0016-7606</t>
  </si>
  <si>
    <t>1943-2674</t>
  </si>
  <si>
    <t>GEOL SOC AM BULL</t>
  </si>
  <si>
    <t>Geol. Soc. Am. Bull.</t>
  </si>
  <si>
    <t>10.1130/B31744.1</t>
  </si>
  <si>
    <t>HN2RE</t>
  </si>
  <si>
    <t>WOS:000460031700008</t>
  </si>
  <si>
    <t>Gifford, RM; O'Leary, T; Cobb, R; Blackadder-Weinstein, J; Double, R; Wardle, SL; Anderson, RA; Thake, CD; Hattersley, J; Imray, CHE; Wilson, A; Greeves, JP; Reynolds, RM; Woods, DR</t>
  </si>
  <si>
    <t>Gifford, Robert M.; O'Leary, Thomas; Cobb, Rinn; Blackadder-Weinstein, Jodie; Double, Rebecca; Wardle, Sophie L.; Anderson, Richard A.; Thake, C. Doug; Hattersley, John; Imray, Christopher H. E.; Wilson, Adrian; Greeves, Julie P.; Reynolds, Rebecca M.; Woods, David R.</t>
  </si>
  <si>
    <t>Female Reproductive, Adrenal, and Metabolic Changes during an Antarctic Traverse</t>
  </si>
  <si>
    <t>MEDICINE AND SCIENCE IN SPORTS AND EXERCISE</t>
  </si>
  <si>
    <t>ARDUOUS EXERCISE; PITUITARY FUNCTION; ADRENAL FUNCTION; ENERGY DEFICIT; FEMALE ATHLETE TRIAD</t>
  </si>
  <si>
    <t>CONSENSUS STATEMENT; CORTISOL; ENERGY; EXERCISE; HAIR; CONSEQUENCES; VALIDATION; STRESS; WEIGHT; LEPTIN</t>
  </si>
  <si>
    <t>Purpose To explore the effects of the first all-female transantarctic expedition on hormonal axes pertinent to reproductive and metabolic function. Methods Six females (age, 28-36 yr; body mass index, 24.2 0.97 kgm(-2)) hauled 80-kg sledges 1700 km in 61 d. Estimated average energy intake was 20.8 0.1 MJd(-1) (4970 +/- 25 kcald(-1)). Whole and regional body composition was measured by dual-energy x-ray absorptiometry 1 and 2 months before and 15 d after, the expedition. Body fat was also estimated by skinfold and bioimpedance immediately before and after the expedition. Basal metabolic and endocrine blood markers and, after 0.25 mg dexamethasone suppression, 1-h 10-g gonadorelin and 1.0 g adrenocortiocotrophin-(1-24) tests were completed, 39-38 d preexpedition and 4 to 5 d and 15 to 16 d postexpedition. Cortisol was assessed in hair (monthly average concentrations) and saliva (five-point day curves and two-point diurnal sampling). Results Average body mass loss was 9.37 +/- 2.31 kg (P &lt; 0.0001), comprising fat mass only; total lean mass was maintained. Basal sex steroids, corticosteroids, and metabolic markers were largely unaffected by the expedition except leptin, which decreased during the expedition and recovered after 15 d, a proportionately greater change than body fat. Luteinizing hormone reactivity was suppressed before and during the expedition, but recovered after 15 d, whereas follicle-stimulating hormone did not change during or after the expedition. Cortisol reactivity did not change during or after the expedition. Basal (suppressed) cortisol was 73.25 +/- 45.23 mmolL(-1) before, 61.66 +/- 33.11 mmolL(-1) 5 d postexpedition and 54.43 +/- 28.60 mmolL(-1) 16 d postexpedition (P = 0.7). Hair cortisol was elevated during the expedition. Conclusions Maintenance of reproductive and hypothalamic-pituitary-adrenal axis function in women after an extreme physical endeavor, despite energy deficiency, suggests high female biological capacity for extreme endurance exercise.</t>
  </si>
  <si>
    <t>[Gifford, Robert M.; Reynolds, Rebecca M.] Univ Edinburgh, Queens Med Res Inst, Univ British Heart Fdn Ctr Cardiovasc Sci, Edinburgh EH16 4TJ, Midlothian, Scotland; [Gifford, Robert M.; Blackadder-Weinstein, Jodie; Woods, David R.] Royal Ctr Def Med, Res &amp; Clin Innovat, Lichfield, England; [O'Leary, Thomas; Double, Rebecca; Wardle, Sophie L.; Greeves, Julie P.] Army Personnel Res Capabil, Andover, England; [Cobb, Rinn] Performance Nutr &amp; Dietet Consulting, Birmingham, W Midlands, England; [Anderson, Richard A.] Univ Edinburgh, Queens Med Res Inst, MRC Ctr Reprod Hlth, Edinburgh, Midlothian, Scotland; [Thake, C. Doug] Coventry Univ, Fac Hlth &amp; Life Sci, Coventry, W Midlands, England; [Hattersley, John; Imray, Christopher H. E.; Wilson, Adrian] Univ Coventry &amp; Warwickshire NHS Trust, Human Metab Res Unit, Warwick, England; [Hattersley, John; Imray, Christopher H. E.; Wilson, Adrian] Univ Warwick, Warwick, England; [Woods, David R.] Leeds Beckett Univ, Res Inst Sport Phys Act &amp; Leisure, Leeds, W Yorkshire, England; [Woods, David R.] Northumbria NHS Trust, Wansbeck Gen &amp; Royal Victoria Infirm, Newcastle Upon Tyne, Tyne &amp; Wear, England; [Woods, David R.] Newcastle NHS Trust, Wansbeck Gen &amp; Royal Victoria Infirm, Newcastle Upon Tyne, Tyne &amp; Wear, England; [Woods, David R.] Newcastle Univ, Newcastle Upon Tyne, Tyne &amp; Wear, England</t>
  </si>
  <si>
    <t>University of Edinburgh; Royal Centre for Defence Medicine; University of Edinburgh; Coventry University; University of Warwick; Leeds Beckett University; Newcastle Upon Tyne Hospitals NHS Foundation Trust; Newcastle University - UK</t>
  </si>
  <si>
    <t>Gifford, RM (corresponding author), Univ Edinburgh, Queens Med Res Inst, Univ British Heart Fdn Ctr Cardiovasc Sci, Edinburgh EH16 4TJ, Midlothian, Scotland.</t>
  </si>
  <si>
    <t>r.gifford@ed.ac.uk</t>
  </si>
  <si>
    <t>Thake, C. Douglas/0000-0002-0632-2137; O'Leary, Thomas/0000-0002-1120-8777; imray, chris/0000-0001-8451-4102</t>
  </si>
  <si>
    <t>UK Women in Ground Close Combat Review; Antarctic Logistic Expeditions Ltd.</t>
  </si>
  <si>
    <t>The study was funded by an unrestricted grant from the UK Women in Ground Close Combat Review. The funders had no role in the study design. The authors are indebted to the Expedition ICE MAIDEN team for their exemplary participation in a very challenging study. We are grateful to the Wellcome Trust Clinical Research Facility (CRF), and particularly Jo Singleton, the CRF Mass Spec Core led by Natalie Homer, and to the Coventry NIHR CRF Human Metabolic Research Unit, University Hospitals Coventry and Warwickshire NHS Trust and the University of Warwick, Coventry, UK. We are grateful to the assay labs of Dr Forbes Howie and Dr Neil Johnson in the University of Edinburgh Centres of Reproductive Health and Cardiovascular Science, respectively. We thank Antarctic Logistic Expeditions Ltd. for supporting researchers in Antarctica and Chile. The authors would also like to thank the Surgeon General, Defense Medical Services and Expedition ICE MAIDEN Higher Management Committee for travel and subsistence costs.</t>
  </si>
  <si>
    <t>LIPPINCOTT WILLIAMS &amp; WILKINS</t>
  </si>
  <si>
    <t>TWO COMMERCE SQ, 2001 MARKET ST, PHILADELPHIA, PA 19103 USA</t>
  </si>
  <si>
    <t>0195-9131</t>
  </si>
  <si>
    <t>1530-0315</t>
  </si>
  <si>
    <t>MED SCI SPORT EXER</t>
  </si>
  <si>
    <t>Med. Sci. Sports Exerc.</t>
  </si>
  <si>
    <t>10.1249/MSS.0000000000001803</t>
  </si>
  <si>
    <t>Sport Sciences</t>
  </si>
  <si>
    <t>HN0NS</t>
  </si>
  <si>
    <t>WOS:000459886200021</t>
  </si>
  <si>
    <t>Lin, HS; Liu, K; Wang, JJ; Lin, JH; Huang, YQ; He, XB; Li, Z; Zhang, SY; Mou, JF; Liu, YG; Song, PQ; Wang, Y; Xing, BP</t>
  </si>
  <si>
    <t>Lin, Heshan; Liu, Kun; Wang, Jianjun; Lin, Junhui; Huang, Yaqin; He, Xuebao; Li, Zhong; Zhang, Shuyi; Mou, Jianfeng; Liu, Yanguang; Song, Puqing; Wang, Yu; Xing, Bingpeng</t>
  </si>
  <si>
    <t>Spatial variability of macrobenthic production in the Bering Sea</t>
  </si>
  <si>
    <t>Secondary production; Macrobenthos; Total production; Community P; B; Bering Sea; Environmental factors</t>
  </si>
  <si>
    <t>SECONDARY PRODUCTION; MACROFAUNAL PRODUCTION; BENTHIC INVERTEBRATES; COMMUNITY STRUCTURE; BIOMASS RATIOS; CHUKCHI SEAS; SHELF; PATTERNS; PACIFIC; WATER</t>
  </si>
  <si>
    <t>Despite being located at higher latitudes with seasonal ice-cover, the Bering shelves and slope are still one of the most productive regions of the world. Existing reports regarding marine production of the Bering Sea are mainly confined to its high water column production and high biomass of macrobenthos. Compared with biomass, secondary production estimates are more functionally based and have assumed a fundamental role in the quantification of ecosystem dynamics. Based on Brey's empirical model (in: Brey, Population dynamics in benthic invertebrates. A virtual handbook, Alfred Wegener Institute for Polar and Marine Research, Germany, 2001), macrobenthic production across the majority of the Bering Sea was quantified during the 4th, 5th and 6th Chinese Arctic Scientific Expeditions. Mean total production (TP) and community P/B for the entire survey area were 220.6 +/- 341.5kJm(-2)year(-1) and 0.4 +/- 0.2year(-1), n=46, respectively. Higher TP occurred in the shallower shelves and slope with values exceeding 131.0kJm(-2)year(-1), whereas lower TP occurred in the deep basin with values of 1.0kJm(-2)year(-1). Comprehensive analysis revealed that the sediment, water flow, temperature and depth were the major factors affecting the macrobenthic production. Owing to the relatively high biological production in the upper water column and the tight pelagic-benthic coupling, higher production occurred in the shallow shelves and slope, particularly in the northern Bering Sea. In contrast, the high-nutrient, low-chlorophyll characteristic and deficient particulate organic carbon input led to low production in the deep basin. Similar to the conditions in the Arctic and Antarctic, the energy conversion rate of macrozoobenthos was relatively low for the Bering Sea.</t>
  </si>
  <si>
    <t>[Lin, Heshan; Liu, Kun; Wang, Jianjun; Lin, Junhui; Huang, Yaqin; He, Xuebao; Li, Zhong; Zhang, Shuyi; Mou, Jianfeng; Song, Puqing; Wang, Yu; Xing, Bingpeng] State Ocean Adm, Inst Oceanog 3, Lab Marine Biol &amp; Ecol, Xiamen 361005, Peoples R China; [Liu, Kun] Tianjin Univ Sci &amp; Technol, Coll Marine Sci &amp; Engn, Tianjin 300457, Peoples R China; [Lin, Heshan; Huang, Yaqin] Jimei Univ, Fisheries Coll, Xiamen 361021, Peoples R China; [Liu, Yanguang] State Ocean Adm, Inst Oceanog 1, Key Lab Marine Sedimentol &amp; Environm Geol, Qingdao 266061, Peoples R China</t>
  </si>
  <si>
    <t>Third Institute of Oceanography, Ministry of Natural Resources; Tianjin University Science &amp; Technology; Jimei University; First Institute of Oceanography, Ministry of Natural Resources</t>
  </si>
  <si>
    <t>Wang, JJ (corresponding author), State Ocean Adm, Inst Oceanog 3, Lab Marine Biol &amp; Ecol, Xiamen 361005, Peoples R China.</t>
  </si>
  <si>
    <t>wangjianjun220@tio.org.cn</t>
  </si>
  <si>
    <t>Liu, Yanguang/AAG-8119-2021; Huang, YQ/JOK-7580-2023; Wang, Yu/HLP-6716-2023; zhang, jinlu/KEE-9374-2024; He, Xue-Bao/E-6716-2011; xing, bingpeng/HZH-8068-2023</t>
  </si>
  <si>
    <t>Liu, Yanguang/0000-0002-4524-2930; xing, bingpeng/0000-0002-4963-6574</t>
  </si>
  <si>
    <t>National Natural Science Foundation of China [41306116, 41506217]; Scientific Research Foundation of Third Institute of Oceanography, SOA [2018023, 2016011]; Chinese Polar Environment Comprehensive Investigation and Assessment Programs [CHINARE 04-03, 03-05, 03-02]; Polar Science Strategic Research Foundation of China [20140309]</t>
  </si>
  <si>
    <t>National Natural Science Foundation of China(National Natural Science Foundation of China (NSFC)); Scientific Research Foundation of Third Institute of Oceanography, SOA; Chinese Polar Environment Comprehensive Investigation and Assessment Programs; Polar Science Strategic Research Foundation of China</t>
  </si>
  <si>
    <t>This work was supported by the National Natural Science Foundation of China under contract Nos. 41306116 and 41506217; the Scientific Research Foundation of Third Institute of Oceanography, SOA, Nos. 2018023 and 2016011; the Chinese Polar Environment Comprehensive Investigation and Assessment Programs under contract Nos. CHINARE 04-03, 03-05 and 03-02; the Polar Science Strategic Research Foundation of China under contract No. 20140309. We extend our appreciation to Lin Wuhui and Xu Zhiqiang for their constructive help and suggestions for the paper. Other sample information and data were issued on the Resource-sharing Platform of Polar Samples (http://birds.chinare.org.cn) maintained by the Polar Research Institute of China and the Chinese National Arctic and Antarctic Data Center.</t>
  </si>
  <si>
    <t>10.1007/s00300-018-2414-2</t>
  </si>
  <si>
    <t>HM9RC</t>
  </si>
  <si>
    <t>WOS:000459821700001</t>
  </si>
  <si>
    <t>Carella, M; Agell, G; Uriz, MJ</t>
  </si>
  <si>
    <t>Carella, M.; Agell, G.; Uriz, M. J.</t>
  </si>
  <si>
    <t>Asexual reproduction and heterozygote selection in an Antarctic demosponge (Stylocordyla chupachus, Suberitida)</t>
  </si>
  <si>
    <t>Antarctic demosponges; Microsatellites; Population genetics; Clonal reproduction; Heterozygote selection</t>
  </si>
  <si>
    <t>GENETIC-STRUCTURE; CRAMBE-CRAMBE; POPULATION DIFFERENTIATION; BOREALIS LOVEN; MARINE SPONGES; WEDDELL SEA; PORIFERA; POECILOSCLERIDA; COMMUNITIES; DISPERSAL</t>
  </si>
  <si>
    <t>Antarctic bottoms harbor stable, benthic communities, subjected to low temperatures. Environmental stability may promote the asexual (clonal) reproduction of sponges to maintain adapted genotypes to those particular conditions. Stylocordyla chupachups forms patchy populations across the Antarctic continental shelf. Individuals are mostly similar in size without distinct cohorts, which indicates fast growth of the new recruits. Settlement of incubated (clonal?) functional sponges may accelerate sponge growth and success at early colonization phases. To analyze the weight of clonal reproduction in the species, a genetic study was performed on three close populations using eight polymorphic microsatellite loci that were designed from massive sequencing. The three study populations showed a relatively low genetic diversity and low loci polymorphism (from 2 to 6 alleles). The estimators of genetic structure, the Analysis of the Molecular Variance (AMOVA), and the presence of private alleles indicated low but significant structure between the populations. A relatively high rate of asexual reproduction (ca. 25% of the individuals) was detected. The program MLGsim found five identical multilocus genotypes (MLGs) with an asexual origin. An excess of heterozygotes (in five out of the eight loci genotyped) was found, which suggests a positive selection mechanism for heterozygotes. The relatively high rates of asexual reproduction may be the result of adaptation to the environmental stability, while heterozygote selection would help maintain some genetic diversity in the populations. S. chupachups has been reported to be one of the first sponge species recolonizing bare areas resulting from iceberg scouring, which indicates a high species fitness and adaptation to Antarctic bottoms. Two out of the three study populations showed bottleneck, which may indicate a recent founder effect and supports the pioneer nature of this species.</t>
  </si>
  <si>
    <t>[Carella, M.; Agell, G.; Uriz, M. J.] CSIC, CEAB, Acces Cala St Francesc 14, Blanes 17300, Girona, Spain</t>
  </si>
  <si>
    <t>Consejo Superior de Investigaciones Cientificas (CSIC); CSIC - Centre d'Estudis Avancats de Blanes (CEAB)</t>
  </si>
  <si>
    <t>Uriz, MJ (corresponding author), CSIC, CEAB, Acces Cala St Francesc 14, Blanes 17300, Girona, Spain.</t>
  </si>
  <si>
    <t>Iosune@ceab.csic.es</t>
  </si>
  <si>
    <t>Uriz, Maria J./AGP-4595-2022; Carella, Mirco/AAS-4586-2020</t>
  </si>
  <si>
    <t>Uriz, Maria J./0000-0002-8169-3173;</t>
  </si>
  <si>
    <t>AWI; MarSymBiomics project (Spanish FECYT agency grant) [CTM2013-43286-P]; Benthic Ecology Consolidate Award (Generalitat of Catalonian) [2017SGR-378]; PopComics from the Spanish Government [CTM88080AEI/FEDER/VE]; BluePharmTrain FP7 People-INT [607786]</t>
  </si>
  <si>
    <t>AWI; MarSymBiomics project (Spanish FECYT agency grant); Benthic Ecology Consolidate Award (Generalitat of Catalonian); PopComics from the Spanish Government; BluePharmTrain FP7 People-INT</t>
  </si>
  <si>
    <t>We would like to thank R. Knust (Alfred-Wegener-Institut, AWI; Germany) and J.M. Gili (Instituto de Ciencias Del Mar de Barcelona, ICM; Spain) for inviting one of us (MJU) to take part of the XXVII Polarstern cruise funded by the AWI; T. Lundalv (University of Gothenburg, Sweden) guided the ROV, and took sponge samples; E. Isla, S. Rossi (ICM), A. Wolf, J. Gutt, D. Gerde, and C. Richter (AWI) helped in sampling and facilitated on board work; D. Janussen (Senckenberg Research Institute and Nature Museum, Frankfurt amMain, Germany) was in charge of the Agassiz (AGT) and bottom trawl (BT) gears. Special thanks go to F. Raffini (Max Planck Institute for Ornithology, University of Konstanz, Germany) for extending help in the use of Demetics and to F. Salin for the Excel macro written in Microsoft Visual Basic to detect relevant gaps in the allele size. The study has been partially funded by MarSymBiomics project (Spanish FECYT agency grant ref. CTM2013-43286-P), Benthic Ecology Consolidate Award (Generalitat of Catalonian ref. 2017SGR-378), PopComics (CTM88080AEI/FEDER/VE) from the Spanish Government, and BluePharmTrain FP7 People-INT no: 607786 to MJU.</t>
  </si>
  <si>
    <t>10.1007/s00300-018-2436-9</t>
  </si>
  <si>
    <t>WOS:000459821700003</t>
  </si>
  <si>
    <t>Câmara, PEAS; Valente, DV; de Amorim, ET; Henriques, DK; Carvalho-Silva, M; Convey, P; Stech, M</t>
  </si>
  <si>
    <t>Aguiar Saraiva Camara, Paulo Eduardo; Valente, Daiane Valente; de Amorim, Eduardo Toledo; Henriques, Diego Knop; Carvalho-Silva, Micheline; Convey, Peter; Stech, Michael</t>
  </si>
  <si>
    <t>Integrated analysis of intraspecific diversity in the bipolar moss Roaldia revoluta (Mitt.) PEAS Camara &amp; M. Carvalho-Silva (Bryophyta) in Antarctica</t>
  </si>
  <si>
    <t>Roaldia revoluta; Hypnum revolutum; Antarctica; Morphological variation; Genetic diversity</t>
  </si>
  <si>
    <t>JAMES-ROSS-ISLAND; MOLECULAR PHYLOGENY; BRYOPSIDA; EVOLUTION; MITOCHONDRIAL; PENINSULA; RADIATION; COMPLEX; ORDER</t>
  </si>
  <si>
    <t>The extreme conditions of life in Antarctica pose challenges to many organisms. Bryophytes comprise the main vegetation of the continent and they endure many adversities, thriving in an environment hostile to most living organisms. Mosses are known to exhibit phenotypic plasticity, due to genotypic heterogeneity, environmental influences, or a combination of both. We investigated morphological diversity and its possible relationship with genetic diversity in the Antarctic moss, Roaldia revoluta, and also if the geographic distribution of morphotypes was related with environmental variables. We obtained 49 samples from Antarctica, including King George Island (K), James Ross Island (J), and several locations in the Antarctic Peninsula (P), representing most of the habitats where this species is found. A principal component analysis (PCA) was performed using quantitative measures of gametophytic morphological characters. For molecular analyses, we used DNA sequences of five molecular markers obtained from 29 specimens. Canonical correspondence analysis (CCA) was carried out to compare morphological diversity with environmental variables. Our data support the existence of two morphotypes of R. revoluta, morphotype A (apiculate and ovate leaves), more frequent in K, and morphotype B (acuminate and more oblong leaves), more common in J. Both morphotypes were present in P. The distinct morphotypes could not be related with genetic heterogeneity, since no sequence differences were found in any of the selected markers, supporting the morphological distinction being explained by environmental factors. The results from CCA supported a relationship between the observed morphological variation and the local environmental characteristics of wind speed and minimum temperature.</t>
  </si>
  <si>
    <t>[Aguiar Saraiva Camara, Paulo Eduardo; Valente, Daiane Valente; de Amorim, Eduardo Toledo; Henriques, Diego Knop] Univ Brasilia, Bot Dept, Brasilia, DF, Brazil; [Carvalho-Silva, Micheline] Fed Univ Jequitinhonha &amp; Mucuri Valleys, Unai, Brazil; [Convey, Peter] British Antarct Survey, Cambridge, England; [Stech, Michael] Naturalis Biodivers Ctr, Leiden, Netherlands</t>
  </si>
  <si>
    <t>Universidade de Brasilia; Universidade Federal dos Vales do Jequitinhonha e Mucuri (UFVJM); UK Research &amp; Innovation (UKRI); Natural Environment Research Council (NERC); NERC British Antarctic Survey; Naturalis Biodiversity Center</t>
  </si>
  <si>
    <t>Câmara, PEAS (corresponding author), Univ Brasilia, Bot Dept, Brasilia, DF, Brazil.</t>
  </si>
  <si>
    <t>pcamara@unb.br</t>
  </si>
  <si>
    <t>Valente, Daiane Valente/J-1682-2017; Convey, Peter/AAV-5728-2020; Camara, Paulo/GPP-2054-2022</t>
  </si>
  <si>
    <t>Convey, Peter/0000-0001-8497-9903; Camara, Paulo/0000-0002-3944-996X; Silva, Micheline/0000-0002-2389-3804; Valente, Daiane/0000-0002-7817-1032; Stech, Michael/0000-0001-9804-0120; Amorim, Eduardo/0000-0003-4253-1339; Henriques, Diego Knop/0000-0003-2839-8877</t>
  </si>
  <si>
    <t>Brazilian Antarctic Program (PROANTAR); National Advice for Scientific and Technological Development (CNPq); Ministry of Science, Technology and Innovation (MCTI); NERC; NERC [bas0100036] Funding Source: UKRI</t>
  </si>
  <si>
    <t>Brazilian Antarctic Program (PROANTAR); National Advice for Scientific and Technological Development (CNPq)(Conselho Nacional de Desenvolvimento Cientifico e Tecnologico (CNPQ)Fundacao de Apoio a Pesquisa do Distrito Federal (FAPDF)); Ministry of Science, Technology and Innovation (MCTI); NERC(UK Research &amp; Innovation (UKRI)Natural Environment Research Council (NERC)); NERC(UK Research &amp; Innovation (UKRI)Natural Environment Research Council (NERC))</t>
  </si>
  <si>
    <t>We are very grateful to the Brazilian Navy, Brazilian Air force, Chinese Great Wall Station staff (King George Island) for their support during the austral summer 2016/2017, and to the Chilean Antarctic Institute (INACH) and its staff at Escudero station. We also thank the curators of the cited herbaria. This study was carried out with the support and under the auspices of the Brazilian Antarctic Program (PROANTAR). Funds were provided by National Advice for Scientific and Technological Development (CNPq) and Ministry of Science, Technology and Innovation (MCTI), whom we especially thank. P. Convey is supported by NERC core funding to the BAS Biodiversity, Evolution and Adaptation' Team.</t>
  </si>
  <si>
    <t>10.1007/s00300-018-2437-8</t>
  </si>
  <si>
    <t>WOS:000459821700004</t>
  </si>
  <si>
    <t>Weissburg, MJ; Yen, J; Fields, DM</t>
  </si>
  <si>
    <t>Weissburg, M. J.; Yen, J.; Fields, D. M.</t>
  </si>
  <si>
    <t>Phytoplankton odor modifies the response of Euphausia superba to flow</t>
  </si>
  <si>
    <t>Behavior; Chemical cues; Orientation; Palmer station; Rheotaxis</t>
  </si>
  <si>
    <t>ANTARCTIC KRILL; BEHAVIOR; AGGREGATIONS; ZOOPLANKTON; COPEPODS; BIOMASS; DANA</t>
  </si>
  <si>
    <t>Antarctic krill, Euphausia superba, are critical components of the Antarctic food web as well as important targets for conservation and management. Krill behavior has important effects on demographic properties and aggregation characteristics, but remains incompletely known. Krill clearly respond to different environmental stimuli such as light, flow and chemicals, but few studies have quantified these behaviors. We examined the behavior of krill in well-quantified current speeds in a laboratory flume and examined interactions of phytoplankton odor and flow. Krill are sensitive to flow speeds as low as 1 mm s(-1), and flow polarizes krill swimming and orientation in the up-current direction. Phytoplankton odor increases the sensitivity of krill to flow, and induces area-restricted search behaviors that presumably allow krill to exploit food patches efficiently. The ability to quantify krill behavior could have important consequences for understanding demographic processes and the properties of krill aggregations.</t>
  </si>
  <si>
    <t>[Weissburg, M. J.; Yen, J.] Georgia Inst Technol, Sch Biol Sci, 310 Ferst Dr, Atlanta, GA 30332 USA; [Fields, D. M.] Bigelow Lab Ocean Sci, 60 Bigelow Dr, East Boothbay, ME 04544 USA</t>
  </si>
  <si>
    <t>University System of Georgia; Georgia Institute of Technology</t>
  </si>
  <si>
    <t>Weissburg, MJ (corresponding author), Georgia Inst Technol, Sch Biol Sci, 310 Ferst Dr, Atlanta, GA 30332 USA.</t>
  </si>
  <si>
    <t>marc.weissburg@biology.gatech.edu</t>
  </si>
  <si>
    <t>NSF [1537579, PLR-1246296]; Division Of Ocean Sciences; Directorate For Geosciences [1537579] Funding Source: National Science Foundation</t>
  </si>
  <si>
    <t>NSF(National Science Foundation (NSF)); Division Of Ocean Sciences; Directorate For Geosciences(National Science Foundation (NSF)NSF - Directorate for Geosciences (GEO))</t>
  </si>
  <si>
    <t>DMF was supported by NSF Award # 1537579, and JY by NSF Award PLR-1246296. This work would not have been possible without the outstanding efforts of the crew of the RV Laurence M. Gould and the staff at Palmer Station. Their support, as well as that of the United States Antarctic Program is gratefully acknowledged. Madison Luker assisted in analyzing krill kinematics, and Dr. Jun Zhang designed and fabricated the flume.</t>
  </si>
  <si>
    <t>10.1007/s00300-018-02440-w</t>
  </si>
  <si>
    <t>WOS:000459821700007</t>
  </si>
  <si>
    <t>Harmelin-Vivien, M; Banaru, D; Dromard, CR; Ourgaud, M; Carlotti, F</t>
  </si>
  <si>
    <t>Harmelin-Vivien, Mireille; Banaru, Daniela; Dromard, Charlotte R.; Ourgaud, Melanie; Carlotti, Francois</t>
  </si>
  <si>
    <t>Biochemical composition and energy content of size-fractionated zooplankton east of the Kerguelen Islands</t>
  </si>
  <si>
    <t>Southern Ocean; Plankton; Lipids; Proteins; Carbohydrates; Energy content</t>
  </si>
  <si>
    <t>NATURAL IRON FERTILIZATION; FATTY-ACID-COMPOSITION; ELEMENTAL COMPOSITION; FOOD-WEB; ANTARCTIC ZOOPLANKTON; MARINE ZOOPLANKTON; LIPID-COMPOSITION; MYCTOPHID FISHES; COASTAL WATERS; SOUTHERN</t>
  </si>
  <si>
    <t>Food quality is recognized as a key parameter of food web functioning in which zooplankton plays a crucial role not only in linking lower to upper trophic levels but also in transforming the quality of the organic matter available to predators. The influence of size and taxonomic group composition of zooplankton in these processes was assessed in eastern Kerguelen waters (Southern Ocean) at the onset of the spring bloom in 2011. Biochemical (lipids, proteins and carbohydrates) and elemental (carbon and nitrogen) composition were measured in five sizefractions of bulk zooplankton ranging from 80 mu m to&gt;2000 mu m and in large copepods, euphausiids, annelids and salps, and energy content was derived from biochemical contents. Proteins were the dominant component of zooplankton dry weight (21.5% dw), followed by lipids (8.9% dw), soluble carbohydrates (2.2% dw) and insoluble carbohydrates (1.0% dw). A concentration increase with zooplankton size for all biochemical components was observed, particularly stronger for proteins and lipids. Copepods and salps provided, respectively, the highest and the lowest amount of lipids and energy. A four-fold increase in energy content was observed from the smallest to the largest fraction inducing a significant increase (&gt; 10kJ g(-1) dw) in the quality of zooplankton matter. This may explain why large zooplankton represent a major food resource for numerous fish, seabirds and marine mammals in the Southern Ocean. Such unique results are required to better quantify energy dynamics in polar food webs.</t>
  </si>
  <si>
    <t>[Harmelin-Vivien, Mireille; Banaru, Daniela; Ourgaud, Melanie; Carlotti, Francois] Aix Marseille Univ, Univ Toulon, CNRS, IRD,MIO,UM 110, F-13288 Marseille 09, France; [Dromard, Charlotte R.] Univ Antilles, Sorbonne Univ, Lab Excellence CORAIL, UMR BOREA,CNRS 7208,MNHN,UCN,IRD 207, F-97157 Pointe a Pitre, Guadeloupe, France</t>
  </si>
  <si>
    <t>Institut de Recherche pour le Developpement (IRD); Centre National de la Recherche Scientifique (CNRS); Aix-Marseille Universite; Institut de Recherche pour le Developpement (IRD); Universite des Antilles; Sorbonne Universite; Museum National d'Histoire Naturelle (MNHN)</t>
  </si>
  <si>
    <t>Harmelin-Vivien, M (corresponding author), Aix Marseille Univ, Univ Toulon, CNRS, IRD,MIO,UM 110, F-13288 Marseille 09, France.</t>
  </si>
  <si>
    <t>mireille.harmelin@mio.osupytheas.fr; daniela.banaru@mio.osupytheas.fr; charlotte.dromard@univ-antilles.fr; melanie.ourgaud@mio.osupytheas.fr; francois.carlotti@mio.osupytheas.fr</t>
  </si>
  <si>
    <t>BANARU, Daniela/ABC-8603-2021</t>
  </si>
  <si>
    <t>BANARU, Daniela/0000-0002-8126-4328; Ourgaud, Melanie/0000-0002-7881-0527</t>
  </si>
  <si>
    <t>French Research program of INSU-CNRS LEFE - CYBER (Les enveloppes fluides et l'environnement-Cycles biogeochimiques, environnement et resources); French ANR (Agence Nationale de la Recherche) [ANR-10-BLAN-0614, ANR-09-CEXC-006-01]; LABEX OT-MED [ANR-11-LABX-0061]; French CNES (Centre National d'Etudes Spatiales); French Polar Institute IPEV (Insitut Polaire Paul-Emile Victor); European FEDER Fund [1166-39417]</t>
  </si>
  <si>
    <t>French Research program of INSU-CNRS LEFE - CYBER (Les enveloppes fluides et l'environnement-Cycles biogeochimiques, environnement et resources); French ANR (Agence Nationale de la Recherche)(Agence Nationale de la Recherche (ANR)); LABEX OT-MED; French CNES (Centre National d'Etudes Spatiales); French Polar Institute IPEV (Insitut Polaire Paul-Emile Victor); European FEDER Fund</t>
  </si>
  <si>
    <t>The authors thank S. Blain, project coordinator, B. Queguiner chief scientist on board, and Captain B. Lassiette and the crew of the R/V Marion Dufresnes. Special thanks are due to M.P. Jouandet for her help in sample collection, M.F. Fontaine for biochemical analyzes, to L. Guillou and P. Richard (LIENSs Laboratory, La Rochelle University) for C and N analyzes, and to M. Paul, a native English speaker, for English correction. This work was supported by the French Research program of INSU-CNRS LEFE - CYBER (Les enveloppes fluides et l'environnement-Cycles biogeochimiques, environnement et resources), the French ANR (Agence Nationale de la Recherche, ANR-10-BLAN-0614 of SIMI-6 program, and ANR-09-CEXC-006-01 to M. Zhou and F. Carlotti), LABEX OT-MED (No. ANR-11-LABX-0061), the French CNES (Centre National d'Etudes Spatiales) and the French Polar Institute IPEV (Insitut Polaire Paul-Emile Victor). The project leading to this publication has received funding from European FEDER Fund under Project 1166-39417. Many thanks are addressed to the three reviewers for their constructive and helpful comments on an earlier version of the manuscript.</t>
  </si>
  <si>
    <t>10.1007/s00300-019-02458-8</t>
  </si>
  <si>
    <t>WOS:000459821700016</t>
  </si>
  <si>
    <t>Jones, CW; Risi, MM; Cleeland, J; Ryan, PG</t>
  </si>
  <si>
    <t>Jones, Christopher W.; Risi, Michelle M.; Cleeland, Jaimie; Ryan, Peter G.</t>
  </si>
  <si>
    <t>First evidence of mouse attacks on adult albatrosses and petrels breeding on sub-Antarctic Marion and Gough Islands</t>
  </si>
  <si>
    <t>Mus musculus; Eradication; Adult predation; Macronectes halli; Diomedea dabbenena; Thalassarche chlororhynchos</t>
  </si>
  <si>
    <t>MICE MUS-MUSCULUS; CLIMATE-CHANGE; HOUSE MICE; PREDATION; CHICKS; CONSEQUENCES; BIRDS</t>
  </si>
  <si>
    <t>Invasive house mice Mus musculus are significant predators of seabird chicks on islands where they are the only introduced mammal, but there are very few records of attacks on adult birds. We report the first evidence of mouse attacks on adult albatrosses and petrels breeding on Marion and Gough Islands, where there has been a recent increase in attacks on seabird chicks. In September 2017, wounds consistent with a mouse attack were recorded on an incubating adult male Northern Giant Petrel Macronectes halli on Marion Island. The nest was deserted, and breeding success within 500 m was 18% (n=11) compared to 68% at nests &gt;500m away (n=123), suggesting that other incubating adults in the immediate vicinity also might have been affected. In March 2018, an incubating Tristan Albatross Diomedea dabbenena was found on Gough Island with a typical mouse wound on its rump. The egg hatched and the same bird was later seen brooding and feeding the chick. In October 2018, an incubating Atlantic Yellow-nosed Albatross Thalassarche chlororhynchos was found on Gough Island with a wound on its back suggestive of a mouse attack and 23 freshly dead carcasses of this species were found, next to empty nests, in nearby colonies. These observations add to mounting evidence of the impacts of mice on seabirds, and further support calls to eradicate mice from Marion and Gough Islands</t>
  </si>
  <si>
    <t>[Jones, Christopher W.; Risi, Michelle M.; Ryan, Peter G.] Univ Cape Town, DST NRF Ctr Excellence, FitzPatrick Inst African Ornithol, ZA-7701 Rondebosch, South Africa; [Cleeland, Jaimie] Royal Soc Protect Birds, RSPB Ctr Conservat Sci, Sandy SG19 2DL, Beds, England</t>
  </si>
  <si>
    <t>National Research Foundation - South Africa; University of Cape Town; Royal Society for Protection of Birds</t>
  </si>
  <si>
    <t>Jones, CW (corresponding author), Univ Cape Town, DST NRF Ctr Excellence, FitzPatrick Inst African Ornithol, ZA-7701 Rondebosch, South Africa.</t>
  </si>
  <si>
    <t>chrisj22123@gmail.com</t>
  </si>
  <si>
    <t>Cleeland, Jaimie/0000-0003-2196-3968</t>
  </si>
  <si>
    <t>South African Department of Environmental Affairs, through the South African National Antarctic Programme (SANAP); National Research Foundation; University of Cape Town; Royal Society for the Protection of Birds (RSPB); UK Foreign and Commonwealth Office; UK Government's Overseas Territories Environment Programme (OTEP); Darwin Initiative programme; RSPB; Agreement on the Conservation of Albatrosses and Petrels</t>
  </si>
  <si>
    <t>We thank the numerous field assistants who conducted monitoring over the years, recently in particular to Christiaan Brink, Thando Cebekhulu, Ben Dilley, Delia Davies, David Green, Kate Lawrence, Fabrice Le Bouard, Alexis Osborne, Paige Potter, Stefan Schoombie, Janine Schoombie and Kim Stevens. Logistical and financial support was provided by the South African Department of Environmental Affairs, through the South African National Antarctic Programme (SANAP), the National Research Foundation, the University of Cape Town and the Royal Society for the Protection of Birds (RSPB). Long-term monitoring on Gough Island was established with a grant from the UK Foreign and Commonwealth Office with further support over the years from the UK Government's Overseas Territories Environment Programme (OTEP) and Darwin Initiative programme, the RSPB and the Agreement on the Conservation of Albatrosses and Petrels. The Tristan da Cunha Administrator, Island Council and Conservation Department provided permission to work at Gough Island; the Department of Environmental Affairs, South Africa, provided permission, to work on Marion Island.</t>
  </si>
  <si>
    <t>10.1007/s00300-018-02444-6</t>
  </si>
  <si>
    <t>WOS:000459821700017</t>
  </si>
  <si>
    <t>Pinto-Torres, M; Acevedo, J; Mora, C; Iglesias, E; Bravo, D; Martínez, F</t>
  </si>
  <si>
    <t>Pinto-Torres, Marco; Acevedo, Jorge; Mora, Carla; Iglesias, Eva; Bravo, Daniel; Martinez, Francisco</t>
  </si>
  <si>
    <t>Sighting of southern right whale dolphin (Lissodelphis peronii) in the Magellan Strait, Chile</t>
  </si>
  <si>
    <t>Southern right whale dolphin; Lissodelphis peronii; Subantarctic ecoregion; Magellan Strait; Chile</t>
  </si>
  <si>
    <t>HUMPBACK WHALES; BEHAVIOR</t>
  </si>
  <si>
    <t>The southern right whale dolphin (Lissodelphis peronii) is a seldom seen cetacean of southern latitudes. In the eastern South Pacific, there are less than 73 confirmed records of live and stranded animals. Moreover, all live individual records have been sighted in offshore and deep waters, but not in the shallow water of the channels and fjords of southern Chile. Two sightings of southern right whale dolphins were made on March 21 and April 7, 2018 at Ballena Sound and Charles Islands in the western area of Magellan Strait. All individuals were identified as putative adults. Both sightings may correspond to the same group of animals and, if this assumption is correct, the dolphins would have stayed at least 17 days in the area. Even though it is not clear whether the southern right whale dolphins were initially present in the Magellan Strait, or what route they took from the open sea and what biological and physical properties were determinants for this presence, without a doubt, the occurrence of southern right whale dolphins in the eastern South Pacific channel systems is unusual.</t>
  </si>
  <si>
    <t>[Pinto-Torres, Marco] Univ Austral Chile, Programa Doctorado Ciencias Acuicultura, Los Pinos S-N, Puerto Montt, Chile; [Pinto-Torres, Marco; Iglesias, Eva; Bravo, Daniel] Univ Austral Chile, Ctr FONDAP Invest Ecosistemas Marinos Altas Latit, Ave El Bosque 01789, Punta Arenas, Chile; [Acevedo, Jorge] Fdn CEQUA, Ctr Estudios Cuaternario Fuego Patagonia &amp; Antart, Ave Espana 184, Punta Arenas, Chile; [Acevedo, Jorge] Univ Autonoma Baja California, Programa Doctorado Ciencias Marinas &amp; Costeras, Carretera Km 5-5, La Paz 23080, Bcs, Mexico; [Mora, Carla] Carlos Condell 0290, Punta Arenas, Chile; [Martinez, Francisco] Fitz Roy Expedit SA, Roca 825, Punta Arenas, Chile</t>
  </si>
  <si>
    <t>Universidad Austral de Chile; Universidad Austral de Chile; Universidad Autonoma de Baja California</t>
  </si>
  <si>
    <t>Acevedo, J (corresponding author), Fdn CEQUA, Ctr Estudios Cuaternario Fuego Patagonia &amp; Antart, Ave Espana 184, Punta Arenas, Chile.;Acevedo, J (corresponding author), Univ Autonoma Baja California, Programa Doctorado Ciencias Marinas &amp; Costeras, Carretera Km 5-5, La Paz 23080, Bcs, Mexico.</t>
  </si>
  <si>
    <t>jorge.acevedo@cequa.cl</t>
  </si>
  <si>
    <t>Pinto Torres, Marco Antonio/GNH-4287-2022; Acevedo, Jorge/AAV-3574-2020</t>
  </si>
  <si>
    <t>Pinto Torres, Marco Antonio/0000-0002-5942-206X; Acevedo, Jorge/0000-0002-6106-0838</t>
  </si>
  <si>
    <t>GORE Magallanes [R07K1002]; Conicyt Regional [R13A1002]; FONDECyT [1170474]</t>
  </si>
  <si>
    <t>GORE Magallanes; Conicyt Regional(Comision Nacional de Investigacion Cientifica y Tecnologica (CONICYT)); FONDECyT(Comision Nacional de Investigacion Cientifica y Tecnologica (CONICYT)CONICYT FONDECYT)</t>
  </si>
  <si>
    <t>The sightings of southern right whale dolphins were made during the fieldwork of the Project Dynamics of Air-Sea Exchange of CO2 in Subantarctic Waters: The Role of Glacier Melting and Primary Production as Drivers of pCO2 in a Patagonian Glacial Fjord (Regular FONDECyT code 1170474), directed by the Dr. JL Iriarte of the Graduate School, Institute of Aquaculture (Puerto Montt) and Dr. M. Frangopulos R., GAGIA Antarctic Research Center, University of Magallanes. The second author expresses his gratitude to CEQUA Foundation for their constant support in the marine mammal research, as well as the support of GORE Magallanes under Grant number R07K1002 and Conicyt Regional under Grant number R13A1002. We also appreciate the review received from Natalia Dellabianca and Koen Van Waerebeek, which was both helpful and complementary to improve this manuscript, and thank Aaron Cooke for the revision of the English.</t>
  </si>
  <si>
    <t>10.1007/s00300-018-02446-4</t>
  </si>
  <si>
    <t>WOS:000459821700019</t>
  </si>
  <si>
    <t>Roman, L; Hardesty, BD; Hindell, MA; Wilcox, C</t>
  </si>
  <si>
    <t>Roman, Lauren; Hardesty, Britta Denise; Hindell, Mark A.; Wilcox, Chris</t>
  </si>
  <si>
    <t>A quantitative analysis linking seabird mortality and marine debris ingestion</t>
  </si>
  <si>
    <t>PLASTIC POLLUTION; ENVIRONMENT; IMPACTS</t>
  </si>
  <si>
    <t>Procellariiformes are the most threatened bird group globally, and the group with the highest frequency of marine debris ingestion. Marine debris ingestion is a globally recognized threat to marine biodiversity, yet the relationship between how much debris a bird ingests and mortality remains poorly understood. Using cause of death data from 1733 seabirds of 51 species, we demonstrate a significant relationship between ingested debris and a debris-ingestion cause of death (dose-response). There is a 20.4% chance of lifetime mortality from ingesting a single debris item, rising to 100% after consuming 93 items. Obstruction of the gastro-intestinal tract is the leading cause of death. Overall, balloons are the highest-risk debris item; 32 times more likely to result in death than ingesting hard plastic. These findings have significant implications for quantifying seabird mortality due to debris ingestion, and provide identifiable policy targets aimed to reduce mortality for threatened species worldwide.</t>
  </si>
  <si>
    <t>[Roman, Lauren; Hardesty, Britta Denise; Wilcox, Chris] CSIRO Oceans &amp; Atmosphere, Hobart, Tas, Australia; [Roman, Lauren; Hindell, Mark A.] Univ Tasmania, Inst Marine &amp; Antarctic Studies, Hobart, Tas, Australia; [Hindell, Mark A.] Univ Tasmania, Antarctic Climate &amp; Ecosyst CRC, Hobart, Tas, Australia</t>
  </si>
  <si>
    <t>Roman, L (corresponding author), CSIRO Oceans &amp; Atmosphere, Hobart, Tas, Australia.;Roman, L (corresponding author), Univ Tasmania, Inst Marine &amp; Antarctic Studies, Hobart, Tas, Australia.</t>
  </si>
  <si>
    <t>lauren.roman@utas.edu.au</t>
  </si>
  <si>
    <t>Hardesty, Britta Denise/A-3189-2011; Hindell, Mark A/K-1131-2013; Roman, Lauren/K-3804-2015</t>
  </si>
  <si>
    <t>Hindell, Mark/0000-0002-7823-7185; Roman, Lauren/0000-0003-3591-4905</t>
  </si>
  <si>
    <t>BirdLife Australia's Australian Bird Environment Foundation; Australian Wildlife Society; Ecological Society of Australia's Holsworth Wildlife Research Endowment</t>
  </si>
  <si>
    <t>The authors would like to acknowledge the following Australian and New Zealand organizations who have supported this project, provided facilities and storage, and assisted with the collection of seabirds for this study: Auckland War Memorial Museum, Australia Zoo Wildlife Hospital, Australian Museum, Australian Seabird Rescue Inc, BirdLife Australia, BirdLife Tasmania, Bonorong Wildlife Sanctuary, Currumbin Sanctuary Wildlife Hospital, Department of Conservation (New Zealand), Department of Environment and Heritage Protection (QLD Australia), Department of National Parks, Recreation, Sport and Racing (QLD Australia), Department of Primary Industries, Parks, Water and Environment (TAS Australia), Department of Parks and Wildlife (WA Australia), Friends of Shorebirds SA, Holistic Vets Tauranga, Melbourne Museum, Moreton Bay Research Station, Ornithological Society of New Zealand, Pelican and Seabird Rescue, Queensland Museum, RSPCA QLD Wildlife Hospital, South Australian Museum, Tasmanian Museum and Art Gallery, Te Papa Museum, University of Queensland, University of Western Australia and Wildlife Management International. The authors would also like to thank the following people who have assisted in bird collection: B. Bauer, L. Behrendorff, B. Bird, T. Bishop, S. Borelli, B. Burford, K. Carlyon, M. Clarkson, P. Collins, B. Cumming, L. Esler, R. Ferris, L. Feasey, K. Fleischfresser, H. Forrest, N. Forrest, A. Gennings, A. Gillet, I. Godbert, P. Harris, G. Heathcote, M. Hines, P. Horton, G. Irons, H. Janetzki, C. Lacasse, J. Lesel, K. Matthews, C. Mischela, H. Patterson, L. Pulo, M. Pyne, M. Rayner, P. Rhodes, H. Rogers, S. Shaw, J. Sladek, L. Short, I. Southey, K. Southwell, D. Stewart, L. Schneider, P. Swift, P. Taylor, A. Tennyson, K. Townsend, L. Tsang and E. Woehler. Funding was provided by the BirdLife Australia's Australian Bird Environment Foundation, the Australian Wildlife Society, and the Ecological Society of Australia's Holsworth Wildlife Research Endowment.</t>
  </si>
  <si>
    <t>10.1038/s41598-018-36585-9</t>
  </si>
  <si>
    <t>HN1YW</t>
  </si>
  <si>
    <t>WOS:000459983900008</t>
  </si>
  <si>
    <t>Almeida, EAB; Packer, L; Melo, GAR; Danforth, BN; Cardinal, SC; Quinteiro, FB; Pie, MR</t>
  </si>
  <si>
    <t>Almeida, Eduardo A. B.; Packer, Laurence; Melo, Gabriel A. R.; Danforth, Bryan N.; Cardinal, Sophie C.; Quinteiro, Fabio B.; Pie, Marcio R.</t>
  </si>
  <si>
    <t>The diversification of neopasiphaeine bees during the Cenozoic (Hymenoptera: Colletidae)</t>
  </si>
  <si>
    <t>ZOOLOGICA SCRIPTA</t>
  </si>
  <si>
    <t>Australia; biogeography; Colletinae; Neotropics; Paracolletinae; phylogeny</t>
  </si>
  <si>
    <t>FOUNDER-EVENT SPECIATION; ANDEAN UPLIFT; SPECIES TREES; HISTORICAL BIOGEOGRAPHY; COMPREHENSIVE PHYLOGENY; BAYESIAN-INFERENCE; MITOCHONDRIAL COI; CLIMATE-CHANGE; EVOLUTION; PLANT</t>
  </si>
  <si>
    <t>The biogeography of colletid bees as a whole can be explained by several South American-Australian trans-Antarctic interchanges. Within Colletidae, neopasiphaeine bees form a large group that has not been adequately studied, even though they are interesting both from the biogeographical viewpoint for fitting well the austral Gondwanan track and for their associations to host plants. The present paper integrates phylogenetic, biogeographic and paleontological data to reconstruct the evolutionary history of Neopasiphaeinae, with special emphasis on the New World taxa, relating the evolution of these bees to changes, such as the Andes uplift and expansion of open vegetation biomes. First, we propose a phylogenetic hypothesis for the Neopasiphaeinae using one mitochondrial and five nuclear loci. Phylogenetic relationships and divergence time estimation were simultaneously inferred in a Bayesian framework, and the tempo of neopasiphaeine diversification was investigated using lineage-through-time plots. The historical biogeography of neopasiphaeine bees was investigated in a likelihood framework. The clade represented by Neopasiphaeinae is strongly supported within Colletidae, and the bulk of their genera can be divided into two major sister-clades that diverged during the Eocene: one endemic to the Australian region and the other to the Neotropical region. Divergence times among most neotropical genera of Neopasiphaeinae indicate that they differentiated and started their diversification during the Miocene. Our results depict a complex process of geographic evolution in the Neotropical clade, which probably relates to important changes in the neotropical climates and biota beginning at the Oligocene and became more marked in the Miocene. We present a scenario of the neotropical Neopasiphaeinae initially associated with areas of open vegetation in subtropical and temperate portions of South America, followed by multiple separations of lineages east and west of the Andes, and more recent occupations of habitats in tropical portions of the continent.</t>
  </si>
  <si>
    <t>[Almeida, Eduardo A. B.; Quinteiro, Fabio B.] Univ Sao Paulo, Fac Filosofia Ciencias &amp; Letras, Dept Biol, LBCA, Ribeirao Preto, SP, Brazil; [Packer, Laurence] York Univ, Dept Biol, Toronto, ON, Canada; [Melo, Gabriel A. R.; Pie, Marcio R.] Univ Fed Parana, Dept Zool, Curitiba, PR, Brazil; [Danforth, Bryan N.] Cornell Univ, Dept Entomol, Comstock Hall, New York, NY USA; [Cardinal, Sophie C.] Agr &amp; Agri Food Canada, Canadian Natl Collect Insects, Ottawa, ON, Canada; [Quinteiro, Fabio B.] Univ Fed Pelotas, Inst Biol, Dept Ecol Zool &amp; Genet, Pelotas, RS, Brazil</t>
  </si>
  <si>
    <t>Universidade de Sao Paulo; York University - Canada; Universidade Federal do Parana; Cornell University; Agriculture &amp; Agri Food Canada; Universidade Federal de Pelotas</t>
  </si>
  <si>
    <t>Almeida, EAB (corresponding author), Univ Sao Paulo, Fac Filosofia Ciencias &amp; Letras FFCLRP, Dept Biol, Ribeirao Preto, SP, Brazil.</t>
  </si>
  <si>
    <t>eduardoalmeida@usp.br</t>
  </si>
  <si>
    <t>Pie, Marcio MRP/B-7684-2008; Almeida, Eduardo A. B./B-6995-2008; Melo, Gabriel AR/I-8987-2012; de Almeida, Eduardo/JJC-2493-2023</t>
  </si>
  <si>
    <t>Almeida, Eduardo A. B./0000-0001-6017-6364; Melo, Gabriel AR/0000-0001-9042-3899; Quinteiro, Fabio/0000-0002-5968-6532; Danforth, Bryan/0000-0002-6495-428X</t>
  </si>
  <si>
    <t>Directorate for Biological Sciences [DEB-0412176]; National Geographic Society; Conselho Nacional de Desenvolvimento Cientifico e Tecnologico [301636/2016, 304735/20167, 309641/2016-0, 459826/2014-0]; Fundacao de Amparo a Pesquisa do Estado de Sao Paulo [2011/09477-9, 2012/08479-0]; Natural Sciences and Engineering Research Council of Canada; Fundacao de Amparo a Pesquisa do Estado de Sao Paulo (FAPESP) [12/08479-0, 11/09477-9] Funding Source: FAPESP</t>
  </si>
  <si>
    <t>Directorate for Biological Sciences(National Science Foundation (NSF)NSF - Directorate for Biological Sciences (BIO)); National Geographic Society(National Geographic Society); Conselho Nacional de Desenvolvimento Cientifico e Tecnologico(Conselho Nacional de Desenvolvimento Cientifico e Tecnologico (CNPQ)); Fundacao de Amparo a Pesquisa do Estado de Sao Paulo(Fundacao de Amparo a Pesquisa do Estado de Sao Paulo (FAPESP)); Natural Sciences and Engineering Research Council of Canada(Natural Sciences and Engineering Research Council of Canada (NSERC)CGIAR); Fundacao de Amparo a Pesquisa do Estado de Sao Paulo (FAPESP)(Fundacao de Amparo a Pesquisa do Estado de Sao Paulo (FAPESP))</t>
  </si>
  <si>
    <t>Directorate for Biological Sciences, Grant/Award Number: DEB-0412176; National Geographic Society, Grant/Award Number: Research and Exploration Grant; Conselho Nacional de Desenvolvimento Cientifico e Tecnologico, Grant/Award Number: 301636/2016, 304735/20167, 309641/2016-0 and 459826/2014-0; Fundacao de Amparo a Pesquisa do Estado de Sao Paulo, Grant/Award Number: 2011/09477-9 and 2012/08479-0; Natural Sciences and Engineering Research Council of Canada</t>
  </si>
  <si>
    <t>0300-3256</t>
  </si>
  <si>
    <t>1463-6409</t>
  </si>
  <si>
    <t>ZOOL SCR</t>
  </si>
  <si>
    <t>Zool. Scr.</t>
  </si>
  <si>
    <t>10.1111/zsc.12333</t>
  </si>
  <si>
    <t>Evolutionary Biology; Zoology</t>
  </si>
  <si>
    <t>HM9ND</t>
  </si>
  <si>
    <t>WOS:000459810900007</t>
  </si>
  <si>
    <t>Newnham, DA; Clilverd, MA; Kosch, M; Seppala, A; Verronen, PT</t>
  </si>
  <si>
    <t>Newnham, David A.; Clilverd, Mark A.; Kosch, Michael; Seppala, Annika; Verronen, Pekka T.</t>
  </si>
  <si>
    <t>Simulation study for ground-based Ku-band microwave observations of ozone and hydroxyl in the polar middle atmosphere</t>
  </si>
  <si>
    <t>ATMOSPHERIC MEASUREMENT TECHNIQUES</t>
  </si>
  <si>
    <t>GEOMAGNETIC REFERENCE FIELD; MESOSPHERIC OH; CLIMATE MODEL; PRECIPITATION; STRATOSPHERE; TEMPERATURES; VARIABILITY; CHEMISTRY; MESOPAUSE; EMISSION</t>
  </si>
  <si>
    <t>The Ku-band microwave frequencies (10.70-14.25 GHz) overlap emissions from ozone (O-3) at 11.072 GHz and hydroxyl radical (OH) at 13.441 GHz. These important chemical species in the polar middle atmosphere respond strongly to high-latitude geomagnetic activity associated with space weather. Atmospheric model calculations predict that energetic electron precipitation (EEP) driven by magnetospheric substorms produces large changes in polar mesospheric O-3 and OH. The EEP typically peaks at geomagnetic latitudes of similar to 65 degrees and evolves rapidly with time longitudinally and over the geomagnetic latitude range 60-80 degrees. Previous atmospheric modelling studies have shown that during substorms OH abundance can increase by more than an order of magnitude at 64-84 km and mesospheric O-3 losses can exceed 50 %. In this work, an atmospheric simulation and retrieval study has been performed to determine the requirements for passive microwave radiometers capable of measuring diurnal variations in O-3 and OH profiles from high-latitude Northern Hemisphere and Antarctic locations to verify model predictions. We show that, for a 11.072 GHz radiometer making 6 h spectral measurements with 10 kHz frequency resolution and root-mean-square baseline noise of 1 mK, O-3 could be profiled over 8 x 10(-4)-0.22 hPa (similar to 98-58 km) with 10-17 km height resolution and similar to 1 ppmv uncertainty. For the equivalent 13.441 GHz measurements with vertical sensor polarisation, OH could be profiled over 3 x 10(-3)-0.29 hPa (similar to 90-56 km) with 10-17 km height resolution and similar to 3 ppbv uncertainty. The proposed observations would be highly applicable to studies of EEP, atmospheric dynamics, planetary-scale circulation, chemical transport, and the representation of these processes in polar and global climate models. Such observations would provide a relatively low-cost alternative to increasingly sparse satellite measurements of the polar middle atmosphere, extending long-term data records and also providing ground truth calibration data.</t>
  </si>
  <si>
    <t>[Newnham, David A.; Clilverd, Mark A.] British Antarctic Survey, High Cross, Madingley Rd, Cambridge CB3 0ET, England; [Kosch, Michael] Univ Lancaster, Dept Phys, Lancaster LA1 4YB, England; [Kosch, Michael] South African Natl Space Agcy, Hosp St, ZA-7200 Hermanus, South Africa; [Seppala, Annika] Univ Otago, Dept Phys, POB 56, Dunedin 9054, New Zealand; [Verronen, Pekka T.] Finnish Meteorol Inst, Space &amp; Earth Observat Ctr, Helsinki, Finland</t>
  </si>
  <si>
    <t>UK Research &amp; Innovation (UKRI); Natural Environment Research Council (NERC); NERC British Antarctic Survey; Lancaster University; University of Otago; Finnish Meteorological Institute</t>
  </si>
  <si>
    <t>Newnham, DA (corresponding author), British Antarctic Survey, High Cross, Madingley Rd, Cambridge CB3 0ET, England.</t>
  </si>
  <si>
    <t>dawn@bas.ac.uk</t>
  </si>
  <si>
    <t>Seppälä, Annika/C-8031-2014; Verronen, P. T./AIE-0203-2022; Verronen, Pekka T/G-6658-2014</t>
  </si>
  <si>
    <t>Seppälä, Annika/0000-0002-5028-8220; Verronen, P. T./0000-0002-3479-9071; Kosch, Michael Jurgen/0000-0003-2846-3915; Newnham, David/0000-0001-8422-1289</t>
  </si>
  <si>
    <t>UK's Natural Environment Research Council (NERC) Technologies Proof-of-Concept grant [NE/P003478/1]; Academy of Finland [276926 - SECTIC]; NERC [NE/P003478/1, bas0100031] Funding Source: UKRI</t>
  </si>
  <si>
    <t>UK's Natural Environment Research Council (NERC) Technologies Proof-of-Concept grant; Academy of Finland(Research Council of Finland); NERC(UK Research &amp; Innovation (UKRI)Natural Environment Research Council (NERC))</t>
  </si>
  <si>
    <t>This work has been supported in part by the UK's Natural Environment Research Council (NERC) Technologies Proof-of-Concept grant reference NE/P003478/1 Satellite TV-based Ozone and OH Observations using Radiometric Measurements (STO3RM) awarded to David A. Newnham. The work of Pekka T. Verronen was supported by the Academy of Finland (project 276926 - SECTIC: Sun-Earth Connection Through Ion Chemistry). The authors thank the ARTS and Qpack development teams and Peter Kirsch at BAS for assistance configuring and running the code, Monika E. Andersson (FMI) for providing WACCM-D datasets, and Alan E. E. Rogers at the Massachusetts Institute of Technology (MIT) Haystack Observatory for helpful discussions. Aaron Hendry is acknowledged for providing computer code (GEO2CGM) to facilitate the conversion from spherical geographic coordinates to spherical corrected geomagnetic coordinates.</t>
  </si>
  <si>
    <t>1867-1381</t>
  </si>
  <si>
    <t>1867-8548</t>
  </si>
  <si>
    <t>ATMOS MEAS TECH</t>
  </si>
  <si>
    <t>Atmos. Meas. Tech.</t>
  </si>
  <si>
    <t>10.5194/amt-12-1375-2019</t>
  </si>
  <si>
    <t>HN2XP</t>
  </si>
  <si>
    <t>WOS:000460048500001</t>
  </si>
  <si>
    <t>Tomczak, M</t>
  </si>
  <si>
    <t>Tomczak, Matthias</t>
  </si>
  <si>
    <t>A statistic of water mass intrusions in the south Indian Ocean between 100° E and 110° E</t>
  </si>
  <si>
    <t>OCEAN DYNAMICS</t>
  </si>
  <si>
    <t>Water mass; Intrusions; Water type richness; Inversion count; Indian Ocean</t>
  </si>
  <si>
    <t>ANTARCTIC INTERMEDIATE WATER; INDONESIAN THROUGHFLOW; PROFILING FLOATS; VARIABILITY; CIRCULATION; IMPLEMENTATION; SALINITY; SEAWATER; SENSOR; DRIFT</t>
  </si>
  <si>
    <t>The concept of water type richness wtr and inversion count inv is introduced and applied to high-resolution Argo float data in a meridional strip in the southern Indian Ocean as a test to evaluate the use of the concept for a global analysis of water mass intrusions in the upper 2km of the ocean. It is found that wtr is a suitable parameter to identify regions of high-intrusion activity in the Antarctic Intermediate Water and below but is too much determined by the meridional sea surface temperature (SST) gradient in the upper 500m to be of much use in that depth range. Inv, on the other hand, is derived from vertical gradients, which avoids the influence of the SST gradient, and is therefore a good indicator of inversion activity throughout the water column.The analysis finds large numbers of inversions in the upper 1km of the ocean north of 22 degrees S in the frontal region between the Australasian Mediterranean Water and the Indian Central Water, somewhat lower inversion frequency in the subtropical front south of 40 degrees S, and very low inversion numbers in the region between. This region, however, displays numerous inversions in the depth range 600-1950m, which contains only few inversions in the south and in the north.</t>
  </si>
  <si>
    <t>[Tomczak, Matthias] Flinders Univ S Australia, Coll Sci &amp; Engn, GPO Box 2100, Adelaide, SA 5000, Australia</t>
  </si>
  <si>
    <t>Tomczak, M (corresponding author), Flinders Univ S Australia, Coll Sci &amp; Engn, GPO Box 2100, Adelaide, SA 5000, Australia.</t>
  </si>
  <si>
    <t>matthias.tomczak@flinders.edu.au</t>
  </si>
  <si>
    <t>Tomczak, Matthias/0000-0002-8416-5851</t>
  </si>
  <si>
    <t>1616-7341</t>
  </si>
  <si>
    <t>1616-7228</t>
  </si>
  <si>
    <t>OCEAN DYNAM</t>
  </si>
  <si>
    <t>Ocean Dyn.</t>
  </si>
  <si>
    <t>10.1007/s10236-019-01251-9</t>
  </si>
  <si>
    <t>HM5IQ</t>
  </si>
  <si>
    <t>WOS:000459509800002</t>
  </si>
  <si>
    <t>Page, M; Licht, A; Dupont-Nivet, G; Meijer, N; Barbolini, N; Hoorn, C; Schauer, A; Huntington, K; Bajnai, D; Fiebig, J; Mulch, A; Guo, Z</t>
  </si>
  <si>
    <t>Page, M.; Licht, A.; Dupont-Nivet, G.; Meijer, N.; Barbolini, N.; Hoorn, C.; Schauer, A.; Huntington, K.; Bajnai, D.; Fiebig, J.; Mulch, A.; Guo, Z.</t>
  </si>
  <si>
    <t>Synchronous cooling and decline in monsoonal rainfall in northeastern Tibet during the fall into the Oligocene icehouse</t>
  </si>
  <si>
    <t>EOCENE GREENHOUSE; CARBON-DIOXIDE; CLIMATE; TRANSITION; ARIDIFICATION; GLACIATION; IMPACT; SOIL</t>
  </si>
  <si>
    <t>The fall into the Oligocene icehouse is marked by a steady decline in global temperature with punctuated cooling at the Eocene-Oligocene transition, both of which are well documented in the marine realm. However, the chronology and mechanisms of cooling on land remain unclear. Here, we use clumped isotope thermometry on northeastern Tibetan continental carbonates to reconstruct a detailed Paleogene surface temperature record for the Asian continental interior, and correlate this to an enhanced pollen data set. Our results show two successive dramatic (&gt;9 degrees C) temperature drops, at 37 Ma and at 33.5 Ma. These large-magnitude decreases in continental temperatures can only be explained by a combination of both regional cooling and shifts of the rainy season to cooler months, which we interpret to reflect a decline of monsoonal intensity. Our results suggest that the response of Asian surface temperatures and monsoonal rainfall to the steady decline of atmospheric CO2 and global temperature through the late Eocene was nonlinear and occurred in two steps separated by a period of climatic instability. Our results support the onset of the Antarctic Circumpolar Current coeval to the Oligocene isotope event 1 (Oi-1) glaciation at 33.5 Ma, reshaping the distribution of surface heat worldwide; however, the origin of the 37 Ma cooling event remains less clear.</t>
  </si>
  <si>
    <t>[Page, M.; Licht, A.; Schauer, A.; Huntington, K.] Univ Washington, Dept Earth &amp; Space Sci, Seattle, WA 98195 USA; [Dupont-Nivet, G.; Meijer, N.] Univ Potsdam, Inst Earth &amp; Environm Sci, D-14476 Potsdam, Germany; [Dupont-Nivet, G.] Univ Rennes, CNRS, UMR 6118, Geosci Rennes, CS 74205, F-35042 Rennes, France; [Dupont-Nivet, G.; Guo, Z.] Peking Univ, Key Lab Orogen Belts &amp; Crustal Evolut, Beijing 100871, Peoples R China; [Barbolini, N.; Hoorn, C.] Univ Amsterdam, Inst Biodivers &amp; Ecosyst Dynam, Dept Ecosyst &amp; Landscape Dynam, NL-1098 XH Amsterdam, Netherlands; [Bajnai, D.; Fiebig, J.; Mulch, A.] Goethe Univ, Inst Geosci, D-60438 Frankfurt, Germany; [Mulch, A.] Senckenberg Biodivers &amp; Climate Res Ctr, D-60325 Frankfurt, Germany</t>
  </si>
  <si>
    <t>University of Washington; University of Washington Seattle; University of Potsdam; Centre National de la Recherche Scientifique (CNRS); Peking University; University of Amsterdam; Goethe University Frankfurt; Senckenberg Gesellschaft fur Naturforschung (SGN); Senckenberg Biodiversitat &amp; Klima- Forschungszentrum (BiK-F)</t>
  </si>
  <si>
    <t>Page, M (corresponding author), Univ Washington, Dept Earth &amp; Space Sci, Seattle, WA 98195 USA.</t>
  </si>
  <si>
    <t>Meijer, Niels/AHE-1536-2022; Meijer, Niels/Q-2540-2019; Bajnai, David/B-9342-2017; Licht, Alexis/P-4284-2018; Barbolini, Natasha/JHV-1549-2023; DUPONT-NIVET, Guillaume/HII-9066-2022; Hoorn, Carina/A-9372-2015</t>
  </si>
  <si>
    <t>Meijer, Niels/0000-0002-2186-5682; Meijer, Niels/0000-0002-2186-5682; Bajnai, David/0000-0002-4053-5056; Licht, Alexis/0000-0002-5267-7545; Barbolini, Natasha/0000-0001-7121-3634; DUPONT-NIVET, Guillaume/0000-0001-9905-9739; Hoorn, Carina/0000-0001-5402-6191; Huntington, Katharine/0000-0003-0796-8850; Schauer, Andrew/0000-0002-5941-5396</t>
  </si>
  <si>
    <t>University of Washington; European Research Council [MAGIC 649081]; U.S. National Science Foundation [EAR-1252064, EAR-1156134]</t>
  </si>
  <si>
    <t>University of Washington(University of Washington); European Research Council(European Research Council (ERC)); U.S. National Science Foundation(National Science Foundation (NSF))</t>
  </si>
  <si>
    <t>This study was financially supported by the University of Washington. Dupont-Nivet, Meijer, and Barbolini acknowledge funding from European Research Council consolidator grant MAGIC 649081. Huntington acknowledges funding from U.S. National Science Foundation grants EAR-1252064 and EAR-1156134. We thank L. Burgener, J. Kelson, and M. Strecker for prolific discussions and assistance in the lab, and P. Bartlett for editorial assistance. We thank Carmala Garzione, Nathan Sheldon, Miquela Ingalls, and two anonymous reviewers for comments that improved this work.</t>
  </si>
  <si>
    <t>10.1130/G45480.1</t>
  </si>
  <si>
    <t>HM8TV</t>
  </si>
  <si>
    <t>WOS:000459755700007</t>
  </si>
  <si>
    <t>Haas, B; Fleming, A; Haward, M; McGee, J</t>
  </si>
  <si>
    <t>Haas, Bianca; Fleming, Aysha; Haward, Marcus; McGee, Jeffrey</t>
  </si>
  <si>
    <t>Big fishing: the role of the large-scale commercial fishing industry in achieving Sustainable Development Goal 14</t>
  </si>
  <si>
    <t>REVIEWS IN FISH BIOLOGY AND FISHERIES</t>
  </si>
  <si>
    <t>Fishing industry; Marine policy; Ocean governance; Stakeholder engagement; Sustainability</t>
  </si>
  <si>
    <t>ECOSYSTEM-BASED MANAGEMENT; GREENHOUSE-GAS EMISSIONS; PROTECTED AREAS; MARINE DEBRIS; FISHERIES; OCEAN; ILLEGAL; GOVERNANCE; SCIENCE; SEAS</t>
  </si>
  <si>
    <t>United Nation's Sustainable Development Goal (SDG) 14 life below water', is directed to the sustainable use and conservation of the oceans and marine resources. However, there is very limited information available on how the large-scale commercial fishing industry might contribute to the achievement of SDG 14. This paper shows engagement opportunities for the fishing industry, with a focus on fish harvesting, for the different targets of SDG 14. We find that the fish harvesting sector can contribute to almost all SDG 14 targets, except in the prohibition of certain forms of fishing subsidies. The fishing industry has the opportunity to implement practices that, for example, can help to reduce marine pollution or bycatch. More work is needed to provide specific reporting mechanisms for fisheries companies to assess their progress against the other SDGs.</t>
  </si>
  <si>
    <t>[Haas, Bianca; Haward, Marcus] Inst Marine &amp; Antarctic Studies, Private Bag 129, Hobart, Tas 7001, Australia; [Fleming, Aysha] CSIRO Land &amp; Water Castray Esplanade, Battery Point, Tas 7001, Australia; [McGee, Jeffrey] Univ Tasmania, Fac Law, Private Bag 89, Hobart, Tas 7001, Australia; [Haas, Bianca; Fleming, Aysha; Haward, Marcus; McGee, Jeffrey] Univ Tasmania, Ctr Marine Socioecol, Private Bag 129, Hobart, Tas 7001, Australia</t>
  </si>
  <si>
    <t>University of Tasmania; Commonwealth Scientific &amp; Industrial Research Organisation (CSIRO); University of Tasmania; University of Tasmania</t>
  </si>
  <si>
    <t>Haas, B (corresponding author), Univ Tasmania, Ctr Marine Socioecol, Private Bag 129, Hobart, Tas 7001, Australia.</t>
  </si>
  <si>
    <t>Bianca.Haas@utas.edu.au</t>
  </si>
  <si>
    <t>Fleming, Aysha/E-8753-2011; Haward, Marcus/G-3369-2014; McGee, Jeffrey/K-7322-2015</t>
  </si>
  <si>
    <t>Fleming, Aysha/0000-0001-9895-1928; Haas, Bianca/0000-0002-7322-2929; Haward, Marcus/0000-0003-4775-0864; McGee, Jeffrey/0000-0002-2093-5896</t>
  </si>
  <si>
    <t>0960-3166</t>
  </si>
  <si>
    <t>1573-5184</t>
  </si>
  <si>
    <t>REV FISH BIOL FISHER</t>
  </si>
  <si>
    <t>Rev. Fish. Biol. Fish.</t>
  </si>
  <si>
    <t>10.1007/s11160-018-09546-8</t>
  </si>
  <si>
    <t>HM3YC</t>
  </si>
  <si>
    <t>WOS:000459409700007</t>
  </si>
  <si>
    <t>Itoh, T</t>
  </si>
  <si>
    <t>Itoh, Tomoyuki</t>
  </si>
  <si>
    <t>Biological aspects of the butterfly kingfish Gasterochisma melampus: distribution, total catch, size composition and CPUE</t>
  </si>
  <si>
    <t>FISHERIES SCIENCE</t>
  </si>
  <si>
    <t>Catch-per-unit-effort; GLM; Scombridae; Sea surface temperature</t>
  </si>
  <si>
    <t>SCOMBRIDAE; ABUNDANCE; FISH</t>
  </si>
  <si>
    <t>Biological aspects of butterfly kingfish Gasterochisma melampus were examined using Japanese longline fishery data and research data collected for over 20years. Butterfly kingfish were distributed in a continuous band around the circumpolar region between 35 degrees S and 45 degrees S. The southern limit of distribution corresponded with the sub-Antarctic front. The estimated global total annual catch for butterfly kingfish ranged from 613 to 3699t (mean 1859t) with Japan taking the largest proportion of the total catch. Large, adult butterfly kingfish spawn in the south-eastern Pacific, whereas smaller, immature fish are distributed in feeding grounds in the area extending across the Atlantic and Indian Oceans to the south-western Pacific Ocean. Catch per unit effort (CPUE) data for fish in the feeding grounds from 1993 to 2016 were compared with the CPUE value from 1970. These data indicate that the stock is currently not likely to be depleted.</t>
  </si>
  <si>
    <t>[Itoh, Tomoyuki] Japan Fisheries Res &amp; Educ Agcy, Natl Res Inst Far Seas Fisheries, Shimizu Ku, 5-7-1 Orido, Shizuoka, Shizuoka 4248633, Japan</t>
  </si>
  <si>
    <t>Japan Fisheries Research &amp; Education Agency (FRA)</t>
  </si>
  <si>
    <t>Itoh, T (corresponding author), Japan Fisheries Res &amp; Educ Agcy, Natl Res Inst Far Seas Fisheries, Shimizu Ku, 5-7-1 Orido, Shizuoka, Shizuoka 4248633, Japan.</t>
  </si>
  <si>
    <t>itou@fra.affrc.go.jp</t>
  </si>
  <si>
    <t>Itoh, Tomoyuki/0000-0001-9051-2760</t>
  </si>
  <si>
    <t>Japan Fisheries Agency</t>
  </si>
  <si>
    <t>The author thanks the scientific observers and the crew and researchers of the JAMARC research vessels. Thanks also to JAMARC for allowing the use of their data. This study was supported by a grant from the Japan Fisheries Agency. The contribution of two anonymous reviewers is greatly appreciated.</t>
  </si>
  <si>
    <t>SPRINGER JAPAN KK</t>
  </si>
  <si>
    <t>TOKYO</t>
  </si>
  <si>
    <t>CHIYODA FIRST BLDG EAST, 3-8-1 NISHI-KANDA, CHIYODA-KU, TOKYO, 101-0065, JAPAN</t>
  </si>
  <si>
    <t>0919-9268</t>
  </si>
  <si>
    <t>1444-2906</t>
  </si>
  <si>
    <t>FISHERIES SCI</t>
  </si>
  <si>
    <t>Fish. Sci.</t>
  </si>
  <si>
    <t>10.1007/s12562-018-1281-7</t>
  </si>
  <si>
    <t>HM4CL</t>
  </si>
  <si>
    <t>WOS:000459421200002</t>
  </si>
  <si>
    <t>Victor, NJ; Siingh, D; Panneerselvam, C; Elango, P; Samy, VS</t>
  </si>
  <si>
    <t>Victor, N. Jeni; Siingh, Devendraa; Panneerselvam, C.; Elango, P.; Samy, V. S.</t>
  </si>
  <si>
    <t>Fair-weather potential gradient and its coupling with ionospheric potential from three Antarctic stations: Case studies</t>
  </si>
  <si>
    <t>JOURNAL OF ATMOSPHERIC AND SOLAR-TERRESTRIAL PHYSICS</t>
  </si>
  <si>
    <t>Global electric circuit; Fair-weather electric field; Ionospheric potential; Solar wind-magnetosphere-ionosphere coupling; Dusk sector variability</t>
  </si>
  <si>
    <t>ATMOSPHERIC ELECTRIC-FIELD; INTERPLANETARY MAGNETIC-FIELD; DIURNAL-VARIATIONS; GEOELECTRIC FIELD; ELECTRODYNAMIC MODELS; EARTHS ATMOSPHERE; GROUND-LEVEL; POLAR; VOSTOK; MAITRI</t>
  </si>
  <si>
    <t>Simultaneous measurements of potential gradient (PG) from Antarctica stations, Vostok (78 degrees 27' S, 106 degrees 52' E), Dome C (75 degrees 06' S, 123 degrees 20' E) and Maitri (70 degrees 45' S, 11 degrees 44' E) during magnetically disturbed days under fair-weather conditions are discussed. An attempt has been made to study the influence of solar wind-magnetosphere interaction on PG. During magnetic daytime (0600-1800 UT), linear relation between Delta PG and associated ionospheric potential from Dome C and Vostok are observed. The liner response is poor during the magnetic night time (1800-0600 UT). This trend has been addressed by the sun-aligned two-cell plasma convection flow and its differential motion over the stations. It is found that linear relation decreased when negative convection pattern moves towards, overhead and away from the stations under dawnward motion of plasma (IMF By &lt; 0). In addition, the ionospheric potential at dusk sector modulated the PG if the plasma flow remained stable for more than 1 h. The results further showed that the scale size factor between ionospheric potential and PG may influence up to some extent in coupling efficiency. Month-wise Fair-weather PG pattern effectively accounts the ambient PG variation.</t>
  </si>
  <si>
    <t>[Victor, N. Jeni; Siingh, Devendraa] Indian Inst Trop Meteorol, Dr Homi Bhabha Rd, Pune 411008, Maharashtra, India; [Victor, N. Jeni; Panneerselvam, C.; Elango, P.] Indian Inst Geomagnetism, Equatorial Geophys Res Lab, Krishnapur, Tirunelveli, India; [Samy, V. S.] Natl Ctr Polar &amp; Ocean Res, Vasco Da Gama, Goa, India</t>
  </si>
  <si>
    <t>Ministry of Earth Sciences (MoES) - India; Indian Institute of Tropical Meteorology (IITM); Department of Science &amp; Technology (India); Indian Institute of Geomagnetism (IIG); Ministry of Earth Sciences (MoES) - India; National Centre for Polar and Ocean Research (NCPOR)</t>
  </si>
  <si>
    <t>Victor, NJ (corresponding author), Indian Inst Trop Meteorol, Dr Homi Bhabha Rd, Pune 411008, Maharashtra, India.</t>
  </si>
  <si>
    <t>n.jeni@tropmet.res.in</t>
  </si>
  <si>
    <t>Siingh, Dr Devendraa/ABF-2491-2021</t>
  </si>
  <si>
    <t>Siingh, Dr Devendraa/0000-0003-3044-596X; VICTOR, JENI/0000-0003-2867-3656</t>
  </si>
  <si>
    <t>Australian Antarctic Science Advisory Committee Project [974]</t>
  </si>
  <si>
    <t>Australian Antarctic Science Advisory Committee Project</t>
  </si>
  <si>
    <t>The authors are grateful to the Director, IITM and Director Indian Institute of Geomagnetism, Navi Mumbai for constant support. The Ministry of Earth Science, Government of India, for conducting a variety of experiments at the Indian Antarctic station, Maitri, is gratefully acknowledged. We also thank the PIs of Daniel Weimer's model and CEDAR. The authors acknowledge Kyoto WDC (http://wdc.kugi.kyoto-u.ac.jp/) for the AE and Kp index data and Wind satellite team for the CME and IMF data (http://omniweb.gsfc.nasa.gov/). The electric field mills deployed at Vostok and Concordia were developed under Australian Antarctic Science Advisory Committee Project #974. The Concordia Vertical electric field data collection was approved by IPEV/PNRA Via 'Eletricite Atmospherique DC 33 N. Llyod Symons, Australian Antarctic and data division, developed the electric field mill electronics and data collection software. The data for Vostok obtained from http://data.aad.gov.au/aadc/metadata/metadata_redirect.cfin?md =/AMD/AU/ASAC_974_2 and Concordia is obtained from http://data.aad.gov.au/aadc/metadata/metadata_redirect.cfm?md =/AMD/AU/ASAC_974_ Concordia. The results presented in this paper rely on the data collected at Dome C (DOME C). We thank Ecole et Observatoire des Sciences de la Terre, for supporting its operation and INTERMAGNET for promoting high standards of magnetic observatory practice (www.intermagnet.org).We are thankful to the anonymous reviewers and Prof. R.P. Singh (BHU, Varanasi) for their constructive comments and valuable suggestions to improve the quality of the manuscript.</t>
  </si>
  <si>
    <t>1364-6826</t>
  </si>
  <si>
    <t>1879-1824</t>
  </si>
  <si>
    <t>J ATMOS SOL-TERR PHY</t>
  </si>
  <si>
    <t>J. Atmos. Sol.-Terr. Phys.</t>
  </si>
  <si>
    <t>10.1016/j.jastp.2019.01.004</t>
  </si>
  <si>
    <t>Geochemistry &amp; Geophysics; Meteorology &amp; Atmospheric Sciences</t>
  </si>
  <si>
    <t>HM3EV</t>
  </si>
  <si>
    <t>WOS:000459357300002</t>
  </si>
  <si>
    <t>Santelli, MB; del Río, CJ</t>
  </si>
  <si>
    <t>Santelli, Maria B.; del Rio, Claudia J.</t>
  </si>
  <si>
    <t>Neogene Pectinidae (Bivalvia) of tribe Chlamydini Teppner, 1922 in Patagonia (Argentina): Zygochlamys Ihering, 1907 and three new genera</t>
  </si>
  <si>
    <t>JOURNAL OF PALEONTOLOGY</t>
  </si>
  <si>
    <t>LATE MIOCENE; NEW-ZEALAND; SANTA-CRUZ; TERTIARY; MOLLUSCA; PROPEAMUSSIIDAE; PECTINOIDEA; REVISION</t>
  </si>
  <si>
    <t>Zygochlamys Ihering, 1907 is revised and three new genera of tribe Chlamydini are named: the monospecific early Miocene genera Pixiechlamys new genus (type species: Pecten quemadensis Ihering, 1897) and Chokekenia n. gen. (type species: Zygochlamys nicolasi Morra, 1985), and the late Miocene-early Pliocene Moirechlamys n. gen., containing Pecten actinodes Sowerby, 1846 (type species) and Chlamys aurorae Feruglio, 1954. Zygochlamys is restricted to include Z. geminata (Sowerby, 1846) (type species), Z. jorgensis Ihering, 1907, and Z. sebastiani Morra, 1985. The present analysis increases the biostratigraphic usefulness of the group and improves taxonomic knowledge of the Neogene molluscan assemblages defined previously for Patagonia. Zygochlamys geminata is confined to the latest Oligocene-early Miocene interval of the Austral Basin of Patagonia (Argentina) and to the early Miocene of Chile, Z. jorgensis is restricted to the early to middle Miocene of the Golfo San Jorge and northern Austral Basins, and Moirechlamys n. gen., the most widespread genus, occurs in the late Miocene-early Pliocene of the Austral, Golfo San Jorge, Valdes, and Colorado basins. All these genera are endemic to southern South America; Zygochlamys is not related to other circumpolar genera such as Austrochlamys Jonkers, 2003 or Psychrochlamys Jonkers, 2003, rejecting its dispersal in the Antarctic Circumpolar Current, as has been proposed previously. UUID: http://zoobank.org/55d7ea85-5ec5-477a-9ede-5d3d795b75b5</t>
  </si>
  <si>
    <t>[Santelli, Maria B.; del Rio, Claudia J.] Museo Argentino Ciencias Nat Bernardino Rivadavia, Div Paleoinvertebrados, Av Angel Gallardo 470,C1405DJR, Buenos Aires, DF, Argentina</t>
  </si>
  <si>
    <t>Museo Argentino de Ciencias Naturales Bernardino Rivadavia (MACN)</t>
  </si>
  <si>
    <t>Santelli, MB (corresponding author), Museo Argentino Ciencias Nat Bernardino Rivadavia, Div Paleoinvertebrados, Av Angel Gallardo 470,C1405DJR, Buenos Aires, DF, Argentina.</t>
  </si>
  <si>
    <t>mbsantelli@gmail.com; claudiajdelrio@gmail.com</t>
  </si>
  <si>
    <t>Santelli, Maria Belen/0000-0003-3077-4384</t>
  </si>
  <si>
    <t>Consejo Nacional de Investigaciones Cientificas y Tecnicas [PIP 1649, PIP 320]; Agencia Nacional de Promocion Cientifica y Tecnica [PICT-ANPCyT 57]</t>
  </si>
  <si>
    <t>Consejo Nacional de Investigaciones Cientificas y Tecnicas(Consejo Nacional de Investigaciones Cientificas y Tecnicas (CONICET)); Agencia Nacional de Promocion Cientifica y Tecnica(ANPCyT)</t>
  </si>
  <si>
    <t>This paper has been supported by PIP 1649 and PIP 320 (Consejo Nacional de Investigaciones Cientificas y Tecnicas) and PICT-ANPCyT 57 (Agencia Nacional de Promocion Cientifica y Tecnica) to CDR.</t>
  </si>
  <si>
    <t>0022-3360</t>
  </si>
  <si>
    <t>1937-2337</t>
  </si>
  <si>
    <t>J PALEONTOL</t>
  </si>
  <si>
    <t>J. Paleontol.</t>
  </si>
  <si>
    <t>10.1017/jpa.2018.75</t>
  </si>
  <si>
    <t>Paleontology</t>
  </si>
  <si>
    <t>HL9AU</t>
  </si>
  <si>
    <t>WOS:000459035400008</t>
  </si>
  <si>
    <t>Sniderman, JMK; Brown, JR; Woodhead, JD; King, AD; Gillett, NP; Tokarska, KB; Lorbacher, K; Hellstrom, J; Drysdale, RN; Meinshausen, M</t>
  </si>
  <si>
    <t>Sniderman, J. M. Kale; Brown, Josephine R.; Woodhead, Jon D.; King, Andrew D.; Gillett, Nathan P.; Tokarska, Katarzyna B.; Lorbacher, Katja; Hellstrom, John; Drysdale, Russell N.; Meinshausen, Malte</t>
  </si>
  <si>
    <t>Southern Hemisphere subtropical drying as a transient response to warming</t>
  </si>
  <si>
    <t>CARBON-DIOXIDE; CLIMATE-CHANGE; ANNULAR MODE; ANTARCTIC OSCILLATION; HYDROLOGICAL CYCLE; FUTURE CHANGES; CIRCULATION; IMPACT; CMIP5; TEMPERATURE</t>
  </si>
  <si>
    <t>Climate projections(1-3) and observations over recent decades(4,5) indicate that precipitation in subtropical latitudes declines in response to anthropogenic warming, with significant implications for food production and population sustainability. However, this conclusion is derived from emissions scenarios with rapidly increasing radiative forcing to the year 2100(1,2), which may represent very different conditions from both past and future 'equilibrium' warmer climates. Here, we examine multi-century future climate simulations and show that in the Southern Hemisphere subtropical drying ceases soon after global temperature stabilizes. Our results suggest that twenty-first century Southern Hemisphere subtropical drying is not a feature of warm climates per se, but is primarily a response to rapidly rising forcing and global temperatures, as tropical sea-surface temperatures rise more than southern subtropical sea-surface temperatures under transient warming. Subtropical drying may therefore be a temporary response to rapid warming: as greenhouse gas concentrations and global temperatures stabilize, Southern Hemisphere subtropical regions may experience positive precipitation trends.</t>
  </si>
  <si>
    <t>[Sniderman, J. M. Kale; Woodhead, Jon D.; King, Andrew D.; Hellstrom, John; Meinshausen, Malte] Univ Melbourne, Sch Earth Sci, Melbourne, Vic, Australia; [Brown, Josephine R.] Bur Meteorol, Melbourne, Vic, Australia; [King, Andrew D.] Univ Melbourne, ARC Ctr Excellence Climate Extremes, Melbourne, Vic, Australia; [Gillett, Nathan P.] Univ Victoria, Environm &amp; Climate Change Canada, Canadian Ctr Climate Modelling &amp; Anal, Victoria, BC, Canada; [Tokarska, Katarzyna B.] Univ Victoria, Sch Earth &amp; Ocean Sci, Victoria, BC, Canada; [Tokarska, Katarzyna B.; Meinshausen, Malte] Univ Edinburgh, Sch Geosci, Edinburgh, Midlothian, Scotland; [Lorbacher, Katja] Univ Melbourne, Australian German Climate &amp; Energy Coll, Melbourne, Vic, Australia; [Drysdale, Russell N.] Univ Melbourne, Sch Geog, Melbourne, Vic, Australia; [Drysdale, Russell N.] Univ Savoie Mt Blanc, CNRS, UMR, Environm Dynam &amp; Terr Montagne, Chambery, France; [Meinshausen, Malte] Potsdam Inst Climate Impact Res, Potsdam, Germany</t>
  </si>
  <si>
    <t>University of Melbourne; Melbourne Bioinformatics; Bureau of Meteorology - Australia; University of Melbourne; Melbourne Genomics Health Alliance; University of Victoria; Environment &amp; Climate Change Canada; Canadian Centre for Climate Modelling &amp; Analysis (CCCma); University of Victoria; University of Edinburgh; Melbourne Genomics Health Alliance; University of Melbourne; University of Melbourne; Melbourne Genomics Health Alliance; Centre National de la Recherche Scientifique (CNRS); Universite Savoie Mont Blanc; Potsdam Institut fur Klimafolgenforschung</t>
  </si>
  <si>
    <t>Sniderman, JMK; Woodhead, JD (corresponding author), Univ Melbourne, Sch Earth Sci, Melbourne, Vic, Australia.</t>
  </si>
  <si>
    <t>kale.sniderman@unimelb.edu.au; jdwood@unimelb.edu.au</t>
  </si>
  <si>
    <t>Woodhead, Jon/C-2227-2012; King, Andrew/AFK-4420-2022; Tokarska, Kasia/AAD-9665-2020; Meinshausen, Malte/AAG-6505-2019; Meinshausen, Malte/A-7037-2011; Drysdale, Russell/AAH-9376-2019; King, Andrew/AAS-4216-2021; Meinshausen, Malte/AAG-7985-2019; Hellstrom, John C/B-1770-2008</t>
  </si>
  <si>
    <t>Tokarska, Kasia/0000-0001-8887-8798; Meinshausen, Malte/0000-0003-4048-3521; Meinshausen, Malte/0000-0003-4048-3521; King, Andrew/0000-0001-9006-5745; Brown, Josephine/0000-0002-1100-7457; Drysdale, Russell/0000-0001-7867-031X; Hellstrom, John/0000-0001-9427-3525; Sniderman, Kale/0000-0002-3963-4049; Woodhead, Jon/0000-0002-7614-0136</t>
  </si>
  <si>
    <t>Australian Research Council [DP0985214, FL160100028, DP130101829, DE120102530, FT130100801, DE180100638]; Australian Research Council [DP0985214, DE120102530, FT130100801] Funding Source: Australian Research Council</t>
  </si>
  <si>
    <t>Australian Research Council(Australian Research Council); Australian Research Council(Australian Research Council)</t>
  </si>
  <si>
    <t>We thank P. Hope, L. Ashcroft, B. Timbal and R. Colman for comments on versions of the manuscript, and P. Whetton for discussions about this study. This research programme was supported by Australian Research Council grants DP0985214 and FL160100028 (to J.D.W.), DP130101829 (to J.D.W. and R.N.D.), DE120102530 (to J.M.K.S.), FT130100801 (to J.H.) and DE180100638 (to A.D.K.). We acknowledge the World Climate Research Programme's Working Group on Coupled Modelling, which is responsible for CMIP5, and we thank the climate modelling groups (listed in Supplementary Table 1) for producing and making available their model output. For CMIP5, the US Department of Energy's Program for Climate Model Diagnosis and Intercomparison provides coordinating support and led the development of software infrastructure in partnership with the Global Organization for Earth System Science Portals.</t>
  </si>
  <si>
    <t>10.1038/s41558-019-0397-9</t>
  </si>
  <si>
    <t>HM6JE</t>
  </si>
  <si>
    <t>WOS:000459579300020</t>
  </si>
  <si>
    <t>Chamberlain, MA; Matear, RJ; Holzer, M; Bi, DH; Marsland, SJ</t>
  </si>
  <si>
    <t>Chamberlain, Matthew A.; Matear, Richard J.; Holzer, Mark; Bi, Daohua; Marsland, Simon J.</t>
  </si>
  <si>
    <t>Transport matrices from standard ocean-model output and quantifying circulation response to climate change</t>
  </si>
  <si>
    <t>OCEAN MODELLING</t>
  </si>
  <si>
    <t>Transport matrix; Ocean ventilation; Global ocean modelling; Tracers; Ideal mean age</t>
  </si>
  <si>
    <t>SOUTHERN-OCEAN; STEADY-STATE; SIMULATIONS; PHOSPHORUS; WATER; DISTRIBUTIONS; RADIOCARBON; CONVECTION; SILICON; SOLVER</t>
  </si>
  <si>
    <t>A method to construct transport matrices from standard ocean-model output, such as mean volume fluxes and mixed-layer depths, is presented. These transport matrices enable highly efficient calculation of deep-water tracer fields that otherwise require long integrations with forward time-stepping ocean models. Comparisons of matrix solutions for ideal mean water age demonstrate that the transport matrices are reasonably accurate representations of the transport in the parent ocean models. Tracer fields calculated using transport matrices provide simple circulation metrics that can be compared to observations. We compare matrix-computed radiocarbon distributions from two versions of ACCESS ocean models with observations. We find matrices based on both models produce realistic circulations; the radiocarbon distribution based on ACCESS forced with CORE climatology fits observations better in the deep Pacific, whereas the fully coupled ACCESS1.3 model fits observations better in the deep Atlantic. When applied to the circulations of ACCESS1.3 climate-change experiments, the transport-matrix solutions show an increase in radiocarbon depletion, or water age, in the projected ocean circulation for the 2090s under the RCP8.5 scenario. By computing the water-mass fractions last ventilated from specific regions, we diagnose a corresponding progressive shutdown in Antarctic Bottom Water formation. The volumetric decrease in Antarctic waters in the global ocean is compensated by an increase in waters last ventilated in the subantarctic and southern subtropics.</t>
  </si>
  <si>
    <t>[Chamberlain, Matthew A.; Matear, Richard J.] CSIRO, Hobart, Tas, Australia; [Holzer, Mark] Univ New South Wales, Sch Math &amp; Stat, Sydney, NSW, Australia; [Bi, Daohua; Marsland, Simon J.] CSIRO, Aspendale, Vic, Australia</t>
  </si>
  <si>
    <t>Commonwealth Scientific &amp; Industrial Research Organisation (CSIRO); University of New South Wales Sydney; Commonwealth Scientific &amp; Industrial Research Organisation (CSIRO)</t>
  </si>
  <si>
    <t>Chamberlain, MA (corresponding author), CSIRO, Hobart, Tas, Australia.</t>
  </si>
  <si>
    <t>matthew.chamberlain@csiro.au</t>
  </si>
  <si>
    <t>Marsland, Simon J/A-1453-2012; Chamberlain, Matthew/D-4805-2012; Bi, Daohua/O-4508-2015; matear, richard/C-5133-2011; Holzer, Mark/E-8735-2011</t>
  </si>
  <si>
    <t>Marsland, Simon J/0000-0002-5664-5276; matear, richard/0000-0002-3225-0800; Holzer, Mark/0000-0002-9568-1763; Chamberlain, Matthew/0000-0002-3287-3282</t>
  </si>
  <si>
    <t>Australian Government; CSIRO Decadal Forecasting Project; Australian Climate Change Science Program (ACCSP)</t>
  </si>
  <si>
    <t>Australian Government(Australian Government); CSIRO Decadal Forecasting Project; Australian Climate Change Science Program (ACCSP)</t>
  </si>
  <si>
    <t>This research used computation resources and archives available at the National Computational Infrastructure (NCI), which is located at the Australian National University and supported by the Australian Government. Analyses and graphics in this paper used Ferret, a product of NOAA's Pacific Marine Environmental Laboratory. We also thank the teams whose work produced the valuable databases such as the World Ocean Atlas and GLODAP. Preparation of this manuscript was supported by the CSIRO Decadal Forecasting Project. ACCESS model development was funded through the Australian Climate Change Science Program (ACCSP). And thank you to the anonymous reviewers whose comments helped improve the manuscript.</t>
  </si>
  <si>
    <t>1463-5003</t>
  </si>
  <si>
    <t>1463-5011</t>
  </si>
  <si>
    <t>OCEAN MODEL</t>
  </si>
  <si>
    <t>Ocean Model.</t>
  </si>
  <si>
    <t>10.1016/j.ocemod.2019.01.005</t>
  </si>
  <si>
    <t>HM5FW</t>
  </si>
  <si>
    <t>WOS:000459502400001</t>
  </si>
  <si>
    <t>Silva, TR; Canela-Garayoa, R; Eras, J; Rodrigues, MVN; dos Santos, FN; Eberlin, MN; Neri-Numa, IA; Pastore, GM; Tavares, RSN; Debonsi, HM; Cordeiro, LRG; Rosa, LH; Oliveira, VM</t>
  </si>
  <si>
    <t>Silva, Tiago R.; Canela-Garayoa, Ramon; Eras, Jordi; Rodrigues, Marili V. N.; dos Santos, Fabio N.; Eberlin, Marcos N.; Neri-Numa, Iramaia A.; Pastore, Glaucia M.; Tavares, Renata S. N.; Debonsi, Hosana M.; Cordeiro, Lorena R. G.; Rosa, Luiz H.; Oliveira, Valeria M.</t>
  </si>
  <si>
    <t>Pigments in an iridescent bacterium, Cellulophaga fucicola, isolated from Antarctica</t>
  </si>
  <si>
    <t>ANTONIE VAN LEEUWENHOEK INTERNATIONAL JOURNAL OF GENERAL AND MOLECULAR MICROBIOLOGY</t>
  </si>
  <si>
    <t>Iridescent bacterium; Cellulophaga fucicola; Antioxidant; Carotenoids; Antarctic; Pigments</t>
  </si>
  <si>
    <t>COMPLETE GENOME SEQUENCE; BETA-CAROTENE; ANTIOXIDANT CAPACITY; HUMAN HEALTH; IDENTIFICATION; PHOTOTOXICITY; ABSORPTION; EQUIVALENT; RETINOL</t>
  </si>
  <si>
    <t>An iridescent yellow pigmented bacterium isolated from the Antarctic continent, named Cellulophaga fucicola strain 416, was found to be able to tolerate UV-B radiation. Its crude pigment extract was tested for antioxidant capacity, UV light stability and phototoxicity profile against murine fibroblast lines. The pigments were further isolated and chemically identified by ultra-high-performance liquid chromatography with photodiode array and mass spectrometry detectors. The results showed that the pigment extract presented weak stability under exposure to UV light, a phototoxic profile in the 3t3 Neutral Red Uptake test and a very high antioxidant activity, suggesting that it could be used as food and feed colourants. Zeaxanthin and two isomers of zeaxanthin, -cryptoxanthin and -carotene, were identified using a C18 column. These five carotenoids were the major pigments isolated from C. fucicola 416. In conclusion, the identification of pigments produced by the bacterial strain under study may help us understand how bacteria thrive in high UV and cold environments, and opens avenues for further biotechnological application towards a more sustainable and environmentally friendly way of pigment exploitation.</t>
  </si>
  <si>
    <t>[Silva, Tiago R.] Campinas State Univ UNICAMP, Inst Biol, POB 6109, Campinas, SP, Brazil; [Silva, Tiago R.; Oliveira, Valeria M.] Univ Estadual Campinas, Div Microbial Resources, Chem Biol &amp; Agr Pluridisciplinary Res Ctr CPQBA, Campinas, SP, Brazil; [Canela-Garayoa, Ramon; Eras, Jordi] Univ Lleida, ETSEA, Dept Chem, Agrotecnio Ctr, Lleida, Spain; [Rodrigues, Marili V. N.] Univ Estadual Campinas, Dept Organ Chem, Chem Biol &amp; Agr Pluridisciplinary Res Ctr CPQBA, Campinas, SP, Brazil; [dos Santos, Fabio N.; Eberlin, Marcos N.] Campinas State Univ UNICAMP, ThoMSon Mass Spectrometry Lab, Campinas, SP, Brazil; [Neri-Numa, Iramaia A.; Pastore, Glaucia M.] Univ Campinas UNICAMP, Dept Food Sci, Sch Food Engn, Campinas, SP, Brazil; [Tavares, Renata S. N.; Debonsi, Hosana M.; Cordeiro, Lorena R. G.] Univ Sao Paulo, Sch Pharmaceut Sci Ribeirao Preto, Ribeirao Preto, SP, Brazil; [Rosa, Luiz H.] Univ Fed Minas Gerais, Dept Microbiol, Inst Biol Sci, Belo Horizonte, MG, Brazil</t>
  </si>
  <si>
    <t>Universidade Estadual de Campinas; Universidade de Sao Paulo; Universidade Estadual de Campinas; Universitat de Lleida; Universidade Estadual de Campinas; Universidade Estadual de Campinas; Universidade Estadual de Campinas; Universidade de Sao Paulo; Universidade Federal de Minas Gerais</t>
  </si>
  <si>
    <t>Silva, TR (corresponding author), Campinas State Univ UNICAMP, Inst Biol, POB 6109, Campinas, SP, Brazil.;Oliveira, VM (corresponding author), Univ Estadual Campinas, Div Microbial Resources, Chem Biol &amp; Agr Pluridisciplinary Res Ctr CPQBA, Campinas, SP, Brazil.</t>
  </si>
  <si>
    <t>tiago04@gmail.com; vmaia@cpqba.unicamp.br</t>
  </si>
  <si>
    <t>Rodrigues, Marili V N/G-7593-2012; Debonsi, Hosana M/C-6120-2012; Spagolla Napoleão Tavares, Renata/GWZ-4955-2022; Santos, Fabio/JMC-5836-2023; Oliveira, Valéria Maia/L-2422-2014; Eberlin, Marcos N/B-8106-2012; Cordeiro, Lorena Gaspar/AAR-1504-2020; Canela-Garayoa, Ramon/T-9811-2019; Numa, Iramaia Angelica Neri/T-7472-2019; Silva, Tiago R/I-1326-2017; Fapesp, Biota/F-8655-2017; Ponce-Soto, Luis Alberto/B-1328-2017; Eras, Jordi/C-4841-2011; Santos, Fabio/G-9529-2014</t>
  </si>
  <si>
    <t>Oliveira, Valéria Maia/0000-0001-8817-4758; Cordeiro, Lorena Gaspar/0000-0002-1550-3036; Numa, Iramaia Angelica Neri/0000-0002-2151-417X; Silva, Tiago R/0000-0002-2269-9321; Fapesp, Biota/0000-0002-9887-8449; Eberlin, Marcos Nogueira/0000-0003-4868-0618; Ponce-Soto, Luis Alberto/0000-0001-5976-2913; Eras, Jordi/0000-0001-8022-2540; Santos, Fabio/0000-0001-7963-9306; Spagolla Napoleao Tavares, Renata/0000-0002-8491-2319</t>
  </si>
  <si>
    <t>Sao Paulo Research Foundation-FAPESP [2014/17936-1, 2016/05640-6, 2017/21790-0]</t>
  </si>
  <si>
    <t>Sao Paulo Research Foundation-FAPESP(Fundacao de Amparo a Pesquisa do Estado de Sao Paulo (FAPESP))</t>
  </si>
  <si>
    <t>This study was funded by Sao Paulo Research Foundation-FAPESP (Grant Nos. 2014/17936-1, 2016/05640-6, 2017/21790-0).</t>
  </si>
  <si>
    <t>0003-6072</t>
  </si>
  <si>
    <t>1572-9699</t>
  </si>
  <si>
    <t>ANTON LEEUW INT J G</t>
  </si>
  <si>
    <t>Antonie Van Leeuwenhoek</t>
  </si>
  <si>
    <t>10.1007/s10482-018-1179-5</t>
  </si>
  <si>
    <t>HL9ZA</t>
  </si>
  <si>
    <t>WOS:000459102000014</t>
  </si>
  <si>
    <t>Park, SH; Kim, SJ; Park, S; Kim, HK</t>
  </si>
  <si>
    <t>Park, Se Hyeon; Kim, Soo-jin; Park, Seongsoon; Kim, Hyung Kwoun</t>
  </si>
  <si>
    <t>Characterization of Organic Solvent-Tolerant Lipolytic Enzyme from Marinobacter lipolyticus Isolated from the Antarctic Ocean</t>
  </si>
  <si>
    <t>APPLIED BIOCHEMISTRY AND BIOTECHNOLOGY</t>
  </si>
  <si>
    <t>Lipase; Marinobacter lipolyticus; Organic solvent-tolerant enzyme; Antarctic bacteria</t>
  </si>
  <si>
    <t>3-DIMENSIONAL STRUCTURES; BURKHOLDERIA-GLADIOLI; BETA-LACTAMASE; ESTERASE; LIPASE; STABILITY; MECHANISM; CLONING; ACIDS; GENE</t>
  </si>
  <si>
    <t>The Antarctic marine environment provides a good source of novel lipolytic enzymes that possess beneficial properties, i.e., resistance to extreme physical and chemical conditions. We found a lipolytic Escherichia coli colony that was transformed using genomic DNA from Marinobacter lipolyticus 27-A9 isolated from the Antarctic Ross Sea. DNA sequence analysis revealed an open reading frame of lipolytic enzyme gene. The gene translates a protein (LipA9) of 404 amino acids with molecular mass of 45,247Da. Recombinant LipA9 was expressed in E. coli BL21 (DE3) cells and purified by anion exchange and gel filtration chromatography. The k(cat)/K-m of LipA9 was 175s(-1)M(-1), and the optimum temperature and pH were 70 degrees C and pH 8.0, respectively. LipA9 had quite high organic solvent stability; it was stable toward several common organic solvents up to 50% concentration. Substrate specificity studies showed that LipA9 preferred a short acyl chain length of p-nitrophenyl ester and triglyceride. Sequence analysis showed that LipA9 contained catalytic Ser(72) and Lys(75) in S-x-x-K motif, like family VIII esterases. Homology modeling and site-directed mutagenesis studies revealed that Tyr(141) and Tyr(188) residues were located near the conserved motif and played an important role in catalytic activity.</t>
  </si>
  <si>
    <t>[Park, Se Hyeon; Kim, Soo-jin; Kim, Hyung Kwoun] Catholic Univ Korea, Div Biotechnol, Bucheon 420743, South Korea; [Park, Seongsoon] Sungshin Womens Univ, Inst Basic Sci, Ctr NanoBio Appl Technol, Dept Chem, Seoul 136742, South Korea</t>
  </si>
  <si>
    <t>Catholic University of Korea; Sungshin Women's University</t>
  </si>
  <si>
    <t>Kim, HK (corresponding author), Catholic Univ Korea, Div Biotechnol, Bucheon 420743, South Korea.</t>
  </si>
  <si>
    <t>hkkim@catholic.ac.kr</t>
  </si>
  <si>
    <t>Park, Seongsoon/J-7324-2018</t>
  </si>
  <si>
    <t>Park, Sehyeon/0000-0002-6222-665X; Kim, Hyung Kwoun/0000-0002-7685-0904</t>
  </si>
  <si>
    <t>Research Fund 2017 of The Catholic University of Korea; Korea Polar Research Institute [PE18100]</t>
  </si>
  <si>
    <t>Research Fund 2017 of The Catholic University of Korea; Korea Polar Research Institute(Korea Polar Research Institute of Marine Research Placement (KOPRI))</t>
  </si>
  <si>
    <t>This work was supported by the Research Fund 2017 of The Catholic University of Korea. This work was also supported by Korea Polar Research Institute (PE18100).</t>
  </si>
  <si>
    <t>0273-2289</t>
  </si>
  <si>
    <t>1559-0291</t>
  </si>
  <si>
    <t>APPL BIOCHEM BIOTECH</t>
  </si>
  <si>
    <t>Appl. Biochem. Biotechnol.</t>
  </si>
  <si>
    <t>10.1007/s12010-018-2865-5</t>
  </si>
  <si>
    <t>Biochemistry &amp; Molecular Biology; Biotechnology &amp; Applied Microbiology</t>
  </si>
  <si>
    <t>HS4NA</t>
  </si>
  <si>
    <t>WOS:000463838900026</t>
  </si>
  <si>
    <t>Allison, P; Archambault, S; Auffenberg, J; Bard, R; Beatty, JJ; Beheler-Amass, M; Besson, DZ; Beydler, M; Chen, CC; Chen, CH; Chen, P; Christenson, A; Clark, BA; Connolly, A; Cremonesi, L; Deaconu, C; Duvernois, M; Friedman, L; Gaior, R; Hanson, J; Hanson, K; Haugen, J; Hoffman, KD; Hong, E; Hsu, SY; Hu, L; Huang, JJ; Huang, MHA; Ishihara, A; Karle, A; Kelley, JL; Khandelwal, R; Kim, MC; Kravchenko, I; Kruse, J; Kurusu, K; Kuwabara, T; Landsman, H; Latif, UA; Laundrie, A; Li, CJ; Liu, TC; Lu, MY; Mase, K; Meures, T; Nam, J; Nichol, RJ; Nir, G; Novikov, A; Oberla, E; O'Murchadha, A; Pan, Y; Pfendner, C; Ratzlaff, K; Relich, M; Roth, J; Sandstrom, P; Seckel, D; Shiao, YS; Shultz, A; Song, M; Touart, J; Varner, GS; Vieregg, A; Wang, MZ; Wang, SH; Wissel, S; Yoshida, S; Young, R</t>
  </si>
  <si>
    <t>Allison, P.; Archambault, S.; Auffenberg, J.; Bard, R.; Beatty, J. J.; Beheler-Amass, M.; Besson, D. Z.; Beydler, M.; Chen, C. C.; Chen, C. H.; Chen, P.; Christenson, A.; Clark, B. A.; Connolly, A.; Cremonesi, L.; Deaconu, C.; Duvernois, M.; Friedman, L.; Gaior, R.; Hanson, J.; Hanson, K.; Haugen, J.; Hoffman, K. D.; Hong, E.; Hsu, S. Y.; Hu, L.; Huang, J. J.; Huang, M. -H. A.; Ishihara, A.; Karle, A.; Kelley, J. L.; Khandelwal, R.; Kim, M. -C.; Kravchenko, I.; Kruse, J.; Kurusu, K.; Kuwabara, T.; Landsman, H.; Latif, U. A.; Laundrie, A.; Li, C. -J.; Liu, T. -C.; Lu, M. -Y.; Mase, K.; Meures, T.; Nam, J.; Nichol, R. J.; Nir, G.; Novikov, A.; Oberla, E.; O'Murchadha, A.; Pan, Y.; Pfendner, C.; Ratzlaff, K.; Relich, M.; Roth, J.; Sandstrom, P.; Seckel, D.; Shiao, Y. S.; Shultz, A.; Song, M.; Touart, J.; Varner, G. S.; Vieregg, A.; Wang, M. Z.; Wang, S. H.; Wissel, S.; Yoshida, S.; Young, R.</t>
  </si>
  <si>
    <t>Measurement of the real dielectric permittivity εr of glacial ice</t>
  </si>
  <si>
    <t>ASTROPARTICLE PHYSICS</t>
  </si>
  <si>
    <t>Glaciology; Neutrinos; Radio-frequency</t>
  </si>
  <si>
    <t>NEUTRINO DETECTOR; SOUTH-POLE; PERFORMANCE; DESIGN</t>
  </si>
  <si>
    <t>Owing to their small interaction cross-section, neutrinos are unparalleled astronomical tracers. Ultra-high energy (UHE; E&gt; 10 PeV) neutrinos probe the most distant, most explosive sources in the Universe, often obscured to optical telescopes. Radio-frequency (RF) detection of Askaryan radiation in cold polar ice is currently regarded as the best experimental measurement technique for UHE neutrinos, provided the RF properties of the ice target can be well-understood. To that end, the Askaryan Radio Array (ARA) experiment at the South Pole has used long-baseline RF propagation to extract information on the index-of-refraction (n = root epsilon(r)) in South Polar ice. Owing to the increasing ice density over the upper 150-200 m, rays are measured along two, nearly parallel paths, one of which refracts through an inflection point, with differences in both arrival time and arrival angle that can be used to constrain the neutrino properties. We also observe (first) indications for RF ice birefringence for signals propagating along predominantly horizontal trajectories, corresponding to an asymmetry of order 0.1% between the ordinary and extraordinary birefringent axes, numerically compatible with previous measurements of birefringent asymmetries for vertically-propagating radio-frequency signals at South Pole. Qualitatively, these effects offer the possibility of redundantly measuring the range from receiver to a neutrino interaction in Antarctic ice, if receiver antennas are deployed at shallow (z similar to -25 m) depths. Such range information is essential in determining both the neutrino energy, as well as the incident neutrino direction. (C) 2019 Elsevier B.V. All rights reserved.</t>
  </si>
  <si>
    <t>[Besson, D. Z.; Latif, U. A.; Novikov, A.; Ratzlaff, K.; Young, R.] Univ Kansas, Dept Phys &amp; Astron, Lawrence, KS 66045 USA; [Allison, P.; Beatty, J. J.; Clark, B. A.; Connolly, A.; Hanson, J.; Hong, E.; Pfendner, C.] Ohio State Univ, Dept Phys, 191 West Woodruff Ave, Columbus, OH USA; [Allison, P.; Beatty, J. J.; Clark, B. A.; Connolly, A.; Hanson, J.; Hong, E.; Pfendner, C.; Relich, M.] Ohio State Univ, Ctr Cosmol &amp; AstroParticle Phys, 191 West Woodruff Ave, Columbus, OH USA; [Archambault, S.; Gaior, R.; Ishihara, A.; Kim, M. -C.; Kurusu, K.; Kuwabara, T.; Mase, K.; Nam, J.; Yoshida, S.] Chiba Univ, Dept Phys, Tokyo, Japan; [Auffenberg, J.; Beheler-Amass, M.; Beydler, M.; Christenson, A.; Duvernois, M.; Hanson, K.; Haugen, J.; Karle, A.; Kelley, J. L.; Khandelwal, R.; Laundrie, A.; Lu, M. -Y.; Meures, T.; O'Murchadha, A.; Sandstrom, P.] Univ Wisconsin, Dept Phys, 1150 Univ Ave, Madison, WI 53706 USA; [Auffenberg, J.; Beheler-Amass, M.; Beydler, M.; Christenson, A.; Duvernois, M.; Hanson, K.; Haugen, J.; Karle, A.; Kelley, J. L.; Khandelwal, R.; Laundrie, A.; Lu, M. -Y.; Meures, T.; O'Murchadha, A.; Sandstrom, P.] Univ Wisconsin, Wisconsin lceCube Particle Astrophys Ctr, Madison, WI USA; [Bard, R.; Friedman, L.; Hoffman, K. D.; Song, M.; Touart, J.] Univ Maryland, Dept Phys, College Pk, MD 20742 USA; [Besson, D. Z.; Novikov, A.] Natl Res Nucl Univ, Moscow Engn Phys Inst, Moscow, Russia; [Chen, C. C.; Chen, C. H.; Chen, P.; Hsu, S. Y.; Hu, L.; Huang, J. J.; Huang, M. -H. A.; Li, C. -J.; Liu, T. -C.; Shiao, Y. S.; Wang, M. Z.; Wang, S. H.] Natl Taiwan Univ, Grad Inst Astrophys, Dept Phys, Taipei, Taiwan; [Chen, C. C.; Chen, C. H.; Chen, P.; Hsu, S. Y.; Hu, L.; Huang, J. J.; Huang, M. -H. A.; Li, C. -J.; Liu, T. -C.; Shiao, Y. S.; Wang, M. Z.; Wang, S. H.] Natl Taiwan Univ, Leung Ctr Cosmol &amp; Particle Astrophys, Taipei, Taiwan; [Cremonesi, L.; Nichol, R. J.] UCL, Dept Phys &amp; Astron, London, England; [Deaconu, C.; Oberla, E.; Vieregg, A.] Univ Chicago, Dept Phys, Chicago, IL USA; [Kravchenko, I.; Kruse, J.; Shultz, A.] Univ Nebraska, Dept Phys &amp; Astron, Lincoln, NE 68588 USA; [Landsman, H.; Nir, G.] Weizmann Inst Sci, Rehovot, Israel; [Pan, Y.; Roth, J.; Seckel, D.] Univ Delaware, Dept Phys &amp; Astron, Newark, DE 19716 USA; [Varner, G. S.] Univ Hawaii, Dept Phys &amp; Astron, Manoa, HI USA; [Wissel, S.] Calif Polytech State Univ San Luis Obispo, Dept Phys, San Luis Obispo, CA 93407 USA</t>
  </si>
  <si>
    <t>University of Kansas; University System of Ohio; Ohio State University; University System of Ohio; Ohio State University; Chiba University; University of Wisconsin System; University of Wisconsin Madison; University of Wisconsin System; University of Wisconsin Madison; University System of Maryland; University of Maryland College Park; National Research Nuclear University MEPhI (Moscow Engineering Physics Institute); National Taiwan University; National Taiwan University; University of London; University College London; University of Chicago; University of Nebraska System; University of Nebraska Lincoln; Weizmann Institute of Science; University of Delaware; University of Hawaii System; University of Hawaii Manoa; California State University System; California Polytechnic State University San Luis Obispo</t>
  </si>
  <si>
    <t>Besson, DZ (corresponding author), Univ Kansas, Dept Phys &amp; Astron, Lawrence, KS 66045 USA.</t>
  </si>
  <si>
    <t>zedlam@ku.edu</t>
  </si>
  <si>
    <t>Beatty, James/D-9310-2011; Novikov, Alexander S/L-7538-2016; Chen, Pisin/IAO-8769-2023; Nichol, Ryan/C-1645-2008; Huang, Jian Jang/L-9953-2016; Nir, Guy/HJJ-0199-2023</t>
  </si>
  <si>
    <t>Beatty, James/0000-0003-0481-4952; Chen, Pisin/0000-0001-5251-7210; Nichol, Ryan/0000-0003-0557-0443; Cremonesi, Linda/0000-0003-0711-1056; Clark, Brian/0000-0003-4089-2245; Deaconu, Cosmin/0000-0002-4953-6397; Huang, Minghuey/0000-0002-8325-6233; Wissel, Stephanie/0000-0003-0569-6978; Novikov, Alexander/0000-0002-1086-7252</t>
  </si>
  <si>
    <t>National Science Foundation [NSF OPP-1002483, NSF OPP-1359535, 0847658, 1250720, DGE-1343012, 1255557]; Taiwan National Science Councils Vanguard Program [NSC 102-2628-M-002-010]; Belgian F.R.S.-FNRS Grant [4.4508.01]; University of Wisconsin Alumni Research Foundation; University of Maryland; Ohio State University; United States-Israel Binational Science Foundation [2012077]; National Research Nuclear University MEPhI (Moscow Engineering Physics Institute) [14.A12.31.0006]; Leverhulme Trust; STFC [ST/N000285/1, PP/E006876/1] Funding Source: UKRI; Div Of Information &amp; Intelligent Systems; Direct For Computer &amp; Info Scie &amp; Enginr [1250720] Funding Source: National Science Foundation</t>
  </si>
  <si>
    <t>National Science Foundation(National Science Foundation (NSF)); Taiwan National Science Councils Vanguard Program; Belgian F.R.S.-FNRS Grant(Fonds de la Recherche Scientifique - FNRS); University of Wisconsin Alumni Research Foundation; University of Maryland; Ohio State University(Ohio State University); United States-Israel Binational Science Foundation(US-Israel Binational Science Foundation); National Research Nuclear University MEPhI (Moscow Engineering Physics Institute); Leverhulme Trust(Leverhulme Trust); STFC(UK Research &amp; Innovation (UKRI)Science &amp; Technology Facilities Council (STFC)); Div Of Information &amp; Intelligent Systems; Direct For Computer &amp; Info Scie &amp; Enginr(National Science Foundation (NSF)NSF - Directorate for Computer &amp; Information Science &amp; Engineering (CISE))</t>
  </si>
  <si>
    <t>We thank the National Science Foundation for their generous support through Grant NSF OPP-1002483 and Grant NSF OPP-1359535. We further thank the Taiwan National Science Councils Vanguard Program: NSC 102-2628-M-002-010 and the Belgian F.R.S.-FNRS Grant4.4508.01. We are grateful to the U.S. National Science Foundation-Office of Polar Programs and the U.S. National Science Foundation-Physics Division. We also thank the University of Wisconsin Alumni Research Foundation, the University of Maryland and the Ohio State University for their support. Furthermore, we are grateful to the Raytheon Polar Services Corporation and the Antarctic Support Contractor, for field support. A. Connolly thanks the National Science Foundation for their support through CAREER award 1255557, and also the Ohio Supe. rcomputer Center. K. Hoffman likewise thanks the National Science Foundation for their support through CAREER award 0847658. A. Connolly, H. Landsman, and D. Besson thank the United States-Israel Binational Science Foundation for their support through Grant 2012077. A. Connolly, A. Karle, and J. Kelley thank the National Science Foundation or the support through BIGDATA Grant 1250720. B. A. Clark thanks the National Science Foundation for support through the Graduate Research Fellowship Program Award DGE-1343012. D. Besson and A. Novikov acknowlege support from National Research Nuclear University MEPhI (Moscow Engineering Physics Institute) via agreement 14.A12.31.0006 from 24.06.2013, R. Nichol thanks the Leverhulme Trust for their support.</t>
  </si>
  <si>
    <t>0927-6505</t>
  </si>
  <si>
    <t>1873-2852</t>
  </si>
  <si>
    <t>ASTROPART PHYS</t>
  </si>
  <si>
    <t>Astropart Phys.</t>
  </si>
  <si>
    <t>10.1016/j.astropartphys.2019.01.004</t>
  </si>
  <si>
    <t>HM5MW</t>
  </si>
  <si>
    <t>WOS:000459520800006</t>
  </si>
  <si>
    <t>Xie, D; Gong, MY; Wei, W; Jin, J; Wang, XS; Wang, XG; Jin, QZ</t>
  </si>
  <si>
    <t>Xie, Dan; Gong, Mengyue; Wei, Wei; Jin, Jun; Wang, Xiaosan; Wang, Xingguo; Jin, Qingzhe</t>
  </si>
  <si>
    <t>Antarctic Krill (Euphausia superba) Oil: A Comprehensive Review of Chemical Composition, Extraction Technologies, Health Benefits, and Current Applications</t>
  </si>
  <si>
    <t>COMPREHENSIVE REVIEWS IN FOOD SCIENCE AND FOOD SAFETY</t>
  </si>
  <si>
    <t>applications; chemical composition; extraction technologies; health benefits; krill oil</t>
  </si>
  <si>
    <t>POLYUNSATURATED FATTY-ACIDS; SUPERCRITICAL CARBON-DIOXIDE; CARDIOVASCULAR-DISEASES; LIQUID-CHROMATOGRAPHY; PREMENSTRUAL-SYNDROME; INSULIN-RESISTANCE; CANCER STATISTICS; OXIDATIVE STRESS; FISH-OIL; SUPPLEMENTATION</t>
  </si>
  <si>
    <t>Antarctic krill (Euphausia superba) oil has been receiving increasing attention due to its nutritional and functional potentials. However, its application as a novel food ingredient has not yet been fully explored. This review summarizes the chemical composition, extraction technologies, potential health benefits, and current applications of krill oil, with the aim of providing suggestions for its exploitation. Krill oil is a unique lipid consisting of diverse lipid classes and is characterized by a high concentration (39.29% to 80.69%) of phospholipids (PLs) associated with eicosapentaenoic acid (EPA) and docosahexaenoic acid (DHA). It also contains considerable amounts of bioactive minor components such as astaxanthin, sterols, tocopherols, vitamin A, flavonoids, and minerals. The current technologies used in krill oil production are solvent extraction, nonsolvent extraction, super/subcritical fluid extraction, and enzyme-assisted pretreatment extraction, which all greatly influence the yield and quality of the end-product. In addition, krill oil has been documented to have various health benefits, including anti-inflammatory effects, cardiovascular disease (CVD) prevention, women's health, neuroprotection, and anticancer activities. Although krill oil products used for dietary supplements have been commercially available, few studies have attempted to explore the underlying molecular mechanisms to elucidate how exactly the krill oil exerts different biological activities. Further studies should focus on this to improve the development of krill oil products for human consumption.</t>
  </si>
  <si>
    <t>[Xie, Dan; Gong, Mengyue; Wei, Wei; Jin, Jun; Wang, Xiaosan; Wang, Xingguo; Jin, Qingzhe] Jiangnan Univ, Sch Food Sci &amp; Technol, Natl Engn Res Ctr Funct Food, Collaborat Innovat Ctr Food Safety &amp; Qual Control, 1800 Lihu Ave, Wuxi 214122, Jiangsu, Peoples R China; [Xie, Dan] Zhonghai Ocean Wuxi Marine Equipment Engn Co Ltd, Jiangnan Univ Natl Univ Sci Pk,100 Jinxi Rd, Wuxi 214125, Jiangsu, Peoples R China</t>
  </si>
  <si>
    <t>Jiangnan University</t>
  </si>
  <si>
    <t>Jin, QZ (corresponding author), Jiangnan Univ, Sch Food Sci &amp; Technol, Natl Engn Res Ctr Funct Food, Collaborat Innovat Ctr Food Safety &amp; Qual Control, 1800 Lihu Ave, Wuxi 214122, Jiangsu, Peoples R China.</t>
  </si>
  <si>
    <t>jqzwx12@163.com</t>
  </si>
  <si>
    <t>Chen, Xiaojia/JYV-2395-2024; Jin, Jun/U-4130-2019; Wei, Wei/GQG-9683-2022</t>
  </si>
  <si>
    <t>Jin, Jun/0000-0002-6186-6882; Wei, Wei/0000-0001-7836-7812</t>
  </si>
  <si>
    <t>National Natural Science Foundation of China [31701559]; Natural Science Foundation of Jiangsu Province, China [BK20150137]; National First-Class Discipline Program of Food Science and Technology [JUFSTR20180202]</t>
  </si>
  <si>
    <t>National Natural Science Foundation of China(National Natural Science Foundation of China (NSFC)); Natural Science Foundation of Jiangsu Province, China(Natural Science Foundation of Jiangsu Province); National First-Class Discipline Program of Food Science and Technology</t>
  </si>
  <si>
    <t>This work was financially supported by the National Natural Science Foundation of China (Grant No: 31701559), the Natural Science Foundation of Jiangsu Province, China (Grant No: BK20150137) and the National First-Class Discipline Program of Food Science and Technology (Grant No: JUFSTR20180202).</t>
  </si>
  <si>
    <t>1541-4337</t>
  </si>
  <si>
    <t>COMPR REV FOOD SCI F</t>
  </si>
  <si>
    <t>Compr. Rev. Food. Sci. Food Saf.</t>
  </si>
  <si>
    <t>10.1111/1541-4337.12427</t>
  </si>
  <si>
    <t>HM5CZ</t>
  </si>
  <si>
    <t>WOS:000459493900011</t>
  </si>
  <si>
    <t>Abubakar, M; Habib, NMSA; Manogaran, M; Yasid, NA; Alias, SA; Ahmad, SA; Smykla, J; Hassan, MA; Shukor, MYA</t>
  </si>
  <si>
    <t>Abubakar, Maryam; Habib, Nur Muhamad Syahir Abdul; Manogaran, Motharasan; Yasid, Nur Adeela; Alias, Siti Aisyah; Ahmad, Siti Aqlima; Smykla, Jerzy; Hassan, Mohd Ali; Shukor, Mohd Yunus Abd</t>
  </si>
  <si>
    <t>Response surface-based optimization of the biodegradation of a simulated vegetable oily ballast wastewater under temperate conditions using the Antarctic bacterium Rhodococcus erythropolis ADL36</t>
  </si>
  <si>
    <t>DESALINATION AND WATER TREATMENT</t>
  </si>
  <si>
    <t>Palm oil; Oily ballast wastewater; Rhodococcus erythropolis ADL36; Bioremediation; Antarctica</t>
  </si>
  <si>
    <t>OXIDATIVE DESULFURIZATION; CATALYST</t>
  </si>
  <si>
    <t>Discharge of vegetable oily ballast wastewater constitutes serious hazardous pollution to the environment due to its toxic effects on aquatic organisms and terrestrial animals consuming the waste. The damage is especially severe if the release of this waste occurred in temperate waters where biodegradation by existing marine microorganisms is limited due to the cold conditions. Biodegradation using cold-tolerant microorganism added to palm oil wastewater before discharge has never been studied as a method of remediation. This study aims to investigate the biodegradability of vegetable oil (palm oil) at 15 degrees C by a cold-tolerant Antarctic bacterium under saline conditions for such purpose. The strain was cultured at different oil concentrations, temperature, pH, and inoculum size. Furthermore, the degradation of the oil was optimized using response surface methodology (RSM). Gravimetry and gas chromatography were utilized to monitor the biodegradation of the oil components. The results of the study show that maximum growth and biodegradation occur at 1% (v/v) of the oil, at 25 degrees C, pH 6.8, and an inoculum size of 5% (v/v). The use of RSM resulted in an increase in bacterial growth of about 1 log unit. In conclusion, this study demonstrates a possible use of an Antarctic bacterium for the bioremediation of palm oil oily ballast wastewater in temperate waters.</t>
  </si>
  <si>
    <t>[Abubakar, Maryam; Habib, Nur Muhamad Syahir Abdul; Manogaran, Motharasan; Yasid, Nur Adeela; Ahmad, Siti Aqlima; Shukor, Mohd Yunus Abd] Univ Putra, Dept Biochem, Fac Biotechnol &amp; Biomol Sci, Upm Serdang 43400, Selangor, Malaysia; [Alias, Siti Aisyah; Ahmad, Siti Aqlima] Univ Malaya, Natl Antarctic Res Ctr, B303 Level 3,Block B,IPS Bldg, Kuala Lumpur 50603, Malaysia; [Smykla, Jerzy] Polish Acad Sci, Inst Nat Conservat, Mickiewicza,33, PL-31120 Krakow, Poland; [Hassan, Mohd Ali] Univ Putra, Dept Bioproc Technol, Fac Biotechnol &amp; Biomol Sci, Upm Serdang 43400, Selangor, Malaysia</t>
  </si>
  <si>
    <t>Universiti Putra Malaysia; Universiti Malaya; Polish Academy of Sciences; Universiti Putra Malaysia</t>
  </si>
  <si>
    <t>Shukor, MYA (corresponding author), Univ Putra, Dept Biochem, Fac Biotechnol &amp; Biomol Sci, Upm Serdang 43400, Selangor, Malaysia.</t>
  </si>
  <si>
    <t>mairam90@gmail.com; syahirhabib@gmail.com; adeela@upm.edu.my; saa@um.edu.my; aqlima@upm.edu.my; jerzysmykla@yahoo.com; alihas@upm.edu.my; mohdyunus@upm.edu.my</t>
  </si>
  <si>
    <t>Hassan, Mohd Ali/AAL-2510-2020; Hassan, Mohammad/KDM-9524-2024; FASc, SITI AISYAH A. HJ ALIAS/B-9785-2010; Yasid, Nur Adeela/AAL-8044-2020; Hassan, Mohammad/GZA-7507-2022; shukor, yunus/AAB-7087-2020; Smykla, Jerzy/N-3288-2014</t>
  </si>
  <si>
    <t>FASc, SITI AISYAH A. HJ ALIAS/0000-0002-6759-5745; Hassan, Mohammad/0000-0002-1712-0004; shukor, yunus/0000-0002-6150-2114; Ahmad, Siti Aqlima/0000-0002-7625-3704; Smykla, Jerzy/0000-0001-8228-6695; M. Hassan, Ali/0000-0001-9509-9266; Hassan, Mohd Ali/0000-0002-5073-1536; Manogaran, Motharasan/0000-0002-7721-3587</t>
  </si>
  <si>
    <t>Universiti Putra Malaysia [9486100]; Ministry of Science, Technology and Innovation (MOSTI) [GA006-2014FL]</t>
  </si>
  <si>
    <t>Universiti Putra Malaysia; Ministry of Science, Technology and Innovation (MOSTI)(Ministry of Energy, Science, Technology, Environment and Climate Change (MESTECC), Malaysia)</t>
  </si>
  <si>
    <t>This project was supported by Putra-IPS fund received from Universiti Putra Malaysia under the Grant Number 9486100 and the Ministry of Science, Technology and Innovation (MOSTI) grant (GA006-2014FL).</t>
  </si>
  <si>
    <t>DESALINATION PUBL</t>
  </si>
  <si>
    <t>HOPKINTON</t>
  </si>
  <si>
    <t>36 WALCOTT VALLEY DRIVE,, HOPKINTON, MA 01748 USA</t>
  </si>
  <si>
    <t>1944-3994</t>
  </si>
  <si>
    <t>1944-3986</t>
  </si>
  <si>
    <t>DESALIN WATER TREAT</t>
  </si>
  <si>
    <t>Desalin. Water Treat.</t>
  </si>
  <si>
    <t>10.5004/dwt.2019.23529</t>
  </si>
  <si>
    <t>Engineering, Chemical; Water Resources</t>
  </si>
  <si>
    <t>Engineering; Water Resources</t>
  </si>
  <si>
    <t>HL7HI</t>
  </si>
  <si>
    <t>WOS:000458909900013</t>
  </si>
  <si>
    <t>Vendrami, DLJ; Houston, RD; Gharbi, K; Telesca, L; Gutierrez, AP; Gurney-Smith, H; Hasegawa, N; Boudry, P; Hoffman, JI</t>
  </si>
  <si>
    <t>Vendrami, David L. J.; Houston, Ross D.; Gharbi, Karim; Telesca, Luca; Gutierrez, Alejandro P.; Gurney-Smith, Helen; Hasegawa, Natsuki; Boudry, Pierre; Hoffman, Joseph I.</t>
  </si>
  <si>
    <t>Detailed insights into pan-European population structure and inbreeding in wild and hatchery Pacific oysters (Crassostrea gigas) revealed by genome-wide SNP data</t>
  </si>
  <si>
    <t>EVOLUTIONARY APPLICATIONS</t>
  </si>
  <si>
    <t>aquaculture; Crassostrea gigas; genetic structure; high-density genotyping array; inbreeding; Pacific oyster; restriction site-associated DNA (RAD) sequencing; single nucleotide polymorphism (SNP)</t>
  </si>
  <si>
    <t>REPRODUCTIVE SUCCESS; INVASION GENETICS; R-PACKAGE; TOOL SET; DEPRESSION; MICROSATELLITE; TRAITS; PERFORMANCE; SHELLFISH; GROWTH</t>
  </si>
  <si>
    <t>Cultivated bivalves are important not only because of their economic value, but also due to their impacts on natural ecosystems. The Pacific oyster (Crassostrea gigas) is the world's most heavily cultivated shellfish species and has been introduced to all continents except Antarctica for aquaculture. We therefore used a medium-density single nucleotide polymorphism (SNP) array to investigate the genetic structure of this species in Europe, where it was introduced during the 1960s and has since become a prolific invader of coastal ecosystems across the continent. We analyzed 21,499 polymorphic SNPs in 232 individuals from 23 localities spanning a latitudinal cline from Portugal to Norway and including the source populations of Japan and Canada. We confirmed the results of previous studies by finding clear support for a southern and a northern group, with the former being indistinguishable from the source populations indicating the absence of a pronounced founder effect. We furthermore conducted a large-scale comparison of oysters sampled from the wild and from hatcheries to reveal substantial genetic differences including significantly higher levels of inbreeding in some but not all of the sampled hatchery cohorts. These findings were confirmed by a smaller but representative SNP dataset generated using restriction site-associated DNA sequencing. We therefore conclude that genomic approaches can generate increasingly detailed insights into the genetics of wild and hatchery produced Pacific oysters.</t>
  </si>
  <si>
    <t>[Vendrami, David L. J.; Hoffman, Joseph I.] Bielefeld Univ, Dept Anim Behav, Bielefeld, Germany; [Houston, Ross D.; Gutierrez, Alejandro P.] Univ Edinburgh, Roslin Inst, Edinburgh, Midlothian, Scotland; [Houston, Ross D.; Gutierrez, Alejandro P.] Univ Edinburgh, Royal Dick Sch Vet Studies, Edinburgh, Midlothian, Scotland; [Gharbi, Karim] Univ Edinburgh, Ashworth Labs, Edinburgh Genom, Edinburgh, Midlothian, Scotland; [Telesca, Luca] Univ Cambridge, Dept Earth Sci, Cambridge, England; [Telesca, Luca; Hoffman, Joseph I.] British Antarctic Survey, Cambridge, England; [Gurney-Smith, Helen] Vancouver Isl Univ, Dept Fisheries &amp; Aquaculture, Nanaimo, BC, Canada; [Hasegawa, Natsuki] Japan Fisheries Res Agcy, Natl Res Inst Aquaculture, Minamiise, Japan; [Boudry, Pierre] UBO, CNRS, IRD, Ifremer,Lab Sci Environm Marin, Plouzane, France</t>
  </si>
  <si>
    <t>University of Bielefeld; University of Edinburgh; UK Research &amp; Innovation (UKRI); Biotechnology and Biological Sciences Research Council (BBSRC); Roslin Institute; University of Edinburgh; University of Edinburgh; University of Cambridge; UK Research &amp; Innovation (UKRI); Natural Environment Research Council (NERC); NERC British Antarctic Survey; Vancouver Island University; Japan Fisheries Research &amp; Education Agency (FRA); Centre National de la Recherche Scientifique (CNRS); Ifremer; Institut de Recherche pour le Developpement (IRD); Universite de Bretagne Occidentale; Institut Universitaire Europeen de la Mer (IUEM)</t>
  </si>
  <si>
    <t>Vendrami, DLJ (corresponding author), Bielefeld Univ, Dept Anim Behav, Bielefeld, Germany.</t>
  </si>
  <si>
    <t>david.vendrami@student.unife.it</t>
  </si>
  <si>
    <t>Gharbi, Karim/C-5771-2012; Boudry, Pierre/M-3213-2019; Hasegawa, Natsuki/D-2362-2009; Vendrami, David/AAH-1912-2021; Hoffman, Joseph/K-7725-2012</t>
  </si>
  <si>
    <t>Gharbi, Karim/0000-0003-1092-4488; Boudry, Pierre/0000-0002-5150-2276; Vendrami, David/0000-0001-9409-4084; Hoffman, Joseph/0000-0001-5895-8949; Telesca, Luca/0000-0002-9060-2261; Houston, Ross/0000-0003-1805-0762; Hasegawa, Natsuki/0000-0002-5747-611X; Gutierrez, Alejandro P./0000-0003-3952-2896</t>
  </si>
  <si>
    <t>European Union Marie Curie Seventh Framework Programme [605051]; BBSRC [BB/M026140/1, BBS/E/D/20002172, BBS/E/D/30002275]; NERC [NE/P010695/1]; German Research Foundation (DFG); Open Access Publication Fund of Bielefeld University; BBSRC [BB/M026140/1] Funding Source: UKRI; NERC [NE/P010695/1, bas0100036] Funding Source: UKRI</t>
  </si>
  <si>
    <t>European Union Marie Curie Seventh Framework Programme(European Union (EU)); BBSRC(UK Research &amp; Innovation (UKRI)Biotechnology and Biological Sciences Research Council (BBSRC)); NERC(UK Research &amp; Innovation (UKRI)Natural Environment Research Council (NERC)); German Research Foundation (DFG)(German Research Foundation (DFG)); Open Access Publication Fund of Bielefeld University; BBSRC(UK Research &amp; Innovation (UKRI)Biotechnology and Biological Sciences Research Council (BBSRC)); NERC(UK Research &amp; Innovation (UKRI)Natural Environment Research Council (NERC))</t>
  </si>
  <si>
    <t>We thank Carsten Fomsgaard, Jonathan King, Robert Mescam, Stein Mortensen, Kirti Ramesh, Yoshiko Shimahara, and Karin Troost for providing Pacific oyster samples or DNA extracts as well as SYSAAF for coordinating the provision of the French hatchery samples from Marinove, Satmar, France Naissain and Novostrea. We are also grateful to Melody Clark, Dennis Hedgecock and Pierrick Haffray as well as the participants of the 7th International Oyster Symposium (Bangor, Wales 2017) and the Wild Genomics Meeting (Bielefeld, Germany 2018) for useful discussions. Martin Stoffel provided helpful advice on data analysis, while Stephane Duval, Mathieu Montergous, Emmanuel Vernier, Mark Dravers, and Gordon Goldsworthy shared information on Pacific oyster breeding practices. The research leading to these results has received funding from the European Union Marie Curie Seventh Framework Programme under grant agreement no. 605051. We also gratefully acknowledge funding from BBSRC and NERC (BB/M026140/1, NE/P010695/1) in addition to BBSRC Institute Strategic Program Grants (BBS/E/D/20002172 and BBS/E/D/30002275). Finally, we acknowledge the financial support of the German Research Foundation (DFG) and the Open Access Publication Fund of Bielefeld University for the article processing charge.</t>
  </si>
  <si>
    <t>1752-4571</t>
  </si>
  <si>
    <t>EVOL APPL</t>
  </si>
  <si>
    <t>Evol. Appl.</t>
  </si>
  <si>
    <t>10.1111/eva.12736</t>
  </si>
  <si>
    <t>Evolutionary Biology</t>
  </si>
  <si>
    <t>HM2VG</t>
  </si>
  <si>
    <t>WOS:000459328300012</t>
  </si>
  <si>
    <t>Le Voyer, M; Hauri, EH; Cottrell, E; Kelley, KA; Salters, VJM; Langmuir, CH; Hilton, DR; Barry, PH; Füri, E</t>
  </si>
  <si>
    <t>Le Voyer, Marion; Hauri, Erik H.; Cottrell, Elizabeth; Kelley, Katherine A.; Salters, Vincent J. M.; Langmuir, Charles H.; Hilton, David R.; Barry, Peter H.; Fueri, Evelyn</t>
  </si>
  <si>
    <t>Carbon Fluxes and Primary Magma CO2 Contents Along the Global Mid-Ocean Ridge System</t>
  </si>
  <si>
    <t>mid-ocean ridge basalt; carbon; CO2; geochemistry; volatiles; fluxes</t>
  </si>
  <si>
    <t>MID-ATLANTIC RIDGE; EAST PACIFIC RISE; JUAN-DE-FUCA; GALAPAGOS-SPREADING-CENTER; SOUTHWEST INDIAN RIDGE; BACK-ARC BASIN; TRACE-ELEMENT GEOCHEMISTRY; NORTH FIJI BASIN; MANTLE SOURCE HETEROGENEITY; RARE-GAS SYSTEMATICS</t>
  </si>
  <si>
    <t>The concentration of carbon in primary mid-ocean ridge basalts (MORBs), and the associated fluxes of CO2 outgassed at ocean ridges, is examined through new data obtained by secondary ion mass spectrometry (SIMS) on 753 globally distributed MORB glasses. MORB glasses are typically 80-90% degassed of CO2. We thus use the limited range in CO2/Ba (81.3 +/- 23) and CO2/Rb (991 +/- 129), derived from undegassed MORB and MORB melt inclusions, to estimate primary CO2 concentrations for ridges that have Ba and/or Rb data. When combined with quality-controlled volatile-element data from the literature (n=2,446), these data constrain a range of primary CO2 abundances that vary from 104ppm to 1.90wt%. Segment-scale data reveal a range in MORB magma flux varying by a factor of 440 (from 6.8x10(5) to 3.0x10(8) m(3)/year) and an integrated global MORB magma flux of 16.51.6km(3)/year. When combined with CO2/Ba and CO2/Rb-derived primary magma CO2 abundances, the calculated segment-scale CO2 fluxes vary by more than 3 orders of magnitude (3.3x10(7) to 4.0x10(10) mol/year) and sum to an integrated global MORB CO2 flux of 1.32(0.85)(+0.77)x10(12) mol/year. Variations in ridge CO2 fluxes have a muted effect on global climate; however, because the vast majority of CO2 degassed at ridges is dissolved into seawater and enters the marine bicarbonate cycle. MORB degassing would thus only contribute to long-term variations in climate via degassing directly into the atmosphere in shallow-water areas or where the ridge system is exposed above sea level. Plain Language Summary Estimated CO2 contents of primary mid-ocean ridge basalts (MORB), calculated on a segment-by-segment basis, vary from 104ppm to 1.9wt%. CO2-enriched MORB are present in all ocean basins, in particular, in the Atlantic Ocean basin, which is younger and more likely to contain admixed material from recent subduction compared to the much older Pacific Ocean basin. CO2 fluxes at individual ridge segments vary by 3 orders of magnitude due primarily to large variability in primary CO2 content. This study provides the most detailed and accurate estimate to date of the integrated total flux of CO2 from mid-ocean ridges of 1.32(0.85)(+0.77)x10(12) mol/year.</t>
  </si>
  <si>
    <t>[Le Voyer, Marion; Hauri, Erik H.] Carnegie Inst Sci, Dept Terr Magnetism, 5241 Broad Branch Rd NW, Washington, DC 20015 USA; [Le Voyer, Marion; Cottrell, Elizabeth] Smithsonian Inst, Natl Museum Nat Hist, Washington, DC 20560 USA; [Kelley, Katherine A.] Univ Rhode Isl, Grad Sch Oceanog, Narragansett, RI 02882 USA; [Salters, Vincent J. M.] Florida State Univ, Natl High Magnet Field Lab, Tallahassee, FL 32306 USA; [Salters, Vincent J. M.] Florida State Univ, Dept Earth Ocean &amp; Atmospher Sci, Tallahassee, FL 32306 USA; [Langmuir, Charles H.] Harvard Univ, Dept Earth &amp; Planetary Sci, 20 Oxford St, Cambridge, MA 02138 USA; [Hilton, David R.] Univ Calif San Diego, Scripps Inst Oceanog, San Diego, CA 92103 USA; [Barry, Peter H.] Univ Oxford, Dept Earth Sci, Oxford, England; [Fueri, Evelyn] Univ Lorraine, Ctr Rech Petrog &amp; Geochim, CNRS, UMR7358, Vandoeuvre Les Nancy, France</t>
  </si>
  <si>
    <t>Carnegie Institution for Science; Smithsonian Institution; Smithsonian National Museum of Natural History; University of Rhode Island; State University System of Florida; Florida State University; State University System of Florida; Florida State University; Harvard University; University of California System; University of California San Diego; Scripps Institution of Oceanography; University of Oxford; Universite de Lorraine; Centre National de la Recherche Scientifique (CNRS); CNRS - National Institute for Earth Sciences &amp; Astronomy (INSU)</t>
  </si>
  <si>
    <t>Kelley, KA (corresponding author), Univ Rhode Isl, Grad Sch Oceanog, Narragansett, RI 02882 USA.</t>
  </si>
  <si>
    <t>kelley@uri.edu</t>
  </si>
  <si>
    <t>Kelley, Katherine A/J-3728-2013; Hilton, David R/B-7611-2008; Füri, Evelyn/N-7691-2016; langmuir, charles/ISV-3278-2023; Salters, Vincent/F-9792-2014</t>
  </si>
  <si>
    <t>Füri, Evelyn/0000-0002-7680-2478; Barry, Peter/0000-0002-6960-1555; Salters, Vincent/0000-0002-5669-7869; Cottrell, Elizabeth/0000-0002-9402-9394; LE VOYER, MARION/0009-0005-6753-3308</t>
  </si>
  <si>
    <t>U. California Ship Funds; NSF [OCE-0726573]; National Science Foundation [OCE-1555523]</t>
  </si>
  <si>
    <t>U. California Ship Funds; NSF(National Science Foundation (NSF)); National Science Foundation(National Science Foundation (NSF))</t>
  </si>
  <si>
    <t>We would like to dedicate this paper to our colleague and mentor, Erik Hauri. As co-authors, it was both an honor and a challenge to step into his shoes in order to finish this work after his passing. With a passion for scientific achievement, an always positive attitude, and an everlasting care for peers, Erik was a cornerstone of the Deep Carbon Observatory Initiative. His legacy work on carbon in the mantle will inspire the next generation of scientists to press farther. Many thanks to Jianhua Wang for expert assistance with temperamental instrumentation in the Carnegie SIMS lab, and to Tim Gooding and the Smithsonian Department of Mineral Sciences for assistance with sample preparation. We thank the geochemistry group at IPGP, University of Paris for sharing data and samples from the Pacific-Antarctic Ridge. We wish to thank the captain, crew, and scientific parties of the cruises PACANTARCTIC 1 and 2 cruises (PAR), the GIMNAUT, CD127, and KNOX11RR cruises (CIR), the PROTEA-5, MD34, AG22, and AG53 (SWIR), and the CHEPR and PANORAMA-1 cruises (EPR). We also acknowledge support from the U. California Ship Funds, and NSF grant OCE-0726573 (DRH). National Science Foundation grant OCE-1555523 provides support for the curation and distribution of geological samples at the University of Rhode Island. This is a contribution to the Deep Carbon Observatory.</t>
  </si>
  <si>
    <t>10.1029/2018GC007630</t>
  </si>
  <si>
    <t>WOS:000464647100008</t>
  </si>
  <si>
    <t>Nisbet, EG; Manning, MR; Dlugokencky, EJ; Fisher, RE; Lowry, D; Michel, SE; Myhre, CL; Platt, M; Allen, G; Bousquet, P; Brownlow, R; Cain, M; France, JL; Hermansen, O; Hossaini, R; Jones, AE; Levin, I; Manning, AC; Myhre, G; Pyle, JA; Vaughn, BH; Warwick, NJ; White, JWC</t>
  </si>
  <si>
    <t>Nisbet, E. G.; Manning, M. R.; Dlugokencky, E. J.; Fisher, R. E.; Lowry, D.; Michel, S. E.; Myhre, C. Lund; Platt, M.; Allen, G.; Bousquet, P.; Brownlow, R.; Cain, M.; France, J. L.; Hermansen, O.; Hossaini, R.; Jones, A. E.; Levin, I; Manning, A. C.; Myhre, G.; Pyle, J. A.; Vaughn, B. H.; Warwick, N. J.; White, J. W. C.</t>
  </si>
  <si>
    <t>Very Strong. Atmospheric Methane Growth in the 4 Years 2014-2017: Implications for the paris Agreement</t>
  </si>
  <si>
    <t>GLOBAL BIOGEOCHEMICAL CYCLES</t>
  </si>
  <si>
    <t>ISOTOPIC SOURCE SIGNATURES; NATURAL-GAS PRODUCTION; CARBON-DIOXIDE; ANTHROPOGENIC EMISSIONS; DECADAL TRENDS; CLIMATE MODELS; FOSSIL-FUEL; TOP-DOWN; CH4; AIR</t>
  </si>
  <si>
    <t>Atmospheric methane grew very rapidly in 2014 (12.7 +/- 0.5 ppb/year), 2015 (10.1 +/- 0.7 ppb/year), 2016 (7.0 +/- 0.7 ppb/year), and 2017 (7.7 +/- 0.7 ppb/year), at rates not observed since the 1980s. The increase in the methane burden began in 2007, with the mean global mole fraction in remote surface background air rising from about 1,775 ppb in 2006 to 1,850 ppb in 2017. Simultaneously the C-13/(12) C isotopic ratio (expressed as delta(13) C-CH4) has shifted, has shifted, now trending negative for more than a decade. The causes of methane's recent mole fraction increase are therefore either a change in the relative proportions (and totals) of emissions from biogenic and thermogenic and pyrogenic sources, especially in the tropics and subtropics, or a decline in the atmospheric sink of methane, or both. Unfortunately, with limited measurement data sets, it is not currently possible to be more definitive. The climate warming impact of the observed methane increase over the past decade, if continued at &gt;5 ppb/year in the coming decades, is sufficient to challenge the Paris Agreement, which requires sharp cuts in the atmospheric methane burden. However, anthropogenic methane emissions are relatively very large and thus offer attractive targets for rapid reduction, which are essential if the Paris Agreement aims are to be attained. Plain Language Summary The rise in atmospheric methane (CH4), which began in 2007, accelerated in the past 4 years. The growth has been worldwide, especially in the tropics and northern midlatitudes. With the rise has come a shift in the carbon isotope ratio of the methane. The causes of the rise are not fully understood, and may include increased emissions and perhaps a decline in the destruction of methane in the air. Methane's increase since 2007 was not expected in future greenhouse gas scenarios compliant with the targets of the Paris Agreement, and if the increase continues at the same rates it may become very difficult to meet the Paris goals. There is now urgent need to reduce methane emissions, especially from the fossil fuel industry.</t>
  </si>
  <si>
    <t>[Nisbet, E. G.; Fisher, R. E.; Lowry, D.; France, J. L.] Royal Holloway Univ London, Dept Earth Sci, Egham, Surrey, England; [Manning, M. R.] Victoria Univ Wellington, Sch Geog Environm &amp; Earth Sci, Climate Change Res Inst, Wellington, New Zealand; [Dlugokencky, E. J.] US Natl Ocean &amp; Atmospher Adm, Global Monitoring Div, Earth Syst Res Lab, Boulder, CO 80305 USA; [Michel, S. E.; Vaughn, B. H.; White, J. W. C.] Univ Colorado, Inst Arctic &amp; Alpine Res, Boulder, CO 80309 USA; [Myhre, C. Lund; Platt, M.; Hermansen, O.] NILU Norwegian Inst Air Res, Kjeller, Norway; [Allen, G.] Univ Manchester, Ctr Atmospher Sci, Manchester, Lancs, England; [Bousquet, P.] Lab Sci Climat &amp; Environm, Gif Sur Yvette, France; [Brownlow, R.] Univ Groningen, Energy &amp; Sustainabil Res Inst, Groningen, Netherlands; [Cain, M.] Univ Oxford, Sch Geog &amp; Environm, Environm Change Inst, Oxford, England; [Cain, M.] Univ Oxford, Oxford Martin Sch, Oxford, England; [France, J. L.; Jones, A. E.] British Antarctic Survey, Cambridge, Cambs, England; [Hossaini, R.] Univ Lancaster, Lancaster Environm Ctr, Lancaster, England; [Levin, I] Heidelberg Univ, Inst Umweltphys, Heidelberg, Germany; [Manning, A. C.] Univ East Anglia, Ctr Ocean &amp; Atmospher Sci, Sch Environm Sci, Norwich, Norfolk, England; [Myhre, G.] CICERO Ctr Int Climate Res, Oslo, Norway; [Pyle, J. A.; Warwick, N. J.] Univ Cambridge, Natl Ctr Atmospher Sci, Cambridge, England; [Pyle, J. A.; Warwick, N. J.] Univ Cambridge, Dept Chem, Cambridge, England</t>
  </si>
  <si>
    <t>University of London; Royal Holloway University London; Victoria University Wellington; National Oceanic Atmospheric Admin (NOAA) - USA; University of Colorado System; University of Colorado Boulder; NILU; University of Manchester; CEA; Centre National de la Recherche Scientifique (CNRS); Universite Paris Saclay; University of Groningen; University of Oxford; University of Oxford; UK Research &amp; Innovation (UKRI); Natural Environment Research Council (NERC); NERC British Antarctic Survey; Lancaster University; Ruprecht Karls University Heidelberg; University of East Anglia; UK Research &amp; Innovation (UKRI); Natural Environment Research Council (NERC); NERC National Centre for Atmospheric Science; University of Cambridge; University of Cambridge</t>
  </si>
  <si>
    <t>Nisbet, EG (corresponding author), Royal Holloway Univ London, Dept Earth Sci, Egham, Surrey, England.;Manning, MR (corresponding author), Victoria Univ Wellington, Sch Geog Environm &amp; Earth Sci, Climate Change Res Inst, Wellington, New Zealand.;Dlugokencky, EJ (corresponding author), US Natl Ocean &amp; Atmospher Adm, Global Monitoring Div, Earth Syst Res Lab, Boulder, CO 80305 USA.</t>
  </si>
  <si>
    <t>e.nisbet@rhul.ac.uk; martin.manning@vuw.ac.nz; ed.dlugokencky@noaa.gov</t>
  </si>
  <si>
    <t>Cain, Michelle/AAX-4672-2021; BOUSQUET, Philippe/AGI-6602-2022; Manning, Andrew/AAN-5629-2021; Allen, Grant/AAF-7097-2021; Michel, Sylvia/AAQ-2028-2020; Lowry, David/GXG-1235-2022; Allen, Grant/A-7737-2013; Hossaini, Ryan/F-7134-2015; Vaughn, Bruce/AAO-8867-2020; Myhre, Gunnar/A-3598-2008; Dlugokencky, Edward/AAN-8746-2020; Myhre, Gunnar/J-5483-2014; Myhre, Cathrine L Lund/M-4508-2014; Lowry, David/JCE-0619-2023; Fisher, Rebecca/AAA-5352-2022; White, James W.C./A-7845-2009; France, James/L-9719-2015; Platt, Stephen/G-1678-2019</t>
  </si>
  <si>
    <t>Cain, Michelle/0000-0003-2062-6556; Manning, Andrew/0000-0001-6952-7773; Allen, Grant/0000-0002-7070-3620; Michel, Sylvia/0000-0002-5651-1163; Allen, Grant/0000-0002-7070-3620; Dlugokencky, Edward/0000-0003-0612-6985; Myhre, Gunnar/0000-0002-4309-476X; Myhre, Cathrine L Lund/0000-0003-3587-5926; Fisher, Rebecca/0000-0002-9262-5467; Hossaini, Ryan/0000-0003-2395-6657; France, James/0000-0002-8785-1240; VAUGHN, BRUCE/0000-0001-6503-957X; Hermansen, Ove/0000-0001-7353-057X; Bousquet, Philippe/0000-0002-4444-2703; LOWRY, DAVID/0000-0002-8535-0346; Platt, Stephen/0000-0002-8439-6633; Brownlow, Rebecca/0000-0001-9409-8288</t>
  </si>
  <si>
    <t>UK Natural Environment Research Council's MOYA (Global Methane Budget) project; NERC (MAMM); NERC (Arctic methane); NERC (Southern methane); European Union (InGOS); European Union (Geomon); European Union (IMECC); European Union (Meth-MonitEUr); MOCA (Methane emissions from the Arctic Ocean) project - Research Council of Norway; SOCA (Signals from the Arctic OCean to the Atmosphere) project - Research Council of Norway; NERC [NE/N016211/1, NE/P019641/1, ncas10014, NE/N014375/1, NE/I013342/1, NE/N015835/1, NE/N016122/1, NE/M005836/1, NE/R017638/1, NE/N018028/1, NE/N015584/1, NE/I028874/1, NE/I014683/1, NE/I02934X/1, NE/M001768/1, NE/R01809X/1, NE/I029161/1, NE/F006160/1, NE/S003657/1, NE/S00159X/1, NE/K00221X/1, NE/K006045/1, bas0100032, NE/N016238/1, NE/N018001/1] Funding Source: UKRI; Natural Environment Research Council [NE/R01809X/1] Funding Source: researchfish</t>
  </si>
  <si>
    <t>UK Natural Environment Research Council's MOYA (Global Methane Budget) project; NERC (MAMM)(UK Research &amp; Innovation (UKRI)Natural Environment Research Council (NERC)); NERC (Arctic methane); NERC (Southern methane); European Union (InGOS)(European Union (EU)Marie Curie Actions); European Union (Geomon)(European Union (EU)); European Union (IMECC)(European Union (EU)); European Union (Meth-MonitEUr)(European Union (EU)Marie Curie Actions); MOCA (Methane emissions from the Arctic Ocean) project - Research Council of Norway; SOCA (Signals from the Arctic OCean to the Atmosphere) project - Research Council of Norway; NERC(UK Research &amp; Innovation (UKRI)Natural Environment Research Council (NERC)); Natural Environment Research Council(UK Research &amp; Innovation (UKRI)Natural Environment Research Council (NERC))</t>
  </si>
  <si>
    <t>We thank our many field site partners and measurement teams for sustained dedication in gathering multiyear data sets through the vagaries of funding. Their work is invaluable in understanding global greenhouse gas growth. The NOAA Cooperative Global Air Sampling Network underpins all study of the methane burden in the global atmosphere. The RHUL observations are particularly dependent on the painstaking measurement of Mathias Lanoiselle and Barbara White, and for sustained support from the UK Met Office in Ascension Is., from Environment and Climate Change Canada (D. Worthy and colleagues) and the South African Weather Service, who maintain the globally important site at Cape Point. We thank Kirk Thoning (NOAA) for helping prepare two figures. We thank Keith Shine, Rona Thompson, and the editor and anonymous referees for thoughtful, detailed, and very valuable criticism. NOAA data are available online (https://www.esrl.noaa.gov/gmd/dv/data/). RHUL data are being archived in the UK Centre for Environmental Data Analysis (CEDA; http://catalogue.ceda.ac.uk/uuid/dd2b03d085c5494a8cbfc6b4b99ca702). This work was supported by the UK Natural Environment Research Council's MOYA (Global Methane Budget) project; as well as by a sequence of prior projects supported by NERC (MAMM, Arctic methane, Southern methane) and the European Union (InGOS, Geomon, IMECC, Meth-MonitEUr, etc.) over the past 20 years; and also by the MOCA (Methane emissions from the Arctic Ocean) and SOCA (Signals from the Arctic OCean to the Atmosphere) projects, funded by the Research Council of Norway.</t>
  </si>
  <si>
    <t>0886-6236</t>
  </si>
  <si>
    <t>1944-9224</t>
  </si>
  <si>
    <t>GLOBAL BIOGEOCHEM CY</t>
  </si>
  <si>
    <t>Glob. Biogeochem. Cycle</t>
  </si>
  <si>
    <t>10.1029/2018GB006009</t>
  </si>
  <si>
    <t>Environmental Sciences; Geosciences, Multidisciplinary; Meteorology &amp; Atmospheric Sciences</t>
  </si>
  <si>
    <t>Environmental Sciences &amp; Ecology; Geology; Meteorology &amp; Atmospheric Sciences</t>
  </si>
  <si>
    <t>HT6CK</t>
  </si>
  <si>
    <t>WOS:000464651600006</t>
  </si>
  <si>
    <t>Clarke, LJ; Bestley, S; Bissett, A; Deagle, BE</t>
  </si>
  <si>
    <t>Clarke, Laurence J.; Bestley, Sophie; Bissett, Andrew; Deagle, Bruce E.</t>
  </si>
  <si>
    <t>A globally distributed Syndiniales parasite dominates the Southern Ocean micro-eukaryote community near the sea-ice edge</t>
  </si>
  <si>
    <t>ISME JOURNAL</t>
  </si>
  <si>
    <t>GENERATION TIME; DIVERSITY; INFECTION</t>
  </si>
  <si>
    <t>Syndiniales (Dinophyceae, Alveolata) are a diverse parasitic group common in all marine environments, but their ecological role remains poorly understood. Here we show an unprecedented dominance of a single Syndiniales group I operational taxonomic unit (OTU) across 3000 km of Southern Ocean transects near the sea-ice edge. This super-abundant OTU consistently represented &gt;20%, and in some locations &gt;50%, of eukaryote 18S rDNA sequences. Identical 18S V4 sequences have been isolated from seven Northern Hemisphere locations, and the OTU's putative V9 rDNA sequence was detected at every station of the global Tara Oceans voyage. Although Syndiniales taxa display some host specificity, our identification of candidate Southern Ocean hosts suggests this OTU associates with distinct phyla in different parts of the world. Our results indicate Syndiniales are key players in surface waters near the vast and dynamic sea-ice edge in the world's most biologically productive ocean.</t>
  </si>
  <si>
    <t>[Clarke, Laurence J.] Univ Tasmania, Antarctic Climate &amp; Ecosyst Cooperat Res Ctr, Hobart, Tas 7001, Australia; [Bestley, Sophie] Univ Tasmania, Inst Marine &amp; Antarctic Studies, Hobart, Tas 7001, Australia; [Bestley, Sophie; Bissett, Andrew] CSIRO, Oceans &amp; Atmosphere, Hobart, Tas 7004, Australia; [Bissett, Andrew] CSIRO, Environ FSP, Hobart, Tas 7004, Australia; [Deagle, Bruce E.] Australian Antarctic Div, Channel Highway, Kingston, Tas 7050, Australia</t>
  </si>
  <si>
    <t>Antarctic Climate &amp; Ecosystems Cooperative Research Centre (ACE CRC); University of Tasmania; University of Tasmania; Commonwealth Scientific &amp; Industrial Research Organisation (CSIRO); Commonwealth Scientific &amp; Industrial Research Organisation (CSIRO); Australian Antarctic Division</t>
  </si>
  <si>
    <t>Clarke, LJ (corresponding author), Univ Tasmania, Antarctic Climate &amp; Ecosyst Cooperat Res Ctr, Hobart, Tas 7001, Australia.</t>
  </si>
  <si>
    <t>laurence.clarke@utas.edu.au</t>
  </si>
  <si>
    <t>Bissett, Andrew/AFR-3887-2022; Bestley, Sophie/AAN-2483-2021; Clarke, Laurence/N-3579-2017; Deagle, Bruce E/R-2999-2019</t>
  </si>
  <si>
    <t>Bissett, Andrew/0000-0001-7396-1484; Bestley, Sophie/0000-0001-9342-669X; Clarke, Laurence/0000-0002-0844-4453; Deagle, Bruce E/0000-0001-7651-3687</t>
  </si>
  <si>
    <t>Australian Antarctic Science Kerguelen Axis project [AAS-4344]; Australian Antarctic Science Program [AAS-4313]; Bioplatforms Australia; Australian Government's Business Cooperative Research Centres Programme through the Antarctic Climate and Ecosystems Cooperative Research Centre; Australia Research Council's Special Research Initiative for Antarctic Gateway Partnership [SR140300001]</t>
  </si>
  <si>
    <t>Australian Antarctic Science Kerguelen Axis project; Australian Antarctic Science Program; Bioplatforms Australia; Australian Government's Business Cooperative Research Centres Programme through the Antarctic Climate and Ecosystems Cooperative Research Centre; Australia Research Council's Special Research Initiative for Antarctic Gateway Partnership</t>
  </si>
  <si>
    <t>We thank the Australian Antarctic Division (AAD) Science Technical Support Team and Aurora Australis crew for making this work happen. Karen Westwood and Imojen Pearce (AAD) provided chlorophyll data. Ben Raymond and Mike Sumner (AAD) helped access and interpret sea-ice melt data. Ruth Eriksen (CSIRO), Andrea Polanowski, Andrew Davidson and Karen West-wood (AAD) provided assistance with lab work. Martin Ostrowski (Macquarie University) ran the OTU taxonomy assignment. Rowan Trebilco (ACE CRC) provided advice on analyses. Contribution to the Australian Antarctic Science Kerguelen Axis project (AAS-4344). Molecular work funded through the Australian Antarctic Science Program (AAS-4313) and a Bioplatforms Australia Industry Access Voucher. This work was supported by the Australian Government's Business Cooperative Research Centres Programme through the Antarctic Climate and Ecosystems Cooperative Research Centre, and the Australia Research Council's Special Research Initiative for Antarctic Gateway Partnership (Project ID SR140300001).</t>
  </si>
  <si>
    <t>1751-7362</t>
  </si>
  <si>
    <t>1751-7370</t>
  </si>
  <si>
    <t>ISME J</t>
  </si>
  <si>
    <t>ISME J.</t>
  </si>
  <si>
    <t>10.1038/s41396-018-0306-7</t>
  </si>
  <si>
    <t>Ecology; Microbiology</t>
  </si>
  <si>
    <t>HL9HK</t>
  </si>
  <si>
    <t>WOS:000459053600014</t>
  </si>
  <si>
    <t>Bilyk, KT; Zhuang, X; Murphy, KR; Cheng, CHC</t>
  </si>
  <si>
    <t>Bilyk, Kevin T.; Zhuang, Xuan; Murphy, Katherine R.; Cheng, C-H Christina</t>
  </si>
  <si>
    <t>A tale of two genes: divergent evolutionary fate of haptoglobin and hemopexin in hemoglobinless Antarctic icefishes</t>
  </si>
  <si>
    <t>Notothenioid; Channichthyidae; Relaxed selection</t>
  </si>
  <si>
    <t>RELAXED SELECTION; PROTEIN WAP65; EXPRESSION; FISHES; HEME; POLYADENYLATION; ERYTHROPOIESIS; NOTOTHENIOIDEI; IDENTIFICATION; ACCURACY</t>
  </si>
  <si>
    <t>The evolution of Antarctic notothenioid fishes in the isolated freezing Southern Ocean has led to remarkable trait gains and losses. One of the most extraordinary was the loss of the major oxygen carrier hemoglobin (Hb) in the icefishes (family Channichthyidae). Although the mechanisms of this loss and the resulting compensatory changes have been well studied, the impact of Hb loss on the network of genes that once supported its recycling and disposal has remained unexplored. Here, we report the functional fate and underlying molecular changes of two such key Hb-supporting proteins across the icefish family - haptoglobin (Hp) and hemopexin (Hx), crucial in removing cytotoxic free Hb and heme, respectively. Hp plays a critical role in binding free Hb for intracellular recycling and absent its primary client, icefish Hp transcription is now vanishingly little, and translation into a functional protein is nearly silenced. Hp genotype degeneration has manifested in separate lineages of the icefish phylogeny with three distinct nonsense mutations and a deletion frame shift, as well as mutated polyadenylation signal sequences. Thus, Hb loss appears to have diminished selective constraint on Hp maintenance, resulting in its stochastic, co-evolutionary drift towards extinction. Hx binds free heme for iron recycling in hepatocytes. In contrast to Hp, Hx genotype integrity is preserved in the icefishes and transcription occurs at levels comparable to those in the red-blooded notothenioids. The persistence of Hx likely owes to continued selective pressure for its function from mitochondrial and non-Hb cellular hemoproteins.</t>
  </si>
  <si>
    <t>[Bilyk, Kevin T.] Western Kentucky Univ, Dept Biol, 1906 Coll Hts Blvd,11080, Bowling Green, KY 42101 USA; [Bilyk, Kevin T.; Zhuang, Xuan; Murphy, Katherine R.; Cheng, C-H Christina] Univ Illinois, Dept Anim Biol, 515 Morrill Hall,505 S Goodwin Ave, Urbana, IL 61801 USA; [Zhuang, Xuan] Univ Chicago, Dept Ecol &amp; Evolut, 1101 E 57th St, Chicago, IL 60637 USA; [Murphy, Katherine R.] Smithsonian Inst, Natl Museum Nat Hist, Labs Analyt Biol, POB 37012,MRC 183, Washington, DC 20013 USA</t>
  </si>
  <si>
    <t>Western Kentucky University; University of Illinois System; University of Illinois Urbana-Champaign; University of Chicago; Smithsonian Institution; Smithsonian National Museum of Natural History</t>
  </si>
  <si>
    <t>Bilyk, KT (corresponding author), Western Kentucky Univ, Dept Biol, 1906 Coll Hts Blvd,11080, Bowling Green, KY 42101 USA.;Bilyk, KT (corresponding author), Univ Illinois, Dept Anim Biol, 515 Morrill Hall,505 S Goodwin Ave, Urbana, IL 61801 USA.</t>
  </si>
  <si>
    <t>Murphy, Katherine/0000-0001-8898-8719; Bilyk, Kevin/0000-0002-2262-2703; Zhuang, Xuan/0000-0002-1919-9764</t>
  </si>
  <si>
    <t>US National Science Foundation Division of Polar Programs [ANT-1341701]</t>
  </si>
  <si>
    <t>US National Science Foundation Division of Polar Programs(National Science Foundation (NSF))</t>
  </si>
  <si>
    <t>This work was funded by the US National Science Foundation Division of Polar Programs grant ANT-1341701 to K.T.B. and C.-H.C.C.</t>
  </si>
  <si>
    <t>jeb188573</t>
  </si>
  <si>
    <t>10.1242/jeb.188573</t>
  </si>
  <si>
    <t>HR1CT</t>
  </si>
  <si>
    <t>WOS:000462866500005</t>
  </si>
  <si>
    <t>Prowe, AEF; Visser, AW; Andersen, KH; Chiba, S; Kiorboe, T</t>
  </si>
  <si>
    <t>Prowe, A. E. Friederike; Visser, Andre W.; Andersen, Ken H.; Chiba, Sanae; Kiorboe, Thomas</t>
  </si>
  <si>
    <t>Biogeography of zooplankton feeding strategy</t>
  </si>
  <si>
    <t>GROWTH-RATES; TROPHIC AMPLIFICATION; MARINE-PHYTOPLANKTON; SEASONAL SUCCESSION; ECOSYSTEM MODELS; OITHONA-SIMILIS; BODY-SIZE; PLANKTON; BIOMASS; COMMUNITIES</t>
  </si>
  <si>
    <t>The trait-based approach is increasingly used in plankton ecology to understand diversity, community dynamics, and biogeography. While on the global scale phytoplankton traits are fairly well established, zooplankton traits are only beginning to be understood. One taxa-transcending aspect of zooplankton diversity is the distinction between ambush and active feeding strategies. We present a global-scale empirical estimate of feeding strategy derived from copepod abundance observations, which for the first time suggests a distinct trait biogeography with ambush feeding as the dominant feeding strategy at higher, but not at lower latitudes. To explain this trait biogeography, we develop a minimalist trade-off based model of feeding strategies based on encounter rates between zooplankton predators and their phyto- and zooplankton prey. Encounter rates are governed by the two traits, size and motility, that trade off against predation risk. Coupled to a three-dimensional dynamic green ocean model, our idealized encounter model captures the observed feeding strategy biogeography. In the model, this pattern arises from competing dominant food chains within the food web and is shaped by a trophic trait cascade of active vs. passive feeding in adjacent trophic levels. The dominant feeding strategy structures the pathways and efficiency of energy and biomass transfer through the model food web, with consequences for primary production, export and higher trophic levels. Understanding feeding strategies is therefore important for fisheries, biogeochemical cycling, and long-term predictions of ecosystem dynamics and functioning by global dynamic green ocean models.</t>
  </si>
  <si>
    <t>[Prowe, A. E. Friederike] GEOMAR Helmholtz Ctr Ocean Res Kiel, Kiel, Germany; [Prowe, A. E. Friederike; Visser, Andre W.; Andersen, Ken H.; Kiorboe, Thomas] Tech Univ Denmark, Ctr Ocean Life, Natl Inst Aquat Resources, Lyngby, Denmark; [Chiba, Sanae] Yokohama Inst Earth Sci, JAMSTEC, Yokohama, Kanagawa, Japan; [Chiba, Sanae] UNEP WCMC, Cambridge, England</t>
  </si>
  <si>
    <t>Helmholtz Association; GEOMAR Helmholtz Center for Ocean Research Kiel; Technical University of Denmark; Japan Agency for Marine-Earth Science &amp; Technology (JAMSTEC); United Nations Environment Programme</t>
  </si>
  <si>
    <t>Prowe, AEF (corresponding author), GEOMAR Helmholtz Ctr Ocean Res Kiel, Kiel, Germany.;Prowe, AEF (corresponding author), Tech Univ Denmark, Ctr Ocean Life, Natl Inst Aquat Resources, Lyngby, Denmark.</t>
  </si>
  <si>
    <t>fprowe@geomar.de</t>
  </si>
  <si>
    <t>Prowe, AE Friederike/AAH-2497-2021; Kiørboe, Thomas/ABI-4733-2020; Visser, Andre/G-6317-2015</t>
  </si>
  <si>
    <t>Prowe, AE Friederike/0000-0001-5281-4696; Kiørboe, Thomas/0000-0002-3265-336X; Andersen, Ken Haste/0000-0002-8478-3430; Visser, Andre/0000-0002-1604-7263</t>
  </si>
  <si>
    <t>German Research Foundation; Villum Foundation; Global Environmental Research Fund of the Japanese Ministry of the Environment; Scientific Committee on Antarctic Research (SCAR); COPEPOD database of the National Oceanic and Atmospheric Administration (NOAA)</t>
  </si>
  <si>
    <t>German Research Foundation(German Research Foundation (DFG)); Villum Foundation(Villum Fonden); Global Environmental Research Fund of the Japanese Ministry of the Environment; Scientific Committee on Antarctic Research (SCAR); COPEPOD database of the National Oceanic and Atmospheric Administration (NOAA)</t>
  </si>
  <si>
    <t>We are very grateful to Stephanie Dutkiewicz and Iris Kriest for insightful comments during the development of this manuscript and to Philipp Brun for setting up the statistical analysis. We would also like to thank two anonymous reviewers for constructive comments improving the manuscript. This work contributes to the Priority Programm 1704-Dynatrait funded by the German Research Foundation. The Centre for Ocean Life is a VKR Centre of Excellence funded by the Villum Foundation. We acknowledge the use of data from the Odate collection owned by the Tohoku National Fisheries Research Institute and supported by the Global Environmental Research Fund of the Japanese Ministry of the Environment. The SO-CPR Survey supported by the Scientific Committee on Antarctic Research (SCAR) and the COPEPOD database of the National Oceanic and Atmospheric Administration (NOAA).</t>
  </si>
  <si>
    <t>10.1002/lno.11067</t>
  </si>
  <si>
    <t>Green Published, Green Accepted, Green Submitted, hybrid</t>
  </si>
  <si>
    <t>WOS:000461865500017</t>
  </si>
  <si>
    <t>De Paoli-Iseppi, R; Deagle, BE; Polanowski, AM; McMahon, CR; Dickinson, JL; Hindell, MA; Jarman, SN</t>
  </si>
  <si>
    <t>De Paoli-Iseppi, Ricardo; Deagle, Bruce E.; Polanowski, Andrea M.; McMahon, Clive R.; Dickinson, Joanne L.; Hindell, Mark A.; Jarman, Simon N.</t>
  </si>
  <si>
    <t>Age estimation in a long-lived seabird (Ardenna tenuirostris) using DNA methylation-based biomarkers</t>
  </si>
  <si>
    <t>MOLECULAR ECOLOGY RESOURCES</t>
  </si>
  <si>
    <t>age; birds; DNA methylation; DREAM; epigenetics</t>
  </si>
  <si>
    <t>SHEARWATERS PUFFINUS-TENUIROSTRIS; EARLY-LIFE-HISTORY; TELOMERES SHORTEN; CHRONOLOGICAL AGE; BIASED MORTALITY; PENTOSIDINE; PATTERNS; ACCUMULATION; PREDICTION; ADJACENT</t>
  </si>
  <si>
    <t>Age structure is a fundamental aspect of animal population biology. Age is strongly related to individual physiological condition, reproductive potential and mortality rate. Currently, there are no robust molecular methods for age estimation in birds. Instead, individuals must be ringed as chicks to establish known-age populations, which is a labour-intensive and expensive process. The estimation of chronological age using DNA methylation (DNAm) is emerging as a robust approach in mammals including humans, mice and some non-model species. Here, we quantified DNAm in whole blood samples from a total of 71 known-age Short-tailed shearwaters (Ardenna tenuirostris) using digital restriction enzyme analysis of methylation (DREAM). The DREAM method measures DNAm levels at thousands of CpG dinucleotides throughout the genome. We identified seven CpG sites with DNAm levels that correlated with age. A model based on these relationships estimated age with a mean difference of 2.8 years to known age, based on validation estimates from models created by repeated sampling of training and validation data subsets. Longitudinal observation of individuals re-sampled over 1 or 2 years generally showed an increase in estimated age (6/7 cases). For the first time, we have shown that epigenetic changes with age can be detected in a wild bird. This approach should be of broad interest to researchers studying age biomarkers in non-model species and will allow identification of markers that can be assessed using targeted techniques for accurate age estimation in large population studies.</t>
  </si>
  <si>
    <t>[De Paoli-Iseppi, Ricardo; McMahon, Clive R.; Hindell, Mark A.] Univ Tasmania, Inst Marine &amp; Antarctic Studies, Hobart, Tas, Australia; [De Paoli-Iseppi, Ricardo; Deagle, Bruce E.; Polanowski, Andrea M.] Australian Antarctic Div, Hobart, Tas, Australia; [McMahon, Clive R.] Sydney Inst Marine Sci, Sydney, NSW, Australia; [Dickinson, Joanne L.] Menzies Inst Med Res Tasmania, Canc Genet &amp; Immunol Grp, Hobart, Tas, Australia; [Hindell, Mark A.] Antarctic Climate &amp; Ecosyst CRC, Hobart, Tas, Australia; [Jarman, Simon N.] Curtin Univ, Dept Environm &amp; Agr, Trace &amp; Environm DNA Lab, Perth, WA, Australia; [Jarman, Simon N.] Univ Western Australia, CSIRO, Indian Ocean Marine Res Ctr, Perth, WA, Australia</t>
  </si>
  <si>
    <t>University of Tasmania; Australian Antarctic Division; Sydney Institute of Marine Science; University of Tasmania; Menzies Institute for Medical Research; University of Tasmania; Curtin University; University of Western Australia; Commonwealth Scientific &amp; Industrial Research Organisation (CSIRO)</t>
  </si>
  <si>
    <t>De Paoli-Iseppi, R (corresponding author), Univ Tasmania, Inst Marine &amp; Antarctic Studies, Hobart, Tas, Australia.</t>
  </si>
  <si>
    <t>ricardo.depaoliiseppi@utas.edu.au</t>
  </si>
  <si>
    <t>Deagle, Bruce E/R-2999-2019; Dickinson, Joanne L/J-7728-2014; Hindell, Mark A/K-1131-2013; McMahon, Clive R/D-5713-2013; Jarman, Simon/H-9265-2016</t>
  </si>
  <si>
    <t>Deagle, Bruce E/0000-0001-7651-3687; McMahon, Clive R/0000-0001-5241-8917; Dickinson, Joanne/0000-0003-4621-1703; De Paoli-Iseppi, Ricardo/0000-0001-7724-9144; Jarman, Simon/0000-0002-0792-9686; Polanowski, Andrea/0000-0002-9612-220X; Hindell, Mark/0000-0002-7823-7185</t>
  </si>
  <si>
    <t>Holsworth Wildlife Research Endowment [H0024583]; Australian Antarctic Science Program [4014]; Linnean Society of NSW [H0024181]</t>
  </si>
  <si>
    <t>Holsworth Wildlife Research Endowment; Australian Antarctic Science Program; Linnean Society of NSW</t>
  </si>
  <si>
    <t>Holsworth Wildlife Research Endowment, Grant/Award Number: H0024583; Australian Antarctic Science Program, Grant/Award Number: 4014; The Linnean Society of NSW, Grant/Award Number: H0024181</t>
  </si>
  <si>
    <t>1755-098X</t>
  </si>
  <si>
    <t>1755-0998</t>
  </si>
  <si>
    <t>MOL ECOL RESOUR</t>
  </si>
  <si>
    <t>Mol. Ecol. Resour.</t>
  </si>
  <si>
    <t>10.1111/1755-0998.12981</t>
  </si>
  <si>
    <t>HM9OS</t>
  </si>
  <si>
    <t>WOS:000459815200009</t>
  </si>
  <si>
    <t>Beaugrand, G; Conversi, A; Atkinson, A; Cloern, J; Chiba, S; Fonda-Umani, S; Kirby, RR; Greene, CH; Goberville, E; Otto, SA; Reid, PC; Stemmann, L; Edwards, M</t>
  </si>
  <si>
    <t>Beaugrand, G.; Conversi, A.; Atkinson, A.; Cloern, J.; Chiba, S.; Fonda-Umani, S.; Kirby, R. R.; Greene, C. H.; Goberville, E.; Otto, S. A.; Reid, P. C.; Stemmann, L.; Edwards, M.</t>
  </si>
  <si>
    <t>Prediction of unprecedented biological shifts in the global ocean</t>
  </si>
  <si>
    <t>CLIMATE-CHANGE; REGIME SHIFTS; ECOSYSTEM; IMPACTS; VULNERABILITY; BIODIVERSITY; DIVERSITY; PRESSURE; ATLANTIC; ECOLOGY</t>
  </si>
  <si>
    <t>Impermanence is an ecological principle(1) but there are times when changes occur nonlinearly as abrupt community shifts (ACSs) that transform the ecosystem state and the goods and services it provides(2). Here, we present a model based on niche theory(3) to explain and predict ACSs at the global scale. We test our model using 14 multi-decadal time series of marine metazoans from zooplankton to fish, spanning all latitudes and the shelf to the open ocean. Predicted and observed fluctuations correspond, with both identifying ACSs at the end of the 1980s(4-7) and 1990s(5,8). We show that these ACSs coincide with changes in climate that alter local thermal regimes, which in turn interact with the thermal niche of species to trigger long-term and sometimes abrupt shifts at the community level. A large-scale ACS is predicted after 2014-unprecedented in magnitude and extent-coinciding with a strong El Nino event and major shifts in Northern Hemisphere climate. Our results underline the sensitivity of the Arctic Ocean, where unprecedented melting may reorganize biological communities(5,9), and suggest an increase in the size and consequences of ACS events in a warming world.</t>
  </si>
  <si>
    <t>[Beaugrand, G.] Univ Littoral Cote dOpale, Univ Lille, CNRS,LOG, Lab Oceanol &amp; Geosci,Stn Marine Wimereux,UMR 8187, Wimereux, France; [Beaugrand, G.; Reid, P. C.; Edwards, M.] Continuous Plankton Recorder Survey, Marine Biol Assoc, Citadel Hill Lab, Plymouth, Devon, England; [Conversi, A.] CNR, Ist Sci Marine, Lerici, Italy; [Atkinson, A.] Plymouth Marine Lab, Plymouth, Devon, England; [Cloern, J.] US Geol Survey, 345 Middlefield Rd, Menlo Pk, CA 94025 USA; [Chiba, S.] Japan Agcy Marine Earth Sci &amp; Technol, Res &amp; Dev Ctr Global Change, Yokohama, Kanagawa, Japan; [Fonda-Umani, S.] Univ Trieste, Dept Life Sci, Trieste, Italy; [Kirby, R. R.] Secchi Disk Fdn, Plymouth, Devon, England; [Greene, C. H.] Cornell Univ, Ocean Resources &amp; Ecosyst Program, Ithaca, NY USA; [Goberville, E.] Univ Antilles, Univ Caen Normandie, Sorbonne Univ, BOREA,MNHN,CNRS,IRD,CP53, Paris, France; [Otto, S. A.] Univ Hamburg, Ctr Earth Syst Res &amp; Sustainabil, Inst Marine Ecosyst &amp; Fishery Sci, Hamburg, Germany; [Stemmann, L.] Sorbonne Univ, Inst Mer Villefranche, CNRS, Lab Oceanog Villefranche,UMR 7093, Villefranche Sur Mer, France</t>
  </si>
  <si>
    <t>Universite du Littoral-Cote-d'Opale; Centre National de la Recherche Scientifique (CNRS); CNRS - National Institute for Earth Sciences &amp; Astronomy (INSU); Universite de Lille; Marine Biological Association United Kingdom; Consiglio Nazionale delle Ricerche (CNR); Istituto di Scienze Marine (ISMAR-CNR); Plymouth Marine Laboratory; United States Department of the Interior; United States Geological Survey; Japan Agency for Marine-Earth Science &amp; Technology (JAMSTEC); University of Trieste; Cornell University; Universite de Caen Normandie; Centre National de la Recherche Scientifique (CNRS); Institut de Recherche pour le Developpement (IRD); Museum National d'Histoire Naturelle (MNHN); Sorbonne Universite; University of Hamburg; Sorbonne Universite; Centre National de la Recherche Scientifique (CNRS); CNRS - National Institute for Earth Sciences &amp; Astronomy (INSU)</t>
  </si>
  <si>
    <t>Beaugrand, G (corresponding author), Univ Littoral Cote dOpale, Univ Lille, CNRS,LOG, Lab Oceanol &amp; Geosci,Stn Marine Wimereux,UMR 8187, Wimereux, France.;Beaugrand, G (corresponding author), Continuous Plankton Recorder Survey, Marine Biol Assoc, Citadel Hill Lab, Plymouth, Devon, England.</t>
  </si>
  <si>
    <t>gregory.beaugrand@cnrs.fr</t>
  </si>
  <si>
    <t>stemmann, lars/Q-8458-2019; Atkinson, Angus/HOH-3417-2023; Goberville, Eric/A-2621-2017; stemmann, lars/E-6899-2011; stemmann, lars/ACE-2983-2022; Conversi, Alessandra/G-3899-2011</t>
  </si>
  <si>
    <t>Goberville, Eric/0000-0002-1843-7855; Conversi, Alessandra/0000-0002-8566-8282</t>
  </si>
  <si>
    <t>Research Programme CPER CLIMIBIO (Nord-Pas-de-Calais); regional programme INDICOP (Pas-de-Calais); ANR project TROPHIK; French Ministere de l'Enseignement Superieur et de la Recherche, Hauts-de-France Region; European Regional Development Fund; World Wildlife Fund; NERC; DEFRA [NE/L 003279/1]; NERC National Capability grant [NE/R015953/1]; Centre National de la Recherche Scientifique; NERC [NE/I030062/1, NE/I009736/1, NE/P00590X/1, NE/L003279/1, NE/R015953/1, SAH01001, pml010004, pml010007] Funding Source: UKRI</t>
  </si>
  <si>
    <t>Research Programme CPER CLIMIBIO (Nord-Pas-de-Calais); regional programme INDICOP (Pas-de-Calais); ANR project TROPHIK(Agence Nationale de la Recherche (ANR)); French Ministere de l'Enseignement Superieur et de la Recherche, Hauts-de-France Region; European Regional Development Fund(European Union (EU)); World Wildlife Fund; NERC(UK Research &amp; Innovation (UKRI)Natural Environment Research Council (NERC)); DEFRA(Department for Environment, Food &amp; Rural Affairs (DEFRA)); NERC National Capability grant; Centre National de la Recherche Scientifique(Centre National de la Recherche Scientifique (CNRS)); NERC(UK Research &amp; Innovation (UKRI)Natural Environment Research Council (NERC))</t>
  </si>
  <si>
    <t>This work was supported by the Centre National de la Recherche Scientifique, Research Programme CPER CLIMIBIO (Nord-Pas-de-Calais), regional programme INDICOP (Pas-de-Calais) and ANR project TROPHIK. The authors thank the French Ministere de l'Enseignement Superieur et de la Recherche, Hauts-de-France Region and European Regional Development Fund for financially supporting this project. We are indebted to P. Notez for help with computer engineering. A. A. and the Antarctic dataset were supported by the World Wildlife Fund, NERC and DEFRA grant number NE/L 003279/1 (Marine Ecosystems Research Programme) and NERC National Capability grant number NE/R015953/1. P.C.R. was also funded by NERC.</t>
  </si>
  <si>
    <t>10.1038/s41558-019-0420-1</t>
  </si>
  <si>
    <t>WOS:000459579300021</t>
  </si>
  <si>
    <t>Kim, BM; Amores, A; Kang, S; Ahn, DH; Kim, JH; Kim, IC; Lee, JH; Lee, SG; Lee, H; Lee, J; Kim, HW; Desvignes, T; Batzel, P; Sydes, J; Titus, T; Wilson, CA; Catchen, JM; Warren, WC; Schartl, M; Detrich, HW; Postlethwait, JH; Park, H</t>
  </si>
  <si>
    <t>Kim, Bo-Mi; Amores, Angel; Kang, Seunghyun; Ahn, Do-Hwan; Kim, Jin-Hyoung; Kim, Il-Chan; Lee, Jun Hyuck; Lee, Sung Gu; Lee, Hyoungseok; Lee, Jungeun; Kim, Han-Woo; Desvignes, Thomas; Batzel, Peter; Sydes, Jason; Titus, Tom; Wilson, Catherine A.; Catchen, Julian M.; Warren, Wesley C.; Schartl, Manfred; Detrich, H. William, III; Postlethwait, John H.; Park, Hyun</t>
  </si>
  <si>
    <t>Antarctic blackfin icefish genome reveals adaptations to extreme environments</t>
  </si>
  <si>
    <t>NATURE ECOLOGY &amp; EVOLUTION</t>
  </si>
  <si>
    <t>DE-NOVO IDENTIFICATION; CHAENOCEPHALUS-ACERATUS; OXIDATIVE STRESS; SOUTHERN-OCEAN; SPOTTED GAR; EVOLUTION; FISH; SEQUENCE; GENE; RNA</t>
  </si>
  <si>
    <t>Icefishes (suborder Notothenioidei; family Channichthyidae) are the only vertebrates that lack functional haemoglobin genes and red blood cells. Here, we report a high-quality genome assembly and linkage map for the Antarctic blackfin icefish Chaenocephalus aceratus, highlighting evolved genomic features for its unique physiology. Phylogenomic analysis revealed that Antarctic fish of the teleost suborder Notothenioidei, including icefishes, diverged from the stickleback lineage about 77 million years ago and subsequently evolved cold-adapted phenotypes as the Southern Ocean cooled to sub-zero temperatures. Our results show that genes involved in protection from ice damage, including genes encoding antifreeze glycoprotein and zona pellucida proteins, are highly expanded in the icefish genome. Furthermore, genes that encode enzymes that help to control cellular redox state, including members of the sod3 and nqo1 gene families, are expanded, probably as evolutionary adaptations to the relatively high concentration of oxygen dissolved in cold Antarctic waters. In contrast, some crucial regulators of circadian homeostasis (cry and per genes) are absent from the icefish genome, suggesting compromised control of biological rhythms in the polar light environment. The availability of the icefish genome sequence will accelerate our understanding of adaptation to extreme Antarctic environments.</t>
  </si>
  <si>
    <t>[Kim, Bo-Mi; Kang, Seunghyun; Ahn, Do-Hwan; Kim, Jin-Hyoung; Lee, Jun Hyuck; Lee, Sung Gu; Lee, Hyoungseok; Lee, Jungeun; Kim, Han-Woo; Park, Hyun] Korea Polar Res Inst, Unit Polar Genom, Incheon, South Korea; [Amores, Angel; Desvignes, Thomas; Batzel, Peter; Sydes, Jason; Titus, Tom; Wilson, Catherine A.; Postlethwait, John H.] Univ Oregon, Inst Neurosci, Eugene, OR 97403 USA; [Kim, Il-Chan] Korea Polar Res Inst, Dept Polar Life Sci, Incheon, South Korea; [Lee, Jun Hyuck; Lee, Sung Gu; Lee, Hyoungseok; Lee, Jungeun; Kim, Han-Woo; Park, Hyun] Univ Sci &amp; Technol, Polar Sci, Daejeon, South Korea; [Catchen, Julian M.] Univ Illinois, Dept Anim Biol, Champaign, IL 61820 USA; [Warren, Wesley C.] Washington Univ, McDonnell Genome Inst, St Louis, MO USA; [Schartl, Manfred] Univ Wurzburg, Bioctr, Dept Dev Biochem, Wurzburg, Germany; [Schartl, Manfred] Texas A&amp;M Univ, Hagler Inst Adv Study, College Stn, TX 77843 USA; [Schartl, Manfred] Texas A&amp;M Univ, Dept Biol, College Stn, TX 77843 USA; [Detrich, H. William, III] Northeastern Univ, Ctr Marine Sci, Dept Marine &amp; Environm Sci, Nahant, MA 01908 USA</t>
  </si>
  <si>
    <t>Korea Polar Research Institute (KOPRI); University of Oregon; Korea Polar Research Institute (KOPRI); University of Science &amp; Technology (UST); University of Illinois System; University of Illinois Urbana-Champaign; Washington University (WUSTL); University of Wurzburg; Texas A&amp;M University System; Texas A&amp;M University College Station; Texas A&amp;M University System; Texas A&amp;M University College Station; Northeastern University</t>
  </si>
  <si>
    <t>Park, H (corresponding author), Korea Polar Res Inst, Unit Polar Genom, Incheon, South Korea.;Postlethwait, JH (corresponding author), Univ Oregon, Inst Neurosci, Eugene, OR 97403 USA.;Park, H (corresponding author), Univ Sci &amp; Technol, Polar Sci, Daejeon, South Korea.;Schartl, M (corresponding author), Univ Wurzburg, Bioctr, Dept Dev Biochem, Wurzburg, Germany.;Schartl, M (corresponding author), Texas A&amp;M Univ, Hagler Inst Adv Study, College Stn, TX 77843 USA.;Schartl, M (corresponding author), Texas A&amp;M Univ, Dept Biol, College Stn, TX 77843 USA.;Detrich, HW (corresponding author), Northeastern Univ, Ctr Marine Sci, Dept Marine &amp; Environm Sci, Nahant, MA 01908 USA.</t>
  </si>
  <si>
    <t>phch1@biozentrum.uni-wuerzburg.de; w.detrich@northeastern.edu; jpostle@uoneuro.uoregon.edu; hpark@kopri.re.kr</t>
  </si>
  <si>
    <t>Wilson, Catherine/JWB-0289-2024; Thomas, Desvignes/AAX-3526-2020</t>
  </si>
  <si>
    <t>Thomas, Desvignes/0000-0001-5126-8785; Amores, Angel/0000-0002-9307-3609; Lee, Hyoungseok/0000-0002-5831-6345; Park, Hyun/0000-0002-8055-2010</t>
  </si>
  <si>
    <t>Korea Polar Research Institute Polar Genome 101 project grant [PE18080]; Deutsche Forschungsgemeinschaft; Hagler Institute of Advanced Study at Texas AM University; National Institutes of Health from the National Institute on Aging [R01AG031922]; National Institutes of Health Office of the Director [5R01OD011116, R24RR032670]; National Science Foundation from the Division of Polar Programs [ANT-0944517, PLR-1247510, PLR-1444167]; [PLR-1543383]</t>
  </si>
  <si>
    <t>Korea Polar Research Institute Polar Genome 101 project grant(Korea Polar Research Institute of Marine Research Placement (KOPRI)); Deutsche Forschungsgemeinschaft(German Research Foundation (DFG)); Hagler Institute of Advanced Study at Texas AM University; National Institutes of Health from the National Institute on Aging; National Institutes of Health Office of the Director(United States Department of Health &amp; Human ServicesNational Institutes of Health (NIH) - USA); National Science Foundation from the Division of Polar Programs(National Science Foundation (NSF));</t>
  </si>
  <si>
    <t>We acknowledge the support provided by the 30th Korea Antarctic overwintering members, and we extend special thanks to D.-W. Han for icefish sampling. We acknowledge logistical support provided by staff at the Division of Polar Programs of the National Science Foundation, personnel of the Antarctic Support Contract group, and captains and crews of the Antarctic Research and Supply Vessel Laurence M. Gould. This is contribution #386 from the Marine Science Center at Northeastern University. This work was supported by Korea Polar Research Institute Polar Genome 101 project grant PE18080 (to H.P.), the Deutsche Forschungsgemeinschaft and Hagler Institute of Advanced Study at Texas A&amp;M University (to M.S.), National Institutes of Health grant R01AG031922 from the National Institute on Aging (to J.H.P. and H.W.D.), grants 5R01OD011116 and R24RR032670 (to J.H.P.) from the National Institutes of Health Office of the Director, and National Science Foundation grants ANT-0944517, PLR-1247510 and PLR-1444167 from the Division of Polar Programs (to H.W.D.) and PLR-1543383 (to J.H.P. and H.W.D.).</t>
  </si>
  <si>
    <t>2397-334X</t>
  </si>
  <si>
    <t>NAT ECOL EVOL</t>
  </si>
  <si>
    <t>Nat. Ecol. Evol.</t>
  </si>
  <si>
    <t>10.1038/s41559-019-0812-7</t>
  </si>
  <si>
    <t>HM8TE</t>
  </si>
  <si>
    <t>WOS:000459753700028</t>
  </si>
  <si>
    <t>Farinotti, D; Huss, M; Fürst, JJ; Landmann, J; Machguth, H; Maussion, F; Pandit, A</t>
  </si>
  <si>
    <t>Farinotti, Daniel; Huss, Matthias; Fuerst, Johannes J.; Landmann, Johannes; Machguth, Horst; Maussion, Fabien; Pandit, Ankur</t>
  </si>
  <si>
    <t>A consensus estimate for the ice thickness distribution of all glaciers on Earth</t>
  </si>
  <si>
    <t>NATURE GEOSCIENCE</t>
  </si>
  <si>
    <t>SEA-LEVEL; MASS-BALANCE; TOPOGRAPHY; VOLUME; SURFACE; RATES; PROJECTIONS</t>
  </si>
  <si>
    <t>Knowledge of the ice thickness distribution of the world's glaciers is a fundamental prerequisite for a range of studies. Projections of future glacier change, estimates of the available freshwater resources or assessments of potential sea-level rise all need glacier ice thickness to be accurately constrained. Previous estimates of global glacier volumes are mostly based on scaling relations between glacier area and volume, and only one study provides global-scale information on the ice thickness distribution of individual glaciers. Here we use an ensemble of up to five models to provide a consensus estimate for the ice thickness distribution of all the about 215,000 glaciers outside the Greenland and Antarctic ice sheets. The models use principles of ice flow dynamics to invert for ice thickness from surface characteristics. We find a total volume of 158 +/- 41 x 10(3) km(3), which is equivalent to 0.32 +/- 0.08 m of sea-level change when the fraction of ice located below present-day sea level (roughly 15%) is subtracted. Our results indicate that High Mountain Asia hosts about 27% less glacier ice than previously suggested, and imply that the timing by which the region is expected to lose half of its present-day glacier area has to be moved forward by about one decade.</t>
  </si>
  <si>
    <t>[Farinotti, Daniel; Huss, Matthias; Landmann, Johannes] Swiss Fed Inst Technol, Lab Hydraul Hydrol &amp; Glaciol VAW, Zurich, Switzerland; [Farinotti, Daniel; Landmann, Johannes] Swiss Fed Inst Forest Snow &amp; Landscape Res WSL, Birmensdorf, Switzerland; [Huss, Matthias; Machguth, Horst] Univ Fribourg, Dept Geosci, Fribourg, Switzerland; [Fuerst, Johannes J.] Friedrich Alexander Univ Erlangen Nuremberg FAU, Inst Geog, Erlangen, Germany; [Machguth, Horst] Univ Zurich, Dept Geog, Zurich, Switzerland; [Maussion, Fabien] Univ Innsbruck, Inst Atmospher &amp; Cryospher Sci, Innsbruck, Austria; [Pandit, Ankur] Indian Inst Technol, Interdisciplinary Programme Climate Studies, Mumbai, Maharashtra, India; [Pandit, Ankur] Indian Inst Technol, Dept Civil Engn, Hydroremote Sensing Applicat H RSA Grp, Mumbai, Maharashtra, India</t>
  </si>
  <si>
    <t>Swiss Federal Institutes of Technology Domain; ETH Zurich; Swiss Federal Institutes of Technology Domain; Swiss Federal Institute for Forest, Snow &amp; Landscape Research; University of Fribourg; University of Erlangen Nuremberg; University of Zurich; University of Innsbruck; Indian Institute of Technology System (IIT System); Indian Institute of Technology (IIT) - Bombay; Indian Institute of Technology System (IIT System); Indian Institute of Technology (IIT) - Bombay</t>
  </si>
  <si>
    <t>Farinotti, D (corresponding author), Swiss Fed Inst Technol, Lab Hydraul Hydrol &amp; Glaciol VAW, Zurich, Switzerland.;Farinotti, D (corresponding author), Swiss Fed Inst Forest Snow &amp; Landscape Res WSL, Birmensdorf, Switzerland.</t>
  </si>
  <si>
    <t>daniel.farinotti@ethz.ch</t>
  </si>
  <si>
    <t>Huss, Matthias/O-1399-2019; Maussion, Fabien/B-9814-2013; Huss, Matthias/JLL-6340-2023</t>
  </si>
  <si>
    <t>Huss, Matthias/0000-0002-2377-6923; Maussion, Fabien/0000-0002-3211-506X; Machguth, Horst/0000-0001-5924-0998; Landmann, Johannes Marian/0000-0003-0514-3521; Pandit, Ankur/0000-0002-5299-7047; Farinotti, Daniel/0000-0003-3417-4570</t>
  </si>
  <si>
    <t>German Research Foundation (DFG) [FU1032/1-1]</t>
  </si>
  <si>
    <t>German Research Foundation (DFG)(German Research Foundation (DFG))</t>
  </si>
  <si>
    <t>The contribution from J.J.F. was supported by the German Research Foundation (DFG grant no. FU1032/1-1), with numerical simulations facilitated by the high-performance computing centre at the University of Erlangen-Nuremberg (Regionales Rechenzentrum Erlangen (RRZE)). The support form R. Ramsankaran's research team at the Indian Institute of Technology Bombay is acknowledged. We thank the International Association of Cryospheric Sciences (IACS), co-chairs L.M. Andreassen and H. Li, and the members of the IACS Working Group on Glacier Ice Thickness Estimation for the support during the work. The analyses were performed in the frame of the Working Group's Global Glacier Thickness Initiative (G2TI).</t>
  </si>
  <si>
    <t>1752-0894</t>
  </si>
  <si>
    <t>1752-0908</t>
  </si>
  <si>
    <t>NAT GEOSCI</t>
  </si>
  <si>
    <t>Nat. Geosci.</t>
  </si>
  <si>
    <t>10.1038/s41561-019-0300-3</t>
  </si>
  <si>
    <t>HN3RX</t>
  </si>
  <si>
    <t>WOS:000460103000009</t>
  </si>
  <si>
    <t>Park, SH; Langmuir, CH; Sims, KWW; Blichert-Toft, J; Kim, SS; Scott, SR; Lin, J; Choi, H; Yang, YS; Michael, PJ</t>
  </si>
  <si>
    <t>Park, Sung-Hyun; Langmuir, Charles H.; Sims, Kenneth W. W.; Blichert-Toft, Janne; Kim, Seung-Sep; Scott, Sean R.; Lin, Jian; Choi, Hakkyum; Yang, Yun-Seok; Michael, Peter J.</t>
  </si>
  <si>
    <t>An isotopically distinct Zealandia-Antarctic mantle domain in the Southern Ocean</t>
  </si>
  <si>
    <t>GALAPAGOS-SPREADING-CENTER; MID-ATLANTIC RIDGE; INTRAPLATE VOLCANISM; EASTERN AUSTRALIA; GEOCHEMICAL EVOLUTION; RIFT SYSTEM; ISOTOPE; ND; PB; SR</t>
  </si>
  <si>
    <t>The mantle sources of mid-ocean ridge basalts beneath the Indian and Pacific oceans have distinct isotopic compositions with a long-accepted boundary at the Australian-Antarctic Discordance along the Southeast Indian Ridge. This boundary has been widely used to place constraints on large-scale patterns of mantle flow and composition in the Earth's upper mantle. Sampling between the Indian and Pacific ridges, however, has been lacking, especially along the remote 2,000 km expanse of the Australian-Antarctic Ridge. Here we present Sr, Nd, Hf and Pb isotope data from this region that show the Australian-Antarctic Ridge has isotopic compositions distinct from both the Pacific and Indian mantle domains. These data define a separate Zealandia-Antarctic domain that appears to have formed in response to the deep mantle upwelling and ensuing volcanism that led to the break-up of Gondwana 90 million years ago, and currently persists at the margins of the Antarctic continent. The relatively shallow depths of the Australian-Antarctic Ridge may be the result of this deep mantle upwelling. Large offset transforms to the east may be the boundary with the Pacific domain.</t>
  </si>
  <si>
    <t>[Park, Sung-Hyun; Choi, Hakkyum; Yang, Yun-Seok] Korea Polar Res Inst, Incheon, South Korea; [Langmuir, Charles H.] Harvard Univ, Dept Earth &amp; Planetary Sci, 20 Oxford St, Cambridge, MA 02138 USA; [Sims, Kenneth W. W.; Scott, Sean R.] Univ Wyoming, Dept Geol &amp; Geophys, Laramie, WY 82071 USA; [Blichert-Toft, Janne] Ecole Normale Supr Lyon, Lab Geol Lyon, Lyon, France; [Blichert-Toft, Janne] Univ Claude Bernard Lyon 1, CNRS UMR 5276, Lyon, France; [Kim, Seung-Sep] Chungnam Natl Univ, Dept Geol &amp; Earth Environm Sci, Daejeon, South Korea; [Lin, Jian] Woods Hole Oceanog Inst, Dept Geol &amp; Geophys, Woods Hole, MA 02543 USA; [Lin, Jian] Chinese Acad Sci, South China Sea Inst Oceanol, Key Lab Ocean &amp; Marginal Sea Geol, Guangzhou, Guangdong, Peoples R China; [Michael, Peter J.] Univ Tulsa, Dept Geosci, Tulsa, OK 74104 USA</t>
  </si>
  <si>
    <t>Korea Polar Research Institute (KOPRI); Harvard University; University of Wyoming; Universite Claude Bernard Lyon 1; Ecole Normale Superieure de Lyon (ENS de LYON); Centre National de la Recherche Scientifique (CNRS); CNRS - National Institute for Earth Sciences &amp; Astronomy (INSU); Universite Claude Bernard Lyon 1; Chungnam National University; Woods Hole Oceanographic Institution; Chinese Academy of Sciences; South China Sea Institute of Oceanology, CAS; University of Tulsa</t>
  </si>
  <si>
    <t>Park, SH (corresponding author), Korea Polar Res Inst, Incheon, South Korea.</t>
  </si>
  <si>
    <t>shpark314@kopri.re.kr</t>
  </si>
  <si>
    <t>Kim, Seung-Sep/AAI-8606-2020; Blichert-Toft, Janne/C-8280-2012; Sims, Kenneth/HOC-7512-2023; langmuir, charles/ISV-3278-2023</t>
  </si>
  <si>
    <t>Park, Sung-Hyun/0000-0002-6303-4879; Michael, Peter/0000-0003-2829-9502; Choi, Hakkyum/0000-0001-9440-3369; Scott, Sean/0000-0003-3697-4635; Lin, Jian/0000-0002-6831-2014; Sims, Kenneth/0000-0001-6179-6610</t>
  </si>
  <si>
    <t>KOPRI grant [PP13040, PE18050]; National Science Foundation [OCE1259916]; French Agence Nationale de la Recherche [ANR-10-BLAN-0603]; Basic Science Research Program through the National Research Foundation of Korea (NRF) - Ministry of Education [NRF-2017R1D1A1A02018632]; CAS [Y4SL021001]; NSFC [91628301]</t>
  </si>
  <si>
    <t>KOPRI grant(Korea Polar Research Institute of Marine Research Placement (KOPRI)); National Science Foundation(National Science Foundation (NSF)); French Agence Nationale de la Recherche(Agence Nationale de la Recherche (ANR)); Basic Science Research Program through the National Research Foundation of Korea (NRF) - Ministry of Education(National Research Foundation of KoreaMinistry of Education (MOE), Republic of KoreaNational Research Council for Economics, Humanities &amp; Social Sciences, Republic of Korea); CAS(Chinese Academy of Sciences); NSFC(National Natural Science Foundation of China (NSFC))</t>
  </si>
  <si>
    <t>This study was supported by KOPRI grant nos PP13040 and PE18050 to S.-H.P. Support at Harvard, Wyoming, Woods Hole and Tulsa was provided by the National Science Foundation (OCE1259916). J.B.-T. was supported by the French Agence Nationale de la Recherche through grant no. ANR-10-BLAN-0603 (M&amp;Ms-Mantle Melting-Measurements, Models, Mechanisms). S.-S.K. was supported by Basic Science Research Program through the National Research Foundation of Korea (NRF) funded by the Ministry of Education (NRF-2017R1D1A1A02018632). J.L. was also supported by the CAS through grant no. Y4SL021001 and NSFC through grant no. 91628301. We thank the captain and crew of the icebreaker RV Aaron for support under difficult sea conditions. We appreciate the constructive reviews by J. Morgan and P. Kempton.</t>
  </si>
  <si>
    <t>75 VARICK ST, 9TH FLR, NEW YORK, NY 10013-1917 USA</t>
  </si>
  <si>
    <t>10.1038/s41561-018-0292-4</t>
  </si>
  <si>
    <t>WOS:000460103000015</t>
  </si>
  <si>
    <t>Brooks, ST; Jabour, J; van den Hoff, J; Bergstrom, DM</t>
  </si>
  <si>
    <t>Brooks, Shaun T.; Jabour, Julia; van den Hoff, John; Bergstrom, Dana M.</t>
  </si>
  <si>
    <t>Our footprint on Antarctica competes with nature for rare ice-free land</t>
  </si>
  <si>
    <t>NATURE SUSTAINABILITY</t>
  </si>
  <si>
    <t>SOIL; CHALLENGES; CONSERVATION</t>
  </si>
  <si>
    <t>Construction and operation of research stations present the most pronounced human impacts on the Antarctic continent across a wide range of environmental values. Despite Antarctic Treaty Parties committing themselves to comprehensive protection of the environment, data on the spatial extent of impacts from their activities have been limited. To quantify this, we examined the area of building and ground disturbance across the entire continent using geographic information system mapping of satellite imagery. Here, we report the footprint of all buildings to be &gt; 390,000 m(2), with an additional disturbance footprint of &gt; 5,200,000 m(2) just on ice-free land. These create a visual footprint similar in size to the total ice-free area of Antarctica, and impact over half of all large coastal ice-free areas. Our data demonstrate that human impacts are disproportionately concentrated in some of the most sensitive environments, with consequential implications for conservation management. This highresolution measurement of the extent of infrastructure across the continent can be used to inform management decisions to balance sustainable scientific use and environmental protection of the Antarctic environment.</t>
  </si>
  <si>
    <t>[Brooks, Shaun T.; Jabour, Julia] Univ Tasmania, Inst Marine &amp; Antarctic Studies, Hobart, Tas, Australia; [van den Hoff, John; Bergstrom, Dana M.] Australian Antarctic Div, Kingston, Tas, Australia; [Bergstrom, Dana M.] Univ Wollongong, Global Challenges Program, Wollongong, NSW, Australia</t>
  </si>
  <si>
    <t>University of Tasmania; Australian Antarctic Division; University of Wollongong</t>
  </si>
  <si>
    <t>Brooks, ST (corresponding author), Univ Tasmania, Inst Marine &amp; Antarctic Studies, Hobart, Tas, Australia.</t>
  </si>
  <si>
    <t>stbrooks@utas.edu.au</t>
  </si>
  <si>
    <t>Jabour, Julia A/J-7882-2014; Bergstrom, Dana/AAC-2837-2022</t>
  </si>
  <si>
    <t>Bergstrom, Dana/0000-0001-8484-8954; Brooks, Shaun/0000-0002-0516-7841</t>
  </si>
  <si>
    <t>Australian Government Research Training Program Scholarship</t>
  </si>
  <si>
    <t>Australian Government Research Training Program Scholarship(Australian GovernmentDepartment of Industry, Innovation and Science)</t>
  </si>
  <si>
    <t>We thank B. Raymond for assistance with the statistical analysis. S.T.B. is supported by an Australian Government Research Training Program Scholarship. We also thank A. Terauds, E. McIvor, S. Chown and D. McLaren for comments on an earlier version of this manuscript.</t>
  </si>
  <si>
    <t>2398-9629</t>
  </si>
  <si>
    <t>NAT SUSTAIN</t>
  </si>
  <si>
    <t>Nat. Sustain.</t>
  </si>
  <si>
    <t>10.1038/s41893-019-0237-y</t>
  </si>
  <si>
    <t>Green &amp; Sustainable Science &amp; Technology; Environmental Sciences; Environmental Studies</t>
  </si>
  <si>
    <t>Science &amp; Technology - Other Topics; Environmental Sciences &amp; Ecology</t>
  </si>
  <si>
    <t>HQ4AA</t>
  </si>
  <si>
    <t>WOS:000462350500011</t>
  </si>
  <si>
    <t>French, RP; Lyle, JM; Lennox, RJ; Cooke, SJ; Semmens, JM</t>
  </si>
  <si>
    <t>French, Robert P.; Lyle, Jeremy M.; Lennox, Robert J.; Cooke, Steven J.; Semmens, Jayson M.</t>
  </si>
  <si>
    <t>Motivation and harvesting behaviour of fishers in a specialized fishery targeting a top predator species at risk</t>
  </si>
  <si>
    <t>PEOPLE AND NATURE</t>
  </si>
  <si>
    <t>recreational fishing; human dimensions; harvest; catch-and-release; survey; species at risk</t>
  </si>
  <si>
    <t>CONFIRMATORY FACTOR-ANALYSIS; CATCH-AND-RELEASE; RECREATIONAL FISHERIES; R PACKAGE; PERCEPTIONS; CONSERVATION; ATTITUDES; SHARK; PREFERENCES; MANAGEMENT</t>
  </si>
  <si>
    <t>1. Effective management of wildlife resources depends on understanding and cooperating with the human users of the resource, particularly as policies may be rejected if user satisfactions are not met. In Australia, recreational anglers can legally target a migratory top predator, the shortfin mako shark Isurus oxyrinchus, which is also a species at risk. It is assumed that most of the sharks are released and population remains minimally impacted; yet, the actual release rate of this species is unknown and little information is available about anglers that participate in this fishery. 2. Fishing motivations and behaviours were ascertained by a web survey of recreational shark anglers from three south-eastern Australian states. Respondents reported that similar to 70% of the captured makos were released, with significant geographic variation in release rates between states. 3. Most anglers reported being motivated by the catch-based objectives, the thrills and challenges, rather than harvest-based motivations. However, there were significant differences in harvesting motivation among states. This could be attributed to the varying value assigned to shortfin mako as a sport fish and table fish among regions. Additionally, higher rates of release among anglers from New South Wales may be linked to increased opportunity for resource substitution (i.e. greater diversity of game fish species) and established norms driven by current catch-and-release fisheries in that region. 4. Increased participation in catch-and-release fishing may be achieved by establishing behavioural norms by the provision of more desirable incentives to release sharks during fishing competitions. Data on regional variation in release rates yield important information for managers to target specialized fishers to incentivize catch-and-release fishing with an objective of changing behaviour. 5. Many anglers understand that sharks are important to marine ecosystems and messaging may be important to deliver effective management given that most anglers are motivated by catch-based objectives even though many enjoy harvesting makos. Information on natural resource user motivations and satisfactions, such as studied here, has the potential to guide management actions and the ways in which managers interact with resource users.</t>
  </si>
  <si>
    <t>[French, Robert P.; Lyle, Jeremy M.; Semmens, Jayson M.] Univ Tasmania, Inst Marine &amp; Antarctic Studies, Hobart, Tas, Australia; [Lennox, Robert J.; Cooke, Steven J.] Carleton Univ, Dept Biol, Fish Ecol &amp; Conservat Physiol Lab, Ottawa, ON, Canada</t>
  </si>
  <si>
    <t>University of Tasmania; Carleton University</t>
  </si>
  <si>
    <t>Lyle, JM (corresponding author), Univ Tasmania, Inst Marine &amp; Antarctic Studies, Hobart, Tas, Australia.</t>
  </si>
  <si>
    <t>Jeremy.lyle@utas.edu.au</t>
  </si>
  <si>
    <t>Cooke, Steven J/F-4193-2010; Lyle, Jeremy/J-7170-2014</t>
  </si>
  <si>
    <t>Cooke, Steven J/0000-0002-5407-0659; Semmens, Jayson/0000-0003-1742-6692; Lyle, Jeremy/0000-0001-9670-5854; Lennox, Robert/0000-0003-1010-0577</t>
  </si>
  <si>
    <t>Holsworth Wildlife Research Endowment</t>
  </si>
  <si>
    <t>2575-8314</t>
  </si>
  <si>
    <t>PEOPLE NAT</t>
  </si>
  <si>
    <t>People Nat.</t>
  </si>
  <si>
    <t>10.1002/pan3.9</t>
  </si>
  <si>
    <t>VK0XN</t>
  </si>
  <si>
    <t>gold, Green Published, Green Accepted</t>
  </si>
  <si>
    <t>WOS:000657177700005</t>
  </si>
  <si>
    <t>Sáez, PL; Rivera, BK; Ramírez, CF; Vallejos, V; Cavieres, LA; Corcuera, LJ; Bravo, LA</t>
  </si>
  <si>
    <t>Saez, Patricia L.; Rivera, Betsy K.; Ramirez, Constanza F.; Vallejos, Valentina; Cavieres, Lohengrin A.; Corcuera, Luis J.; Bravo, Leon A.</t>
  </si>
  <si>
    <t>Effects of temperature and water availability on light energy utilization in photosynthetic processes of Deschampsia antarctica</t>
  </si>
  <si>
    <t>PHYSIOLOGIA PLANTARUM</t>
  </si>
  <si>
    <t>VASCULAR PLANTS; COLOBANTHUS-QUITENSIS; CLIMATE-CHANGE; CHLOROPHYLL FLUORESCENCE; RESPONSES; PHOTOPROTECTION; STRESS; PHOTOINHIBITION; ACCLIMATION; FIELD</t>
  </si>
  <si>
    <t>Regional climate change in Antarctica would favor the carbon assimilation of Antarctic vascular plants, since rising temperatures are approaching their photosynthetic optimum (10-19 degrees C). This could be detrimental for photoprotection mechanisms, mainly those associated with thermal dissipation, making plants more susceptible to eventual drought predicted by climate change models. With the purpose to study the effect of temperature and water availability on light energy utilization and putative adjustments in photoprotective mechanisms of Deschampsia antarctica Desv., plants were collected from two Antarctic provenances: King George Island and Lagotellerie Island. Plants were cultivated at 5, 10 and 16 degrees C under well-watered (WW) and water-deficit (WD, at 35% of the field capacity) conditions. Chlorophyll fluorescence, pigment content and de-epoxidation state were evaluated. Regardless of provenances, D. antarctica showed similar morphological, biochemical and functional responses to growth temperature. Higher temperature triggered an increase in photochemical activity (i.e. electron transport rate and photochemical quenching), and a decrease in thermal dissipation capacity (i.e. lower xanthophyll pool, Chl a/b and beta carotene/neoxanthin ratios). Leaf mass per unit area was reduced at higher temperature, and was only affected in plants exposed to WD at 16 degrees C and exhibiting lower electron transport rate and amount of chlorophylls. D. antarctica is adapted to frequent freezing events, which may induce a form of physiological water stress. Photoprotective responses observed under WD contribute to maintain a stable photochemical activity. Thus, it is possible that short-term temperature increases could favor the photochemical activity of this species. However, long-term effects will depend on the magnitude of changes and the plant's ability to adjust to new growth temperature.</t>
  </si>
  <si>
    <t>[Saez, Patricia L.; Rivera, Betsy K.; Ramirez, Constanza F.; Vallejos, Valentina] Univ Concepcion, Fac Ciencias Forestales, Dept Silvicultura, Lab Cult Tejidos Vegetales,Ctr Biotecnol, Concepcion, Chile; [Cavieres, Lohengrin A.] Univ Concepcion, Fac Ciencias Nat &amp; Oceanog, Dept Bot, Lab ECOBIOSIS, Concepcion, Chile; [Corcuera, Luis J.] Univ Concepcion, Fac Ciencias Nat &amp; Oceanog, Dept Bot, Lab Fisiol Vegetal, Barrio Univ S-N, Concepcion, Chile; [Bravo, Leon A.] Univ La Frontera, Ctr Plant Soil Interact &amp; Nat Resources Biotechno, Dept Ciencias Agron &amp; Recursos Nat,Sci &amp; Technol, Lab Fisiol &amp; Biol Mol Vegetal,Inst Agroind,Fac Ci, Temuco, Chile</t>
  </si>
  <si>
    <t>Universidad de Concepcion; Universidad de Concepcion; Universidad de Concepcion; Universidad de La Frontera</t>
  </si>
  <si>
    <t>Bravo, LA (corresponding author), Univ La Frontera, Ctr Plant Soil Interact &amp; Nat Resources Biotechno, Dept Ciencias Agron &amp; Recursos Nat,Sci &amp; Technol, Lab Fisiol &amp; Biol Mol Vegetal,Inst Agroind,Fac Ci, Temuco, Chile.</t>
  </si>
  <si>
    <t>leon.bravo@ufrontera.cl</t>
  </si>
  <si>
    <t>Corcuera, Luis J/G-1714-2014; Bravo, León/AAO-8437-2020; Cavieres, Lohengrin A./A-9542-2010</t>
  </si>
  <si>
    <t>Bravo, León/0000-0003-4705-4842; Cavieres, Lohengrin A./0000-0001-9122-3020; Saez, Patricia L./0000-0002-8594-7329</t>
  </si>
  <si>
    <t>National Fund for Scientific and Technological Development (FONDECYT) [11130332]; Associative Research Program of CONICYT [CONICYT-PIA ART-1102]; Chilean Antarctic Institute [INACH AN-02-12, FI-02-13]</t>
  </si>
  <si>
    <t>National Fund for Scientific and Technological Development (FONDECYT)(Comision Nacional de Investigacion Cientifica y Tecnologica (CONICYT)CONICYT FONDECYT); Associative Research Program of CONICYT; Chilean Antarctic Institute</t>
  </si>
  <si>
    <t>This research was funded by The National Fund for Scientific and Technological Development (FONDECYT 11130332), The Associative Research Program of CONICYT (CONICYT-PIA ART-1102) and The Chilean Antarctic Institute (INACH AN-02-12 and FI-02-13). The authors also thank Dr Charles L. Guy for English editing and to H. Arctowski Polish Antarctic Station for logistic support. Permits for entrance and plant collection in the Antarctic Specially Protected Area (ASPA) 128 and 115 were provided by Chilean Antarctic Institute (INACH).</t>
  </si>
  <si>
    <t>0031-9317</t>
  </si>
  <si>
    <t>1399-3054</t>
  </si>
  <si>
    <t>PHYSIOL PLANTARUM</t>
  </si>
  <si>
    <t>Physiol. Plant.</t>
  </si>
  <si>
    <t>10.1111/ppl.12739</t>
  </si>
  <si>
    <t>HM2QG</t>
  </si>
  <si>
    <t>WOS:000459312400008</t>
  </si>
  <si>
    <t>Rombolá, EF; Franzosi, CA; Tosonotto, GV; Alder, VA; Marschoff, ER</t>
  </si>
  <si>
    <t>Rombola, Emilce F.; Franzosi, Claudio A.; Tosonotto, Gabriela, V; Alder, Viviana A.; Marschoff, Enrique R.</t>
  </si>
  <si>
    <t>Variability of euphausiid larvae densities during the 2011, 2012, and 2014 summer seasons in the Atlantic sector of the Antarctic</t>
  </si>
  <si>
    <t>Antarctic Peninsula; Geographical distribution; Krill larvae; South Orkneys MPA; Weddell-Scotia confluence</t>
  </si>
  <si>
    <t>KRILL; SUPERBA; SEA; HABITAT; FRONTS; EXTENT</t>
  </si>
  <si>
    <t>Euphausiid larvae were collected in the Weddell Scotia Confluence region in summer 2011, in the West Antarctic Peninsula and Scotia Sea in 2012, and in the South Orkneys Shelf in 2014. From 2011 to 2014 the larval stages geographic distribution and the distribution of water masses were consistent with published information. The densities observed were compared between the cruises and with the 1981 and 1995 values by means of a kernel estimate of absolute and relative densities at a fixed grid of points. The values of Thysanoessa macrura were higher in 2011 and 2012 and those of Euphausia superba were lower than those observed in 1981 and 1995. Euphausia frigida did not show significant variations in absolute density but their relative values were higher than those of E. superba. No significant variations were observed in absolute values between 1981 and 1995. The opposite pattern was found in 2014, with significantly higher densities of E. superba than those of T. macrura. No single factor could be identified to explain these variations in density, suggesting the existence of complex mechanisms coupling the reproductive biology with oceanographic phenomena. Their description will require ample spatial and temporal monitoring rather than locally detailed observations.</t>
  </si>
  <si>
    <t>[Rombola, Emilce F.; Franzosi, Claudio A.; Tosonotto, Gabriela, V; Alder, Viviana A.; Marschoff, Enrique R.] Inst Antartico Argentino, Direcc Nacl Antcirtico, 25 Mayo 1143, RA-1650 Buenos Aires, DF, Argentina; [Rombola, Emilce F.; Alder, Viviana A.] Consejo Nacl Invest Cient &amp; Tecn, Godoy Cruz 2290,C1425FQB, Buenos Aires, DF, Argentina; [Alder, Viviana A.] Univ Buenos Aires, Fac Ciencias Exactas &amp; Nat, Dept Ecol Genet &amp; Evolut, Ciudad Univ,Intendente Guiraldes 2160,C1428EGA, Buenos Aires, DF, Argentina</t>
  </si>
  <si>
    <t>Instituto Antartico Argentino; Consejo Nacional de Investigaciones Cientificas y Tecnicas (CONICET); University of Buenos Aires</t>
  </si>
  <si>
    <t>Rombolá, EF (corresponding author), Inst Antartico Argentino, Direcc Nacl Antcirtico, 25 Mayo 1143, RA-1650 Buenos Aires, DF, Argentina.</t>
  </si>
  <si>
    <t>rombola_emilce@hotmail.com</t>
  </si>
  <si>
    <t>Rombola, Emilce Florencia/0000-0003-1863-1911; Alder, Viviana A./0000-0002-7375-3279</t>
  </si>
  <si>
    <t>Agencia Nacional de Promocion Cientifica y Tecnologica [PICTO 118-2010]</t>
  </si>
  <si>
    <t>Agencia Nacional de Promocion Cientifica y Tecnologica(ANPCyTSpanish Government)</t>
  </si>
  <si>
    <t>We wish to thank members of ARA Puerto Deseado and the scientists from Instituto Antartico Argentino for their logistic help during the campaign. This work was supported partially by PICTO 118-2010 (Agencia Nacional de Promocion Cientifica y Tecnologica). And Instituto Antartico Argentino Program (Direccion Nacional del Antartico) that provided the logistic support. We thanked Mr. Campbell Macmillan that revised English language.</t>
  </si>
  <si>
    <t>10.1016/j.polar.2018.11.004</t>
  </si>
  <si>
    <t>WOS:000460543300009</t>
  </si>
  <si>
    <t>Radeloff, VC; Dubinin, M; Coops, NC; Allen, AM; Brooks, TM; Clayton, MK; Costa, GC; Graham, CH; Helmers, DP; Ives, AR; Kolesov, D; Pidgeon, AM; Rapacciuolo, G; Razenkova, E; Suttidate, N; Young, BE; Zhu, L; Hobi, ML</t>
  </si>
  <si>
    <t>Radeloff, V. C.; Dubinin, M.; Coops, N. C.; Allen, A. M.; Brooks, T. M.; Clayton, M. K.; Costa, G. C.; Graham, C. H.; Helmers, D. P.; Ives, A. R.; Kolesov, D.; Pidgeon, A. M.; Rapacciuolo, G.; Razenkova, E.; Suttidate, N.; Young, B. E.; Zhu, L.; Hobi, M. L.</t>
  </si>
  <si>
    <t>The Dynamic Habitat Indices (DHIs) from MODIS and global biodiversity</t>
  </si>
  <si>
    <t>REMOTE SENSING OF ENVIRONMENT</t>
  </si>
  <si>
    <t>Biodiversity; Conservation; Global; MODIS; Phenology; Productivity; Remote sensing</t>
  </si>
  <si>
    <t>SPECIES-ENERGY RELATIONSHIPS; RANGE MAPS; RICHNESS; DIVERSITY; CLIMATE; SCALE; LAND; CONSERVATION; PATTERNS; BIRD</t>
  </si>
  <si>
    <t>Remotely sensed data can help to identify both suitable habitat for individual species, and environmental conditions that foster species richness, which is important when predicting how biodiversity will respond to global change. The question is how to summarize remotely sensed data so that they are most relevant for biodiversity analyses, and the Dynamic Habitat Indices are three metrics designed for this. Our goals here were to a) derive, for the first time, the Dynamic Habitat Indices (DHIs) globally, and b) use these to evaluate three hypotheses (available energy, environmental stress, and environmental stability) that attempt to explain global variation in species richness of amphibians, birds, and mammals. The three DHIs summarize three key measures of vegetative productivity: a) annual cumulative productivity, which we used to evaluate the available energy hypothesis that more energy is associate with higher species richness; b) minimum productivity throughout the year, which we used to evaluate the environmental stress hypothesis that higher minima cause higher species richness, and c) seasonality, expressed as the annual coefficient of variation in productivity, which we used to evaluate the environmental stability hypothesis that less intra-annual variability causes higher species richness. We calculated the DHIs globally at 1-km resolution from MODIS vegetation products (NDVI, EVI, LAI, fPAR, and GPP), based on the median of the good observations of all years from the entire MODIS record for each of the 23 or 46 possible dates (8- vs. 16-day composites) during the year, and calculated species richness for three taxa (amphibians, birds, and mammals) at 110-km resolution from species range maps from the IUCN Red List. We found marked global patterns of the DHIs, and strong support for all three hypotheses. The three DHIs for a given vegetation product were well correlated (Spearman rank correlations ranging from -0.6 (cumulative vs. variation DHIs) to -0.93 (variation vs. minimum DHI)). Similarly, DHI components derived from different MODIS vegetation products were well correlated (0.8-0.9), and correlations of the DHIs with temperature and precipitation were moderate and strong respectively. All three DHIs were well correlated with species richness, showing in ranked order positive correlations for cumulative DHI based on GPP (Spearman rank correlations of 0.75, 0.63, and 0.67 for amphibians, resident birds, and mammals respectively) and minimum DHI (0.73, 0.83, and 0.62), and negative for variation DHI (-0.69, -0.83, and -0.59). Multiple linear models of all three DHIs explained 67%, 65%, and 61% of the variability in species richness of amphibians, resident birds, and mammals, respectively. The DHIs, which are closely related to well-established ecological hypotheses of biodiversity, can predict species richness well, and are promising for application in biodiversity science and conservation.</t>
  </si>
  <si>
    <t>[Radeloff, V. C.; Dubinin, M.; Helmers, D. P.; Pidgeon, A. M.; Razenkova, E.; Suttidate, N.; Zhu, L.; Hobi, M. L.] Univ Wisconsin, Dept Forest &amp; Wildlife Ecol, SILVIS Lab, 1630 Linden Dr, Madison, WI 53706 USA; [Dubinin, M.; Kolesov, D.] NextGIS, Moscow, Russia; [Coops, N. C.] Univ British Columbia, Dept Forest Resources Management, Integrated Remote Sensing Studio, Vancouver, BC V6T 1Z4, Canada; [Allen, A. M.] Radboud Univ Nijmegen, Inst Water &amp; Wetland Res, Dept Anim Ecol &amp; Physiol, NL-6500 GL Nijmegen, Netherlands; [Brooks, T. M.] Int Union Conservat Nat, Gland, Switzerland; [Brooks, T. M.] Univ Philippines Los Banos, World Agroforestry Ctr ICRAF, Laguna 4031, Philippines; [Brooks, T. M.] Univ Tasmania, Inst Marine &amp; Antarctic Studies, Hobart, Tas 7001, Australia; [Clayton, M. K.] Univ Wisconsin, Dept Stat, Madison, WI 53706 USA; [Costa, G. C.] Auburn Univ, Dept Biol, Montgomery, AL 36124 USA; [Graham, C. H.; Hobi, M. L.] Swiss Fed Res Inst WSL, CH-8903 Birmensdorf, Switzerland; [Ives, A. R.] Univ Wisconsin, Dept Integrat Biol, Madison, WI 53706 USA; [Rapacciuolo, G.] Univ Calif Merced, Dept Life &amp; Environm Sci, Merced, CA 95343 USA; [Suttidate, N.] Walialok Univ, Dept Biol, 222 Thaiburi, Thasala, Nakhon Si Thamm, Thailand; [Young, B. E.] NatureServe, 4600 N Fairfax Dr, Arlington, VA 22203 USA</t>
  </si>
  <si>
    <t>University of Wisconsin System; University of Wisconsin Madison; University of British Columbia; Radboud University Nijmegen; University of the Philippines System; University of the Philippines Los Banos; CGIAR; World Agroforestry (ICRAF); University of Tasmania; University of Wisconsin System; University of Wisconsin Madison; Auburn University System; Auburn University; Auburn University Montgomery; Swiss Federal Institutes of Technology Domain; Swiss Federal Institute for Forest, Snow &amp; Landscape Research; University of Wisconsin System; University of Wisconsin Madison; University of California System; University of California Merced; Nature Conservancy</t>
  </si>
  <si>
    <t>Radeloff, VC (corresponding author), Univ Wisconsin, Dept Forest &amp; Wildlife Ecol, SILVIS Lab, 1630 Linden Dr, Madison, WI 53706 USA.</t>
  </si>
  <si>
    <t>radeloff@wisc.edu</t>
  </si>
  <si>
    <t>Coops, Nicholas/J-1543-2012; Dubinin, Maxim/AAK-7770-2021; Allen, Andrew M./A-5983-2017; Graham, Catherine H/A-9560-2011; Radeloff, Volker C/B-6124-2016; Hobi, Martina Lena/E-3115-2012</t>
  </si>
  <si>
    <t>Allen, Andrew M./0000-0002-0119-2425; Hobi, Martina Lena/0000-0003-3537-9738; Suttidate, Naparat/0000-0002-4459-9583; Dubinin, Maxim/0000-0002-6582-4145</t>
  </si>
  <si>
    <t>National Aeronautics and Space Administration [NNX14AP07G]; National Science Foundation program Dimensions of Biodiversity [DEB-1136592, DEB-1240804]</t>
  </si>
  <si>
    <t>National Aeronautics and Space Administration(National Aeronautics &amp; Space Administration (NASA)); National Science Foundation program Dimensions of Biodiversity</t>
  </si>
  <si>
    <t>We gratefully acknowledge support by the National Aeronautics and Space Administration programs Science of Terra and Aqua and Biodiversity and Ecological Forecasting (Grant NNX14AP07G), and the National Science Foundation program Dimensions of Biodiversity (Grants DEB-1136592 and DEB-1240804). Dr. S. Running and two anonymous reviewers made excellent comments that greatly improved the manuscript.</t>
  </si>
  <si>
    <t>0034-4257</t>
  </si>
  <si>
    <t>1879-0704</t>
  </si>
  <si>
    <t>REMOTE SENS ENVIRON</t>
  </si>
  <si>
    <t>Remote Sens. Environ.</t>
  </si>
  <si>
    <t>10.1016/j.rse.2018.12.009</t>
  </si>
  <si>
    <t>Environmental Sciences; Remote Sensing; Imaging Science &amp; Photographic Technology</t>
  </si>
  <si>
    <t>Environmental Sciences &amp; Ecology; Remote Sensing; Imaging Science &amp; Photographic Technology</t>
  </si>
  <si>
    <t>HJ9HH</t>
  </si>
  <si>
    <t>WOS:000457509000015</t>
  </si>
  <si>
    <t>Cerdà-Cuéllar, M; Moré, E; Ayats, T; Aguilera, M; Muñoz-González, S; Antilles, N; Ryan, PG; González-Solís, J</t>
  </si>
  <si>
    <t>Cerda-Cuellar, Marta; More, Elisabet; Ayats, Teresa; Aguilera, Monica; Munoz-Gonzalez, Sara; Antilles, Noelia; Ryan, Peter G.; Gonzalez-Solis, Jacob</t>
  </si>
  <si>
    <t>Do humans spread zoonotic enteric bacteria in Antarctic?</t>
  </si>
  <si>
    <t>Antarctica; Campylobacter; Salmonella; seabirds; Southern Ocean; reverse zoonosis</t>
  </si>
  <si>
    <t>SEQUENCE TYPING SYSTEM; CAMPYLOBACTER-LARI; SALMONELLA-ENTERICA; SUBSP JEJUNI; PENGUINS; WILDLIFE; ISLAND; SPP.; CONSERVATION; UPSALIENSIS</t>
  </si>
  <si>
    <t>Reports of enteric bacteria in Antarctic wildlife have suggested its spread from people to seabirds and seals, but evidence is scarce and fragmentary. We investigated the occurrence of zoonotic enteric bacteria in seabirds across the Antarctic and subantarctic region; for comparison purposes, in addition to seabirds, poultry in a subantarctic island was also sampled. Three findings suggest reverse zoonosis from humans to seabirds: the detection of a zoonotic Salmonella serovar (ser. Enteritidis) and Campylobacter species (e.g. C. jejuni), typical of human infections: the resistance of C. lari isolates to ciprofloxacin and enrofloxacin, antibiotics commonly used in human and veterinary medicine: and most importantly, the presence of C. jejuni genotypes mostly found in humans and domestic animals but rarely or never found in wild birds so far. We also show further spread of zoonotic agents among Antarctic wildlife is facilitated by substantial connectivity among populations of opportunistic seabirds, notably skuas (Stercorarius). Our results highlight the need for even stricter biosecurity measures to limit human impacts in Antarctica. (C) 2018 Elsevier B.V. All rights reserved.</t>
  </si>
  <si>
    <t>[Cerda-Cuellar, Marta; More, Elisabet; Ayats, Teresa; Aguilera, Monica; Munoz-Gonzalez, Sara; Antilles, Noelia] UAB, IRTA, Ctr Recerca Sanitat Anim CReSA, Campus Univ Autonoma Barcelona, Barcelona 08193, Spain; [Ryan, Peter G.] Univ Cape Town, DST NRF Ctr Excellence, FitzPatrick Inst African Ornithol, ZA-7701 Rondebosch, South Africa; [Gonzalez-Solis, Jacob] Univ Barcelona, Inst Recerca Biodiversitat IRBio, E-08028 Barcelona, Spain; [Gonzalez-Solis, Jacob] Univ Barcelona, Dept Biol Evolutiva Ecol &amp; Ciencies Ambientals, E-08028 Barcelona, Spain</t>
  </si>
  <si>
    <t>IRTA; Autonomous University of Barcelona; University of Cape Town; National Research Foundation - South Africa; University of Barcelona; University of Barcelona</t>
  </si>
  <si>
    <t>Cerdà-Cuéllar, M (corresponding author), UAB, IRTA, Ctr Recerca Sanitat Anim CReSA, Campus Univ Autonoma Barcelona, Barcelona 08193, Spain.</t>
  </si>
  <si>
    <t>marta.cerda@irta.cat</t>
  </si>
  <si>
    <t>AGUILERA, Monica/KEH-7254-2024; Gonzalez-Solis, Jacob/C-3942-2008; González-Solís, Jacob/AAB-1161-2019; Cerda-Cuellar, Marta/U-4534-2018</t>
  </si>
  <si>
    <t>AGUILERA, Monica/0000-0003-0763-7947; Gonzalez-Solis, Jacob/0000-0002-8691-9397; Munoz-Gonzalez, Sara/0000-0002-7846-7001; Antilles, Noelia/0000-0002-3762-3135; Cerda-Cuellar, Marta/0000-0001-6842-1299; More, Elisabet/0000-0002-8368-1256</t>
  </si>
  <si>
    <t>South African Department of Environment Affairs, through the South African National Antarctic Programme; Ministerio de Educacion y Ciencia [POL2006-06635]; Ministerio de Ciencia e Innovacion from the Spanish Government [CGL2006-01315/BOS, CGL2009-11278/BOS]</t>
  </si>
  <si>
    <t>South African Department of Environment Affairs, through the South African National Antarctic Programme; Ministerio de Educacion y Ciencia(Spanish Government); Ministerio de Ciencia e Innovacion from the Spanish Government(Spanish Government)</t>
  </si>
  <si>
    <t>Logistic support and financial funding during fieldwork was provided by the South African Department of Environment Affairs, through the South African National Antarctic Programme; Ministerio de Educacion y Ciencia (POL2006-06635) and Ministerio de Ciencia e Innovacion from the Spanish Government (CGL2006-01315/BOS, CGL2009-11278/BOS). We thank Rob Ronconi and Antje Steinfurth for their help during fieldwork at Gough and Marion Islands; Antonio Quesada and Jose Antonio Gil-Delgado for their support in logistics and sampling at Byers; the Falkland Islands Government, the South Atlantic Environmental Research Institute, Mike Brooke and many kind farmers for permits and logistic support at Falklands/Malvinas. We acknowledge the support of Virginia Aragon in the initial analyses of samples from Gough Is, and the comments on the manuscript. We thank Leia Navarro-Herrero and Manel Risa for editing the graphical abstract. CERCA Programme from the Generalitat de Catalunya is also acknowledged.</t>
  </si>
  <si>
    <t>10.1016/j.scitotenv.2018.10.272</t>
  </si>
  <si>
    <t>HL3QE</t>
  </si>
  <si>
    <t>WOS:000458630100020</t>
  </si>
  <si>
    <t>Neko Harbor, Andvord Bay, Antarctic Peninsula, on a Beautiful Sunny Day</t>
  </si>
  <si>
    <t>WOS:000460849400025</t>
  </si>
  <si>
    <t>Ningombam, SS; Larson, EJL; Dumka, UC; Estellés, V; Campanelli, M; Steve, C</t>
  </si>
  <si>
    <t>Ningombam, Shantikumar S.; Larson, E. J. L.; Dumka, U. C.; Estelles, Victor; Campanelli, M.; Steve, Colwell</t>
  </si>
  <si>
    <t>Long-term (1995-2018) aerosol optical depth derived using ground based AERONET and SKYNET measurements from aerosol aged-background sites</t>
  </si>
  <si>
    <t>ATMOSPHERIC POLLUTION RESEARCH</t>
  </si>
  <si>
    <t>Aerosol optical depth; AERONET; SKYNET; Aged-background; Anthropogenic</t>
  </si>
  <si>
    <t>HIGH-ALTITUDE STATION; CENTRAL HIMALAYAS; NETWORK; RETRIEVAL; SULFUR; ADVECTION; ALGORITHM; PRODUCTS; EVENTS; TRENDS</t>
  </si>
  <si>
    <t>We examined long-term aerosol optical depth (AOD) trends over 53 sites across the globe which comprise 49 sites from the Aerosol Robotic Network (AERONET) and 4 sites from the Sky radiometer Network (SKYNET) during 1995-2018. Most of these sites are located in remote and isolated aged-background regions, and few are in urban/semi-urban sites having averaged AOD similar to 0.1 at 500 nm. These selected sites have a global distribution including tropical, mid-latitudes, high-latitudes and Polar regions. Among them, there are 14 high-altitude stations ( similar to 1028-5050 m amsl), including Himalayan and Polar regions. The main objective of the present work is to evaluate the AOD trends over the aged-background sites across the globe. We found that significant number of sites located in North-South America, Europe, Arctic and Australia have statistically significant and negative trends varied from - 6.3x10(-3) to -1.0x10(-3) AOD year(-1). The negative trends over these sites could be attributed to reduction in anthropogenic emission. Furthermore, there are mixed trends of positive as well as negative over Asian and southern oceanic regions including Antarctica. Some of the trends are weak and statistically nonsignificant, probably due to non-availability of long-term ground based data. However, the AOD trends over these regions show increasing tendency with statistically significant trends of 8.0x10(-4) to 4.7x10(-3) AOD year(-1). The present study has also many important aspects on global and regional climate change at high-mountain and aged-background sites in particular, where the satellite based measurements are inaccurate and biased due to extremely low AOD.</t>
  </si>
  <si>
    <t>[Ningombam, Shantikumar S.] Indian Inst Astrophys, Bangalore 560034, Karnataka, India; [Larson, E. J. L.] Univ Colorado, CIRES, Boulder, CO 80309 USA; [Larson, E. J. L.] NOAA, Chem Sci Div, ESRL, Boulder, CO 80305 USA; [Dumka, U. C.] Aryabhatta Res Inst Observat Sci, Naini Tal 263001, India; [Estelles, Victor] Univ Valencia, Dept Fis Terra &amp; Termodinam, E-46100 Valencia, Spain; [Campanelli, M.] Italian Natl Res Council, Inst Atmospher Sci &amp; Climate, Via Fosso Cavaliere 100, I-00133 Rome, Italy; [Steve, Colwell] British Antarctic Survey, Madingley Rd, Cambridge, England</t>
  </si>
  <si>
    <t>Department of Science &amp; Technology (India); Indian Institute of Astrophysics (IIA); University of Colorado System; University of Colorado Boulder; National Oceanic Atmospheric Admin (NOAA) - USA; Department of Science &amp; Technology (India); Aryabhatta Research Institute of Observational Sciences (ARIES); University of Valencia; Consiglio Nazionale delle Ricerche (CNR); Istituto di Scienze dell'Atmosfera e del Clima (ISAC-CNR); UK Research &amp; Innovation (UKRI); Natural Environment Research Council (NERC); NERC British Antarctic Survey</t>
  </si>
  <si>
    <t>Ningombam, SS (corresponding author), Indian Inst Astrophys, Bangalore 560034, Karnataka, India.</t>
  </si>
  <si>
    <t>shanti@iiap.res.in</t>
  </si>
  <si>
    <t>Dumka, Umesh Chandra/D-3520-2015; Larson, Erik/ABG-7136-2020; Estelles, Victor/I-4673-2014; Dumka, Umesh Chandra/ABD-9865-2021; Larson, Erik/A-8668-2015</t>
  </si>
  <si>
    <t>Larson, Erik/0000-0002-8994-1258; CAMPANELLI, MONICA/0000-0001-6505-8164; Dumka, Dr Umesh Chandra/0000-0001-7113-6480</t>
  </si>
  <si>
    <t>European Regional Development Fund (FEDER, Europe) [CGL2015-64785R, CGL2017-86966-R]; NERC [bas0100032] Funding Source: UKRI</t>
  </si>
  <si>
    <t>European Regional Development Fund (FEDER, Europe); NERC(UK Research &amp; Innovation (UKRI)Natural Environment Research Council (NERC))</t>
  </si>
  <si>
    <t>The authors would like to thank the anonymous reviewers for their insightful comments and useful suggestions, which helped to improve the quality of the manuscript. The authors are also thankful to the PI, Co-PIs and their staff of the respective AERONET sites who maintain the data for scientific use. AERONET data used in the present work are taken from https://aeronet.gsfc.nasa.gov.Victor Estelles participation was made possible by the Spanish Ministry of Economy and Competitiveness (MINECO) and the European Regional Development Fund (FEDER, Europe) through Projects CGL2015-64785R and CGL2017-86966-R.</t>
  </si>
  <si>
    <t>TURKISH NATL COMMITTEE AIR POLLUTION RES &amp; CONTROL-TUNCAP</t>
  </si>
  <si>
    <t>BUCA</t>
  </si>
  <si>
    <t>DOKUZ EYLUL UNIV, DEPT ENVIRONMENTAL ENGINEERING, TINAZTEPE CAMPUS, BUCA, IZMIR 35160, TURKEY</t>
  </si>
  <si>
    <t>1309-1042</t>
  </si>
  <si>
    <t>ATMOS POLLUT RES</t>
  </si>
  <si>
    <t>Atmos. Pollut. Res.</t>
  </si>
  <si>
    <t>10.1016/j.apr.2018.10.008</t>
  </si>
  <si>
    <t>HL1TF</t>
  </si>
  <si>
    <t>WOS:000458484300029</t>
  </si>
  <si>
    <t>Contreras, RA; Pizarro, M; Köhler, H; Zamora, P; Zúñiga, GE</t>
  </si>
  <si>
    <t>Contreras, Rodrigo A.; Pizarro, Marisol; Kohler, Hans; Zamora, Pablo; Zuniga, Gustavo E.</t>
  </si>
  <si>
    <t>UV-B shock induces photoprotective flavonoids but not antioxidant activity in Antarctic Colobanthus quitensis (Kunth) Bartl</t>
  </si>
  <si>
    <t>ENVIRONMENTAL AND EXPERIMENTAL BOTANY</t>
  </si>
  <si>
    <t>UV radiation; Secondary metabolism; Antarctica; C. quitensis; Flavonoids; Oxidative stress</t>
  </si>
  <si>
    <t>GENE-EXPRESSION; ULTRAVIOLET-RADIATION; DESCHAMPSIA-ANTARCTICA; OXIDATIVE STRESS; IN-VITRO; PLANTS; BIOSYNTHESIS; GROWTH; PHOTOSYNTHESIS; PROTEIN</t>
  </si>
  <si>
    <t>Colobanthus quitensis, the only dicot that inhabits Antarctica, is subjected to different abiotic factors such as high UV-B levels in spring-summer. Several authors described the flavonoid biosynthesis as crucial to tolerating UV-B enriched environments. The goal of this work is the study of the relationship between biosynthesis of flavonoids, resistance to high UV-B levels and the maintenance of redox homeostasis. With this objective, C. quitensis plantlets were subjected to low, medium and high levels of UV-B radiation, in the presence and absence of aminooxiacetic acid (AOA), a phenylalanine ammonia-lyase (PAL) inhibitor with the aim to determine the role of flavonoids in the capacity of C. quitensis to survive to UV-B. The results showed that plants subjected to increasing levels of UV-B, in the absence of the inhibitor, did not present oxidative damage; on the other hand, plants that were treated by the inhibitor showed oxidative stress symptoms and photosynthetical damage. Oxidative damage was correlated with flavonoids content; at the molecular level, these results showed an increase in transcript levels related to the phenylpropanoid pathway enzymes and their activity, as well as the expression of the UVR8-COP1-HY5 transduction system. Moreover, in AOA treated plants, the results show significant damage and plant death. Our results suggest that the survival mechanism showed by C. quitensis to UV-B radiation is mediated by biosynthesis of flavonoids.</t>
  </si>
  <si>
    <t>[Contreras, Rodrigo A.; Pizarro, Marisol; Kohler, Hans; Zuniga, Gustavo E.] Univ Santiago Chile, Lab Fisiol &amp; Biotecnol Vegetal, Dept Biol, Fac Quim &amp; Biol, Santiago, Chile; [Contreras, Rodrigo A.; Zamora, Pablo] Not Co, Macul, Chile; [Pizarro, Marisol; Zuniga, Gustavo E.] Univ Santiago Chile, Ctr Desarrollo Nanociencia &amp; Nanotecnol CEDENNA, Santiago, Chile</t>
  </si>
  <si>
    <t>Universidad de Santiago de Chile; Universidad de Santiago de Chile</t>
  </si>
  <si>
    <t>Zúñiga, GE (corresponding author), Libertador Bernardo Ohiggins Ave 3363, Estacion Cent, Santiago Of Chi, Chile.;Contreras, RA (corresponding author), Quilin Ave 3550 1A, Macul, Santiago De Chi, Chile.</t>
  </si>
  <si>
    <t>rodrigo.contrerasar@usach.cl; gustavo.zuniga@usach.cl</t>
  </si>
  <si>
    <t>Zamora, Pablo A/D-1612-2012; Zuñiga, Gustavo E/P-8306-2015; Contreras, Rodrigo A./I-1871-2013</t>
  </si>
  <si>
    <t>Contreras, Rodrigo A./0000-0001-9970-3125; Zuniga, Gustavo/0000-0002-8286-9468</t>
  </si>
  <si>
    <t>CONICYT [21100232]; Fondecyt [3160274, 1140189]; [AT24120963]; [INACH RT_14-17]</t>
  </si>
  <si>
    <t>CONICYT(Comision Nacional de Investigacion Cientifica y Tecnologica (CONICYT)); Fondecyt(Comision Nacional de Investigacion Cientifica y Tecnologica (CONICYT)CONICYT FONDECYT); ;</t>
  </si>
  <si>
    <t>Especially thanks to Elizabeth Barria for plant micropropagation and to Tatiana Freiin von Rheinbaben for English review. Authors acknowledge to Joanna Porankiewicz-Asplund from Agrisera to providing CHS and COP1 primary antibodies for testing. First author acknowledge to CONICYT for Ph.D fellowship no21100232. The research was funded by projects Ph.D thesis support AT24120963 and Fondecyt 3160274 to Rodrigo A. Contreras, Fondecyt 1140189 to Gustavo E. Zuniga and INACH RT_14-17 to Gustavo E. Zuniga (PI), Rodrigo A. Contreras and Marisol Pizarro.</t>
  </si>
  <si>
    <t>0098-8472</t>
  </si>
  <si>
    <t>1873-7307</t>
  </si>
  <si>
    <t>ENVIRON EXP BOT</t>
  </si>
  <si>
    <t>Environ. Exp. Bot.</t>
  </si>
  <si>
    <t>10.1016/j.envexpbot.2018.12.022</t>
  </si>
  <si>
    <t>Plant Sciences; Environmental Sciences</t>
  </si>
  <si>
    <t>Plant Sciences; Environmental Sciences &amp; Ecology</t>
  </si>
  <si>
    <t>HL3EF</t>
  </si>
  <si>
    <t>WOS:000458595000018</t>
  </si>
  <si>
    <t>Thompson, F; Guihen, D</t>
  </si>
  <si>
    <t>Thompson, Fletcher; Guihen, Damien</t>
  </si>
  <si>
    <t>Review of mission planning for autonomous marine vehicle fleets</t>
  </si>
  <si>
    <t>JOURNAL OF FIELD ROBOTICS</t>
  </si>
  <si>
    <t>MULTIROBOT SYSTEMS; TASK ALLOCATION; EXPLORATION; NAVIGATION; TAXONOMY; ROBOT; SURFACE; RISK; LOAD</t>
  </si>
  <si>
    <t>The deployment of a fleet of autonomous marine vehicles (AMVs) allows for the parallelisation of missions, intervehicle support for longer deployment times, adaptability and redundancy to in situ mission changes, and effective use of the right vehicle for the right purpose. End users and operators of AMVs face challenges in planning complex missions due to the limitations of their vehicles, dynamic, operationally constrictive, and unstructured environments, and in minimising risks to equipment, the mission, and personnel. Automated mission planning for AMV fleets can be a tool to reduce the complexity of programming vehicle tasking, and to perform validity assessments for end user-specified goals, allowing the operator to focus on risk assessment. We present a critical review of the current advances in automated planning for AMV fleets, investigating the limitations of available state-of-the-art tools and providing a road map of the goals and challenges based on analysis of field reports and end user initiatives.</t>
  </si>
  <si>
    <t>[Thompson, Fletcher; Guihen, Damien] Univ Tasmania, Natl Ctr Maritime Engn &amp; Hydrodynam, Hobart, Tas 7248, Australia</t>
  </si>
  <si>
    <t>Thompson, F (corresponding author), Univ Tasmania, Natl Ctr Maritime Engn &amp; Hydrodynam, Hobart, Tas 7248, Australia.</t>
  </si>
  <si>
    <t>Fletcher.Thompson@utas.edu.au</t>
  </si>
  <si>
    <t>Thompson, Fletcher/AAP-5107-2021; Thompson, Fletcher/HPD-7903-2023</t>
  </si>
  <si>
    <t>Thompson, Fletcher/0000-0002-0639-9871; Guihen, Damien/0000-0002-5786-6599</t>
  </si>
  <si>
    <t>Australian Research Council's Special Research Initiative for Antarctic Gateway Partnership [SR140300001]; Australian Government Research Training Program; IMarEST Laurie Prandolini Research Fellowship</t>
  </si>
  <si>
    <t>Australian Research Council's Special Research Initiative for Antarctic Gateway Partnership(Australian Research Council); Australian Government Research Training Program(Australian Government); IMarEST Laurie Prandolini Research Fellowship</t>
  </si>
  <si>
    <t>Australian Research Council's Special Research Initiative for Antarctic Gateway Partnership, Grant/Award Number: SR140300001; Australian Government Research Training Program; IMarEST Laurie Prandolini Research Fellowship</t>
  </si>
  <si>
    <t>1556-4959</t>
  </si>
  <si>
    <t>1556-4967</t>
  </si>
  <si>
    <t>J FIELD ROBOT</t>
  </si>
  <si>
    <t>J. Field Robot.</t>
  </si>
  <si>
    <t>10.1002/rob.21819</t>
  </si>
  <si>
    <t>Robotics</t>
  </si>
  <si>
    <t>HK9TP</t>
  </si>
  <si>
    <t>WOS:000458335100002</t>
  </si>
  <si>
    <t>Vogt, M; Walsh, C</t>
  </si>
  <si>
    <t>Vogt, Michael; Walsh, Christopher</t>
  </si>
  <si>
    <t>Estimating nonlinear additive models with nonstationarities and correlated errors</t>
  </si>
  <si>
    <t>SCANDINAVIAN JOURNAL OF STATISTICS</t>
  </si>
  <si>
    <t>correlated errors; nonstationary; semiparametric; smooth backfitting</t>
  </si>
  <si>
    <t>NONPARAMETRIC REGRESSION; KERNEL REGRESSION; CLIMATE-CHANGE; BANDWIDTH</t>
  </si>
  <si>
    <t>In this paper, we study a nonparametric additive regression model suitable for a wide range of time series applications. Our model includes a periodic component, a deterministic time trend, various component functions of stochastic explanatory variables, and an AR(p) error process that accounts for serial correlation in the regression error. We propose an estimation procedure for the nonparametric component functions and the parameters of the error process based on smooth backfitting and quasimaximum likelihood methods. Our theory establishes convergence rates and the asymptotic normality of our estimators. Moreover, we are able to derive an oracle-type result for the estimators of the AR parameters: Under fairly mild conditions, the limiting distribution of our parameter estimators is the same as when the nonparametric component functions are known. Finally, we illustrate our estimation procedure by applying it to a sample of climate and ozone data collected on the Antarctic Peninsula.</t>
  </si>
  <si>
    <t>[Vogt, Michael] Univ Bonn, Dept Econ, Bonn, Germany; [Vogt, Michael] Univ Bonn, Hausdorff Ctr Math, Bonn, Germany; [Walsh, Christopher] Univ Vienna, Dept Stat &amp; Operat Res, Oskar Morgenstern Pl 1, A-1090 Vienna, Austria</t>
  </si>
  <si>
    <t>University of Bonn; University of Bonn; University of Vienna</t>
  </si>
  <si>
    <t>Walsh, C (corresponding author), Univ Vienna, Dept Stat &amp; Operat Res, Oskar Morgenstern Pl 1, A-1090 Vienna, Austria.</t>
  </si>
  <si>
    <t>christopher.paul.walsh@univie.ac.at</t>
  </si>
  <si>
    <t>Walsh, Christopher/0000-0003-3586-7010</t>
  </si>
  <si>
    <t>0303-6898</t>
  </si>
  <si>
    <t>1467-9469</t>
  </si>
  <si>
    <t>SCAND J STAT</t>
  </si>
  <si>
    <t>Scand. J. Stat.</t>
  </si>
  <si>
    <t>10.1111/sjos.12342</t>
  </si>
  <si>
    <t>Statistics &amp; Probability</t>
  </si>
  <si>
    <t>HL2SR</t>
  </si>
  <si>
    <t>WOS:000458557100008</t>
  </si>
  <si>
    <t>Shi, CL; An, ML; Miao, JL; He, YY; Zheng, Z; Qu, CF; Wang, XX; Lin, H; Liu, JH</t>
  </si>
  <si>
    <t>Shi, Chongli; An, Meiling; Miao, Jinlai; He, Yingying; Zheng, Zhou; Qu, Changfeng; Wang, Xixi; Lin, Huan; Liu, Junhong</t>
  </si>
  <si>
    <t>Isolation and Expression Analysis of Three Types of -Carbonic Anhydrases from the Antarctic Alga Chlamydomonas sp. ICE-L under Different Light Stress Treatments</t>
  </si>
  <si>
    <t>MOLECULAR BIOTECHNOLOGY</t>
  </si>
  <si>
    <t>Chlamydomonas sp; ICE-L; qRT-PCR; Bioinformatic analysis; Carbonic anhydrase</t>
  </si>
  <si>
    <t>DIOXIDE CAPTURE; ENZYME; CO2; IDENTIFICATION; SEQUESTRATION; PURIFICATION; INHIBITION; EVOLUTION; BACTERIAL; ISOZYME</t>
  </si>
  <si>
    <t>Carbonic anhydrases (CAs) are a class of zinc-containing metalloenzymes that can reversibly catalyse the hydration reaction of carbon dioxide. Antarctic algae are the most critical component of the Antarctic ecosystem; algae can enter the carbon cycle food chain by fixing carbon dioxide from the air. In this study, the complete open reading frames (ORFs) of CA1 (GenBank ID KY826431), CA2 (GenBank ID KY826432), and CA3 (GenBank ID KY826433), encoding CAs in the Antarctic ice microalga Chlamydomonas. sp. ICE-L, were successfully cloned using reverse transcription-polymerase chain reaction (RT-PCR). In addition, the expression patterns of CAs under blue light, under UV light, and in the dark were determined by quantitative reverse transcription-polymerase chain reaction (qRT-PCR). The CA1, CA2, and CA3 ORFs encode proteins of 376, 430, and 419 amino acids, respectively. Phylogenetic analysis revealed that all amino acid sequences showed high homology with those of C. sp. ICE-L. There are six types of algal CAs; we hypothesised that the CAs studied here are most likely -CAs. Expression analysis showed that the transcription level of the CAs was influenced by both UV light and blue light. These findings provide additional insight into the molecular mechanisms of CAs and will accelerate the development of CAs for applications in agriculture and environmental governance.</t>
  </si>
  <si>
    <t>[Shi, Chongli; Lin, Huan; Liu, Junhong] Qingdao Univ Sci &amp; Technol, Coll Chem Engn, Qingdao 266042, Peoples R China; [Shi, Chongli; An, Meiling; Miao, Jinlai; He, Yingying; Zheng, Zhou; Qu, Changfeng; Wang, Xixi] State Ocean Adm, Inst Oceanog 1, Key Lab Marine Bioact Subst, Qingdao 266061, Peoples R China; [An, Meiling; Miao, Jinlai; Zheng, Zhou] Qingdao Natl Lab Marine Sci &amp; Technol, Lab Marine Drugs &amp; Bioprod, Qingdao 266237, Peoples R China; [An, Meiling; Miao, Jinlai; He, Yingying; Zheng, Zhou] Qingdao Univ, Med Coll, Qingdao 266071, Peoples R China</t>
  </si>
  <si>
    <t>Qingdao University of Science &amp; Technology; First Institute of Oceanography, Ministry of Natural Resources; Laoshan Laboratory; Qingdao University</t>
  </si>
  <si>
    <t>Miao, JL (corresponding author), State Ocean Adm, Inst Oceanog 1, Key Lab Marine Bioact Subst, Qingdao 266061, Peoples R China.;Miao, JL (corresponding author), Qingdao Natl Lab Marine Sci &amp; Technol, Lab Marine Drugs &amp; Bioprod, Qingdao 266237, Peoples R China.;Miao, JL (corresponding author), Qingdao Univ, Med Coll, Qingdao 266071, Peoples R China.</t>
  </si>
  <si>
    <t>miaojinlai@fio.org.cn</t>
  </si>
  <si>
    <t>He, Ying Ying/HZL-0137-2023; Zheng, Zhou/JJD-0602-2023</t>
  </si>
  <si>
    <t>He, Ying Ying/0000-0002-8759-3157;</t>
  </si>
  <si>
    <t>National Key Research and Development Program of China [2018YFD0900705, 2018YFD0901103]; Natural Science Foundation of China [41576187, 41776203, 21576145]; Key Research and Development Program of Shandong Province [2016YYSP017, 2016ZDJS06A03, 2017GHY15112, 2018YYSP024, 2018GHY115034]; Public Science and Technology Research Funds Projects of Ocean [201405015]; Deep Sea Biological Resources Plan of China [DY135-B2-14]; Qingdao Entrepreneurship &amp; Innovation Pioneers Program [15-10-3-15-(44)-zch]; Ningbo Public Service Platform for High-Value Utilization of Marine Biological Resources [NBHY-2017-P2]</t>
  </si>
  <si>
    <t>National Key Research and Development Program of China; Natural Science Foundation of China(National Natural Science Foundation of China (NSFC)); Key Research and Development Program of Shandong Province; Public Science and Technology Research Funds Projects of Ocean; Deep Sea Biological Resources Plan of China; Qingdao Entrepreneurship &amp; Innovation Pioneers Program; Ningbo Public Service Platform for High-Value Utilization of Marine Biological Resources</t>
  </si>
  <si>
    <t>This work was supported by the National Key Research and Development Program of China (Grant No. 2018YFD0900705; 2018YFD0901103), the Natural Science Foundation of China (Grant Nos. 41576187, No. 41776203, No. 21576145), Key Research and Development Program of Shandong Province (Grant Nos. 2016YYSP017, No. 2016ZDJS06A03, No. 2017GHY15112, No. 2018YYSP024, Grant No. 2018GHY115034), Public Science and Technology Research Funds Projects of Ocean (Grant No. 201405015), Deep Sea Biological Resources Plan of China (Grant No. DY135-B2-14), Qingdao Entrepreneurship &amp; Innovation Pioneers Program (Grant No. 15-10-3-15-(44)-zch), and Ningbo Public Service Platform for High-Value Utilization of Marine Biological Resources (Grant No. NBHY-2017-P2).</t>
  </si>
  <si>
    <t>HUMANA PRESS INC</t>
  </si>
  <si>
    <t>TOTOWA</t>
  </si>
  <si>
    <t>999 RIVERVIEW DRIVE SUITE 208, TOTOWA, NJ 07512 USA</t>
  </si>
  <si>
    <t>1073-6085</t>
  </si>
  <si>
    <t>1559-0305</t>
  </si>
  <si>
    <t>MOL BIOTECHNOL</t>
  </si>
  <si>
    <t>Mol. Biotechnol.</t>
  </si>
  <si>
    <t>10.1007/s12033-018-00152-4</t>
  </si>
  <si>
    <t>HK7JG</t>
  </si>
  <si>
    <t>WOS:000458164100004</t>
  </si>
  <si>
    <t>Flöter, S; Fietzke, J; Gutjahr, M; Farmer, J; Hönisch, B; Nehrke, G; Eisenhauer, A</t>
  </si>
  <si>
    <t>Floeter, Sebastian; Fietzke, Jan; Gutjahr, Marcus; Farmer, Jesse; Honisch, Barbel; Nehrke, Gernot; Eisenhauer, Anton</t>
  </si>
  <si>
    <t>The influence of skeletal micro-structures on potential proxy records in a bamboo coral</t>
  </si>
  <si>
    <t>Biomineralisation; Bamboo coral; Ba/Ca; Mg/Ca; Proxy; Desmocyte; LA-ICPMS; Cold-water coral</t>
  </si>
  <si>
    <t>DEEP-SEA CORALS; ANTARCTIC INTERMEDIATE WATER; TRACE-ELEMENT; CALICOBLASTIC EPITHELIUM; CALCITE SKELETONS; LOPHELIA-PERTUSA; BLAKE PLATEAU; GROWTH-RATES; GULF-STREAM; NEW-ZEALAND</t>
  </si>
  <si>
    <t>Assessing the physicochemical variability of the deeper ocean is currently hampered by limited instrumental time series and proxy records. Bamboo corals (Isididae) form a cosmopolitan family of calcitic deep sea corals that could fill this information gap via geochemical information recorded in their skeletons. Here we evaluate the suitability of high-resolution chemical imaging of bamboo coral skeletons for temperature and nutrient reconstruction. The applied elemental mapping techniques allow to verify the suitability of the chosen transect on the sample section for paleo-reconstructions and enhance the statistical precision of the reconstruction. We measured Mg/Ca via electron microprobe at 1 mu m resolution and Ba/Ca via laser ablation ICP-MS at 35 mu m resolution in a historic specimen of Keratoisis grayi from the Blake Plateau off Eastern Florida. Long-term growth temperatures of 7.1 +/- 3.4 degrees C (2SD) that are in agreement with recent ambient temperature range can be reconstructed from Mg/Ca ratios provided that anomalously Mg-enriched structural features around the central axis and isolated features related to tissue attachment are avoided for reconstruction. Skeletal Ba/Ca measurements reflect mean seawater barium [Ba](sw) concentrations ([Ba](sw) = 51 +/- 24 nmol kg(-1) (2SD)), in agreement with instrumental data (47 nmol kg(-1)). We show for the first time that Ba/Ca forms concentric structures in a bamboo coral skeleton section. Our investigations suggest that, while bamboo coral skeletons do record environmental parameters in their mean chemical composition, the magnitude of environmental variability reconstructed from high-resolution chemical maps exceeds that expected from instrumental time series. This necessitates additional investigation of the factors driving bamboo coral skeletal composition. (C) 2018 Elsevier Ltd. All rights reserved.</t>
  </si>
  <si>
    <t>[Floeter, Sebastian; Fietzke, Jan; Gutjahr, Marcus; Eisenhauer, Anton] GEOMAR Helmholtz Ctr Ocean Res Kiel, Wischhofstr 1-3, D-24148 Kiel, Germany; [Farmer, Jesse; Honisch, Barbel] Columbia Univ, Dept Earth &amp; Environm Sci, 61 Route 9W, Palisades, NY 10964 USA; [Farmer, Jesse; Honisch, Barbel] Columbia Univ, Lamont Doherty Earth Observ, 61 Route 9W, Palisades, NY 10964 USA; [Farmer, Jesse] Princeton Univ, Dept Geosci, Guyot Hall, Princeton, NJ 08544 USA; [Nehrke, Gernot] Alfred Wegener Inst, Handelshafen 12, D-27570 Bremerhaven, Germany</t>
  </si>
  <si>
    <t>Helmholtz Association; GEOMAR Helmholtz Center for Ocean Research Kiel; Columbia University; Columbia University; Princeton University; Helmholtz Association; Alfred Wegener Institute, Helmholtz Centre for Polar &amp; Marine Research</t>
  </si>
  <si>
    <t>Flöter, S (corresponding author), GEOMAR Helmholtz Ctr Ocean Res Kiel, Wischhofstr 1-3, D-24148 Kiel, Germany.</t>
  </si>
  <si>
    <t>sfloeter@geomar.de</t>
  </si>
  <si>
    <t>Hoenisch, Baerbel/ABF-4968-2021; Gutjahr, Marcus/ABC-2674-2020; Gutjahr, Marcus/L-9158-2013; Eisenhauer, Anton/K-6454-2012; Flöter, Sebastian/KAU-6156-2024</t>
  </si>
  <si>
    <t>Hoenisch, Baerbel/0000-0001-5844-3398; Gutjahr, Marcus/0000-0003-2556-2619; Gutjahr, Marcus/0000-0003-2556-2619; Flöter, Sebastian/0000-0003-2486-5095; Farmer, Jesse/0000-0001-5200-6429; Fietzke, Jan/0000-0002-5530-7208; Nehrke, Gernot/0000-0002-2851-3049</t>
  </si>
  <si>
    <t>DOC-NOAA Climate Program Office-Ocean Observing and Monitoring Division, U.S.A.; Helmholtz Research School on Ocean System Science and Technology (HOSST); GEOMAR Helmholtz Centre for Ocean Research Kiel, Germany</t>
  </si>
  <si>
    <t>We thank Mario Thoner for help with the EMPA, Philip Alderslade, Jean-Pierre Cuif, Christopher Meinen, Dirk Nurn-berg, and Rainer Zantopp for helpful discussions. The CTD data from east of the Bahamas are made freely available on the Atlantic Oceanographic and Meteorological Laboratory web page (www.aoml.noaa.gov/phod/wbts/) and are funded by the DOC-NOAA Climate Program Office-Ocean Observing and Monitoring Division, U.S.A. Funding was provided through the Helmholtz Research School on Ocean System Science and Technology (HOSST) and GEOMAR Helmholtz Centre for Ocean Research Kiel, Germany to S.F. Insightful and constructive reviews from three anonymous reviewers improved an earlier version of the manuscript. The associate editor Tom Marchitto is acknowledged for editorial handling and further constructive criticism. The data presented in this study are also available in digital format at www.pangaea.de.</t>
  </si>
  <si>
    <t>10.1016/j.gca.2018.12.027</t>
  </si>
  <si>
    <t>HK4ZJ</t>
  </si>
  <si>
    <t>WOS:000457972800004</t>
  </si>
  <si>
    <t>Pérez-Rodríguez, M; Biester, H; Aboal, JR; Toro, M; Cortizas, AM</t>
  </si>
  <si>
    <t>Perez-Rodriguez, Marta; Biester, Harld; Aboal, Jesus R.; Toro, Manuel; Martinez Cortizas, Antonio</t>
  </si>
  <si>
    <t>Thawing of snow and ice caused extraordinary high and fast mercury fluxes to lake sediments in Antarctica</t>
  </si>
  <si>
    <t>Antarctica; Hg; Mercury species; volcanic activity; climate; lake sediments; global pollution; Deception Island; Limnopolar Lake</t>
  </si>
  <si>
    <t>SOUTH SHETLAND ISLANDS; LIVINGSTON ISLAND; BYERS PENINSULA; SPRINGTIME DEPLETION; ATMOSPHERIC MERCURY; DECEPTION ISLAND; SOLAR IRRADIANCE; LIMNOPOLAR LAKE; ORGANIC-MATTER; DEPOSITION</t>
  </si>
  <si>
    <t>Due to its biomagnification mercury (Hg) is an element of concern especially in the remote pristine ecosystems such as Antarctica. Despite the sensitivity of the region, there is still a limited knowledge about the influence of natural processes, i.e. volcanism, climate, atmospheric mercury depletion events or freeze-thawing cycles, on the Hg cycle in Antarctica. We analysed total Hg and solid phase Hg species (Hg-thermo-desorption-AAS) in 1600 years old sediments from Limnopolar Lake (Byers Peninsula, South Shetland Islands). Some sections of the core show unusual high Hg concentrations (1141-11286 ng g(-1)) and accumulation rates (310-4902 mu g m(-2) yr(-1)). Hg-thermo-desorption analyses indicate that Hg is bound in the sediment by organic matter of different degree of degradation. We propose a combination of different natural processes to explain the high enrichment of Hg in the sediments. The nearby (30 km) Deception Island volcano appears to be the main source of Hg, while climatic conditions have controlled freezing-thawing of the ice-cover and the enrichment of Hg in the snowpack on the frozen lake (and its catchment). The release of Hg from the snowpack during thawing events appears to cause the extreme Hg enrichment in the sediments. The global atmospheric pollution is a minority signal in our record. The similar to 2.2 fold increase in Hg concentrations since AD similar to 1860 points industrial activities as the unique pollution cause. Our findings indicate that thawing of Antarctic ice might release large quantities of Hg to freshwater and marine systems and related food chains. (C) 2019 Elsevier Ltd. All rights reserved.</t>
  </si>
  <si>
    <t>[Perez-Rodriguez, Marta; Martinez Cortizas, Antonio] Univ Santiago de Compostela, Dept Edafoloxia &amp; Quim Agr, Fac Bioloxia, Santiago De Compostela 15782, Spain; [Perez-Rodriguez, Marta; Biester, Harld] Tech Univ Carolo Wilhelmina Braunschweig, Inst Geookol, Abt Umweltgeochem, Langer Kamp 19C, D-38106 Braunschweig, Germany; [Aboal, Jesus R.] Univ Santiago de Compostela, Fac Bioloxia, Dept Bioloxia Celular &amp; Ecoloxia, Santiago De Compostela 15782, Spain; [Toro, Manuel] Ctr Estudios Hidrog CEDEX, Paseo Bajo Virgen del Puerto 3, Madrid 28005, Spain</t>
  </si>
  <si>
    <t>Universidade de Santiago de Compostela; Braunschweig University of Technology; Universidade de Santiago de Compostela</t>
  </si>
  <si>
    <t>Pérez-Rodríguez, M (corresponding author), Tech Univ Carolo Wilhelmina Braunschweig, Inst Geookol, Abt Umweltgeochem, Langer Kamp 19C, D-38106 Braunschweig, Germany.</t>
  </si>
  <si>
    <t>m.perez-rodriguez@tu-bs.de</t>
  </si>
  <si>
    <t>Martínez-Cortizas, Antonio/M-6196-2015; Aboal, Jesus/A-4915-2012</t>
  </si>
  <si>
    <t>Martínez-Cortizas, Antonio/0000-0003-0430-5760; Toro Velasco, Manuel/0000-0002-4860-7229; Aboal, Jesus/0000-0001-8310-2907; Perez-Rodriguez, Marta/0000-0001-7139-3049</t>
  </si>
  <si>
    <t>Spanish Ministerio de Ciencia e Innovacion [CGL2010-20672, REN2000-0345-ANT]; Spanish Ministerio de Educacion y Cultura [POL2006-06635/CGL]; Direccion Xeral de I + D, Xunta de Galicia [10PXIB200182PR]</t>
  </si>
  <si>
    <t>Spanish Ministerio de Ciencia e Innovacion(Instituto de Salud Carlos IIISpanish Government); Spanish Ministerio de Educacion y Cultura(German Research Foundation (DFG)); Direccion Xeral de I + D, Xunta de Galicia(Xunta de Galicia)</t>
  </si>
  <si>
    <t>This work was partially supported by projects CGL2010-20672 and REN2000-0345-ANT (Spanish Ministerio de Ciencia e Innovacion), POL2006-06635/CGL (Spanish Ministerio de Educacion y Cultura), and 10PXIB200182PR (Direccion Xeral de I + D, Xunta de Galicia).</t>
  </si>
  <si>
    <t>10.1016/j.gca.2019.01.009</t>
  </si>
  <si>
    <t>WOS:000457972800007</t>
  </si>
  <si>
    <t>Zekollari, H; Goderis, S; Debaille, V; van Ginneken, M; Gattacceca, J; Jull, AJT; Lenaerts, JTM; Yamaguchi, A; Huybrechts, P; Claeys, P; Aumaitre, G; Bourlès, DL; Kedadouche, K</t>
  </si>
  <si>
    <t>Zekollari, Harry; Goderis, Steven; Debaille, Vinciane; van Ginneken, Matthias; Gattacceca, Jerome; Jull, A. J. Timothy; Lenaerts, Jan T. M.; Yamaguchi, Akira; Huybrechts, Philippe; Claeys, Philippe; Aumaitre, Georges; Bourles, Didier L.; Kedadouche, Karim</t>
  </si>
  <si>
    <t>ASTER Team</t>
  </si>
  <si>
    <t>Unravelling the high-altitude Nansen blue ice field meteorite trap (East Antarctica) and implications for regional palaeo-conditions</t>
  </si>
  <si>
    <t>Antarctic meteorite trap; Nansen ice field; Terrestrial age; Stable isotope geochemistry; Satellite derived velocities; Palaeoclimate</t>
  </si>
  <si>
    <t>SURFACE-ENERGY BALANCE; NORTHERN VICTORIA LAND; FRONTIER MOUNTAIN; ALLAN HILLS; TERRESTRIAL AGES; MASS-BALANCE; ATMOSPHERIC CIRCULATION; CHEMICAL-COMPOSITION; ISOTOPIC COMPOSITION; ORDINARY CHONDRITES</t>
  </si>
  <si>
    <t>Antarctic blue ice zones, the most productive locations for meteorite recovery on Earth, contain old ice that is easily accessible and available in large quantities. However, the mechanisms behind these meteorite traps remain a topic of ongoing debate. Here, we propose an interdisciplinary approach to improve our understanding of a meteorite trap in Dronning Maud Land (East Antarctica) on the Nansen blue ice field meteorite trap (2600-3100 m above sea level), where more than half of the Asuka meteorites have been collected. Based on 185 surface blue ice samples, one of the largest observed spatial patterns in oxygen isotopic variation to date is found. Relying on meteorites for which the terrestrial ages are determined using C-14 and Cl-36, this surface ice is interpreted to date from the Last Interglacial up to the present-day. By combining state-of-the-art satellite derived surface velocities, surface mass balance modelling and ice flow modelling, we estimate that about 75-85% of the meteorites found on the ice field were supplied by ice flow after entering the ice sheet in an accumulation area of a few hundred square kilometres located south (upstream) of the ice field. Less than 0.4 new meteorites per year are supplied to the ice field through ice flow, suggesting that the hundreds of meteorites found 25 years after the first visit to this ice field mostly represent meteorites that were previously not found, rather than newly supplied meteorites. By combining these findings, the infall rate of meteorites from space is estimated, which is in line with values from the literature, but situated at the higher end of the range. A comparison of the oxygen isotopic variation of the surface blue ice to that of the European Project for Ice Coring in Antarctica (EPICA), Dronning Maud Land (EDML) ice core (located 750 km to the west, at the same elevation), suggests that the regional changes in topography have been relatively limited since the Last Interglacial, supporting theories of an overall stable East Antarctic Ice Sheet (EAIS) over this time period. (C) 2019 Elsevier Ltd. All rights reserved.</t>
  </si>
  <si>
    <t>[Zekollari, Harry; Goderis, Steven; van Ginneken, Matthias; Huybrechts, Philippe; Claeys, Philippe] Vrije Univ Brussel, Earth Syst Sci, Brussels, Belgium; [Zekollari, Harry] Swiss Fed Inst Technol, Lab Hydraul Hydrol &amp; Glaciol VAW, Zurich, Switzerland; [Zekollari, Harry] Swiss Fed Inst Forest Snow &amp; Landscape Res WSL, Birmensdorf, Switzerland; [Debaille, Vinciane; van Ginneken, Matthias] Univ Libre Bruxelles, Lab G Time, Brussels, Belgium; [van Ginneken, Matthias] Royal Belgian Inst Nat Sci, Geol Survey Belgium, Brussels, Belgium; [Gattacceca, Jerome] Aix Marseille Univ, CNRS, IRD, CEREGE,Coll France, Aix En Provence, France; [Jull, A. J. Timothy] Univ Arizona, Dept Geosci, Tucson, AZ 85721 USA; [Lenaerts, Jan T. M.] Univ Colorado, Dept Atmospher &amp; Ocean Sci, Boulder, CO 80309 USA; [Yamaguchi, Akira] Natl Inst Polar Res, Tokyo, Japan; [Yamaguchi, Akira] Grad Univ Adv Studies, SOKENDAI, Tokyo, Japan</t>
  </si>
  <si>
    <t>Vrije Universiteit Brussel; Swiss Federal Institutes of Technology Domain; ETH Zurich; Swiss Federal Institutes of Technology Domain; Swiss Federal Institute for Forest, Snow &amp; Landscape Research; Universite Libre de Bruxelles; Royal Belgian Institute of Natural Sciences; Universite PSL; College de France; Centre National de la Recherche Scientifique (CNRS); Institut de Recherche pour le Developpement (IRD); Aix-Marseille Universite; University of Arizona; University of Colorado System; University of Colorado Boulder; Research Organization of Information &amp; Systems (ROIS); National Institute of Polar Research (NIPR) - Japan; Graduate University for Advanced Studies - Japan</t>
  </si>
  <si>
    <t>Zekollari, H (corresponding author), Swiss Fed Inst Technol, Lab Hydraul Hydrol &amp; Glaciol VAW, Zurich, Switzerland.</t>
  </si>
  <si>
    <t>zharry@ethz.ch</t>
  </si>
  <si>
    <t>(VUB), VRIJE UNIVERSITEIT BRUSSEL/B-4895-2008; Lenaerts, Jan/D-9423-2012; Van Ginneken, Matthias/AFQ-5594-2022; Gattacceca, Jerome/AAG-5651-2019; Goderis, Steven/F-9908-2011; Huybrechts, Philippe/J-5278-2013</t>
  </si>
  <si>
    <t>(VUB), VRIJE UNIVERSITEIT BRUSSEL/0000-0002-4585-7687; Lenaerts, Jan/0000-0003-4309-4011; Van Ginneken, Matthias/0000-0002-2508-7021; Gattacceca, Jerome/0000-0002-1639-7140; Goderis, Steven/0000-0002-6666-7153; Zekollari, Harry/0000-0002-7443-4034; Debaille, Vinciane/0000-0002-6544-4564; Huybrechts, Philippe/0000-0003-1406-0525</t>
  </si>
  <si>
    <t>Belgian Science Policy Office (BELSPO) projects SAMBA and BELAM; Research Foundation Flanders (FWO) [11T0114N/11T0116N]; FWO [V427216N]; WSL innovative project grant; FRS-FNRS; ERC StG ISoSyC; VUB Strategic Research Program; French Agence Nationale de la Recherche [ANR-13-BS05-0009]; Agence Nationale de la Recherche (ANR) [ANR-13-BS05-0009] Funding Source: Agence Nationale de la Recherche (ANR)</t>
  </si>
  <si>
    <t>Belgian Science Policy Office (BELSPO) projects SAMBA and BELAM; Research Foundation Flanders (FWO)(FWO); FWO(FWO); WSL innovative project grant; FRS-FNRS(Fonds de la Recherche Scientifique - FNRS); ERC StG ISoSyC(European Research Council (ERC)); VUB Strategic Research Program; French Agence Nationale de la Recherche(Agence Nationale de la Recherche (ANR)); Agence Nationale de la Recherche (ANR)(Agence Nationale de la Recherche (ANR))</t>
  </si>
  <si>
    <t>We thank everyone who participated in the JARE-54 &amp; BELARE 2012/2013 joint expedition, and especially Naoya Imae who led the Japanese team. BELARE 2012/2013 was funded through the Belgian Science Policy Office (BELSPO) projects SAMBA and BELAM. HZ thanks Sophie Berger for helping with the retrieval of surface velocity data and Kevin De Bondt for introducing him to the Picarro Cavity Ring-Down Spectrometer. We thank Paul Smeets and Carleen Reijmer (IMAU, Utrecht University) for providing AWS observations. HZ was funded through a fellowship of the Research Foundation Flanders (FWO) (grant 11T0114N/11T0116N) and performed a substantial part of this research at ETH Zurich and WSL Birmensdorf, thanks to an FWO travel grant for a long stay abroad (V427216N), and a WSL innovative project grant. VD thanks the FRS-FNRS and ERC StG ISoSyC for present funding. PC and SG acknowledge the support of the VUB Strategic Research Program. JG acknowledges funding from the French Agence Nationale de la Recherche (grant ANR-13-BS05-0009). We are grateful for the very thorough and thoughtful comments by two anonymous reviewers, which greatly helped us to improve the manuscript.</t>
  </si>
  <si>
    <t>10.1016/j.gca.2018.12.035</t>
  </si>
  <si>
    <t>WOS:000457972800018</t>
  </si>
  <si>
    <t>Velimsky, J; Sachl, L; Martinec, Z</t>
  </si>
  <si>
    <t>Velimsky, Jakub; Sachl, Libor; Martinec, Zdenek</t>
  </si>
  <si>
    <t>The global toroidal magnetic field generated in the Earth's oceans</t>
  </si>
  <si>
    <t>ocean-induced magnetic field; toroidal magnetic field</t>
  </si>
  <si>
    <t>ELECTROMAGNETIC-FIELDS; TIME-DOMAIN; SIGNALS; INDUCTION; CONDUCTIVITY</t>
  </si>
  <si>
    <t>The magnetic field induced in the Earth's ocean by the large-scale global circulation consists of the toroidal and poloidal modes. Lateral variations of the ocean electrical conductivity allow for the energy exchange between both regimes. In this paper, we predict that the eastward component of the toroidal magnetic field in the area of the Antarctic Circumpolar Current can reach amplitudes of 15 nT at the depth of about 1800 m. Moreover, even though the toroidal field is invisible on the ocean surface, it can significantly influence the observable poloidal field, both in terms of its amplitude, and seasonal variations. (C) 2019 Elsevier B.V. All rights reserved.</t>
  </si>
  <si>
    <t>[Velimsky, Jakub; Sachl, Libor; Martinec, Zdenek] Charles Univ Prague, Fac Math &amp; Phys, Dept Geophys, Prague, Czech Republic; [Martinec, Zdenek] Dublin Inst Adv Studies, Sch Cosm Phys, Geophys Sect, Dublin, Ireland</t>
  </si>
  <si>
    <t>Charles University Prague; Dublin Institute for Advanced Studies</t>
  </si>
  <si>
    <t>Velimsky, J (corresponding author), Charles Univ Prague, Fac Math &amp; Phys, Dept Geophys, Prague, Czech Republic.</t>
  </si>
  <si>
    <t>velimsky@karel.troja.mff.cuni.cz</t>
  </si>
  <si>
    <t>Velímský, Jakub/P-5902-2016; Martinec, Zdenek/AAA-6095-2022; Sachl, Libor/M-6254-2017</t>
  </si>
  <si>
    <t>Velímský, Jakub/0000-0002-1279-7112; Sachl, Libor/0000-0003-3281-3877</t>
  </si>
  <si>
    <t>Grant Agency of the Czech Republic [SW P210/17-03689S]; European Space Agency [4000109562/14/NL/CBi Swarm+Oceans]; Charles University [115-09/260447]; Ministry of Education, Youth and Sports from the Large Infrastructures for Research, Experimental Development and Innovations project IT4Innovations National Supercomputing Center [LM2015070, OPEN-10-13]</t>
  </si>
  <si>
    <t>Grant Agency of the Czech Republic(Grant Agency of the Czech RepublicNorwegian Agency for Development Cooperation - NORAD); European Space Agency(European Space Agency); Charles University; Ministry of Education, Youth and Sports from the Large Infrastructures for Research, Experimental Development and Innovations project IT4Innovations National Supercomputing Center</t>
  </si>
  <si>
    <t>This research was supported by the Grant Agency of the Czech Republic, project No. SW P210/17-03689S, the European Space Agency, contract No. 4000109562/14/NL/CBi Swarm+Oceans, and the Charles University grant 115-09/260447. The computational resources were provided by The Ministry of Education, Youth and Sports from the Large Infrastructures for Research, Experimental Development and Innovations project IT4Innovations National Supercomputing Center - LM2015070, project ID OPEN-10-13.</t>
  </si>
  <si>
    <t>10.1016/j.epsl.2018.12.026</t>
  </si>
  <si>
    <t>HK1JT</t>
  </si>
  <si>
    <t>WOS:000457661900006</t>
  </si>
  <si>
    <t>Carpenter-Kling, T; Pistorius, P; Connan, M; Reisinger, R; Magozzi, S; Trueman, C</t>
  </si>
  <si>
    <t>Carpenter-Kling, Tegan; Pistorius, Pierre; Connan, Maelle; Reisinger, Ryan; Magozzi, Sarah; Trueman, Clive</t>
  </si>
  <si>
    <t>Sensitivity of δ13C values of seabird tissues to combined spatial, temporal and ecological drivers: A simulation approach</t>
  </si>
  <si>
    <t>JOURNAL OF EXPERIMENTAL MARINE BIOLOGY AND ECOLOGY</t>
  </si>
  <si>
    <t>Agent-based movement models; Isoscapes; delta C-13; Marine predators</t>
  </si>
  <si>
    <t>STABLE-ISOTOPES; FORAGING AREAS; CLIMATE-CHANGE; CARBON; ISOSCAPES; SOUTH; PLASTICITY; PREDATORS; LOCATION; PACKAGE</t>
  </si>
  <si>
    <t>Biologging technologies have revolutionised our understanding of the foraging ecology and life history traits of marine predators, allowing for high resolution information about location, and in some cases, foraging behaviour of wild animals. At the same time, stable isotope ecologists have independently developed methods to infer location and foraging ecology (trophic geography). To date, relatively few studies have combined these two approaches, despite the potential wealth of complementary information. In marine systems, spatial and trophic information are coded in the isotopic composition of carbon and nitrogen in animal tissues, but interpretation of isotope values is limited by both the lack of reference maps (isoscapes) needed to relate the isotopic composition of an animal's tissues to a location, and the relatively large number of variables that could influence tissue isotope compositions. Simulation modelling can help to interpret measured tissue isotope compositions of migratory animals in the context of spatio-temporally dynamic isotopic baselines. Here, we couple individual-based movement models with global marine isotope models to explore the sensitivity of tissue delta C-13 values to a range of extrinsic (environmental) and intrinsic (behavioural, physiological) drivers. We use in-silico experiments to simulate isotopic compositions expected for birds exhibiting different movement and foraging behaviours and compare these simulated data to isotopic data recovered from biologgerequipped female northern giant petrels Macronectes halli incubating eggs on sub-Antarctic Marion Island. Our simulations suggest that in the studied system, time is a strong driver of isotopic variance. Accordingly, this implies that caution should be used when comparing delta C-13 values of marine predators' tissues between seasons and years. We show how an in-silico experimental approach can be used to explore the sensitivity of animal tissue isotopic compositions to complex and often interacting drivers. Appreciation of the principle drivers behind isotopic variance specific to a given animal and geographic context can enhance inferences of geolocation as well as foraging behaviour, and can be applied to any mobile predator. Models can be relativey simple or complex and multi-layered depending on the level of ecological realism required. Future investigations can use other isoscapes, including terrestrial isoscapes and more complex or different movement models.</t>
  </si>
  <si>
    <t>[Carpenter-Kling, Tegan; Pistorius, Pierre; Connan, Maelle] Nelson Mandela Univ, MAPRU, Inst Coastal &amp; Marine Res, ZA-6031 Port Elizabeth, South Africa; [Carpenter-Kling, Tegan; Pistorius, Pierre; Connan, Maelle] Nelson Mandela Univ, Dept Zool, DST NRF Ctr Excellence, FitzPatrick Inst African Ornithol, ZA-6031 Port Elizabeth, South Africa; [Reisinger, Ryan] Univ La Rochelle, Ctr Etudes Biol Chize, Stn Ecol Chize, CNRS UMR7372, F-79360 Villiers En Bois, France; [Reisinger, Ryan] Domain Petit Arbois, Batiment Henri Poincare, CESAB FRB, Ave Louis Philibert, Aix En Provence, France; [Magozzi, Sarah] Univ Utah, Geol &amp; Geophys, Salt Lake City, UT USA; [Trueman, Clive] Univ Southampton Waterfront Campus, Ocean &amp; Earth Sci, Southampton, Hants, England</t>
  </si>
  <si>
    <t>Nelson Mandela University; Nelson Mandela University; National Research Foundation - South Africa; La Rochelle Universite; Centre National de la Recherche Scientifique (CNRS); CNRS - Institute of Ecology &amp; Environment (INEE); Utah System of Higher Education; University of Utah; University of Southampton</t>
  </si>
  <si>
    <t>Carpenter-Kling, T (corresponding author), Nelson Mandela Univ, MAPRU, Inst Coastal &amp; Marine Res, ZA-6031 Port Elizabeth, South Africa.</t>
  </si>
  <si>
    <t>tegan.carpenterkling@gmail.com</t>
  </si>
  <si>
    <t>Reisinger, Ryan R/D-6151-2014; Connan, Maelle/A-8468-2008; Trueman, Clive N/E-6925-2011; Magozzi, Sarah/HJP-1057-2023</t>
  </si>
  <si>
    <t>Reisinger, Ryan R/0000-0002-8933-6875; Trueman, Clive N./0000-0002-4995-736X; Carpenter-Kling, Tegan/0000-0001-8449-2409; Magozzi, Sarah/0000-0003-4070-9105; Connan, Maelle/0000-0002-1308-9118; Pistorius, Pierre/0000-0001-6561-7069</t>
  </si>
  <si>
    <t>South African National Research Foundation [SNA93071]; RCUK-NRF Newton Fund</t>
  </si>
  <si>
    <t>South African National Research Foundation(National Research Foundation - South Africa); RCUK-NRF Newton Fund</t>
  </si>
  <si>
    <t>We thank South Africa's Department of Environmental Affairs for logistical support; the South African National Research Foundation for funding the project (grant SNA93071 to PAP) and the RCUK-NRF Newton Fund for funding the student exchange between University of Southampton and Nelson Mandela University. We also thank two anonymous reviewers for particularly helpful and constructive comments that certainly improved the manuscript.</t>
  </si>
  <si>
    <t>0022-0981</t>
  </si>
  <si>
    <t>1879-1697</t>
  </si>
  <si>
    <t>J EXP MAR BIOL ECOL</t>
  </si>
  <si>
    <t>J. Exp. Mar. Biol. Ecol.</t>
  </si>
  <si>
    <t>10.1016/j.jembe.2018.12.007</t>
  </si>
  <si>
    <t>HK3LZ</t>
  </si>
  <si>
    <t>WOS:000457819300002</t>
  </si>
  <si>
    <t>MacIntyre, C; Risk, D; Lee, CK; Cary, SC</t>
  </si>
  <si>
    <t>MacIntyre, Christopher; Risk, David; Lee, Charles K.; Cary, S. Craig</t>
  </si>
  <si>
    <t>Processes driving soil CO2 temporal variability in Antarctic Dry Valleys</t>
  </si>
  <si>
    <t>GEODERMA</t>
  </si>
  <si>
    <t>Antarctica; CO2 flux; Dry Valley; Soil respiration; Geochemistry; Solubility cycling</t>
  </si>
  <si>
    <t>CARBON-DIOXIDE; ORGANIC-CARBON; FLUX</t>
  </si>
  <si>
    <t>The polar deserts of the McMurdo Dry Valleys, Victoria Land, Antarctica, are among the most hostile places on Earth, where terrestrial biota is limited to small patches of hospitable land. Carbon dioxide (CO2) soil surface flux has been used to estimate the rates of biological activity in hospitable areas, but researchers have also observed CO2 fluctuations at sites with low biological activity, including strong negative fluxes suggestive of an abiotic sink for CO2. To better characterize the biotic and abiotic controls on soil surface CO2 flux, and their relative contributions to variability, we designed and executed a long-term monitoring experiment in four of the McMurdo Dry Valleys. This experiment used automated temporal monitoring of both CO2 efflux, and soil concentrations, at sub-diel timescales. In general, the fluxes we observed were well under &lt; 0.1 mu mol m(-2) s(-1), which is consistent with other studies in upland Dry Valley soils. Aside from one short-term biological event in which consistent fluxes to atmosphere were observed over a period of some days, time series monitoring showed that soils generally released CO2 during the day, and behaved as a CO2 sink at night - in roughly equal proportion, where the sum of fluxes over each diel period were near zero. This pattern was observed across different sites and valleys, was very repeatable, and was highly coupled with soil temperature. These patterns were well explained by solubility cycling of CO2 into and out of alkaline waters in the soil profile. A laboratory soil simulation experiment confirmed that solubility cycling could generate the magnitude (tens of ppm) of soil CO2 concentration changes observed in these alkaline soils. This study has consequences for measuring biotic activity and Antarctic greening because abiotic and biotic drivers of CO2 can co-exist. Novel tracer techniques (isotopic or other accessory gases) must be developed to better quantify biotic activity and change in these unique McMurdo Dry Valleys environments.</t>
  </si>
  <si>
    <t>[MacIntyre, Christopher; Risk, David] St Francis Xavier Univ, Dept Earth Sci, Antigonish, NS B2G 2W5, Canada; [Lee, Charles K.; Cary, S. Craig] Univ Waikato, Int Ctr Terr Antarctic Res, Hamilton, New Zealand</t>
  </si>
  <si>
    <t>Saint Francis Xavier University - Canada; University of Waikato</t>
  </si>
  <si>
    <t>MacIntyre, C; Risk, D (corresponding author), St Francis Xavier Univ, Dept Earth Sci, Antigonish, NS B2G 2W5, Canada.</t>
  </si>
  <si>
    <t>cmacinty@stfx.ca; drisk@stfx.ca</t>
  </si>
  <si>
    <t>lee, charles/AAW-6627-2021; Lee, Charles/AAC-9417-2019</t>
  </si>
  <si>
    <t>lee, charles/0000-0001-6906-4895; Lee, Charles/0000-0002-6562-4733; Risk, David/0000-0002-5747-1706; Cary, Stephen/0000-0002-2876-2387</t>
  </si>
  <si>
    <t>New Zealand Foundation for Research, Science and Technology; International Centre for Terrestrial Antarctic Research; National Science Foundation [ANT-0229836]; Royal Society of New Zealand Marsden Fund [UOW0802, UOW1003]</t>
  </si>
  <si>
    <t>New Zealand Foundation for Research, Science and Technology(New Zealand Foundation for Research, Science and Technology); International Centre for Terrestrial Antarctic Research; National Science Foundation(National Science Foundation (NSF)); Royal Society of New Zealand Marsden Fund(Royal Society of New ZealandMarsden Fund (NZ))</t>
  </si>
  <si>
    <t>This work was conducted as part of the New Zealand Terrestrial Antarctic Biocomplexity Survey (http://nztabs.ictar.aq/), which was supported by the New Zealand Foundation for Research, Science and Technology and the International Centre for Terrestrial Antarctic Research. We acknowledge Antarctica New Zealand for logistic support and Fiona Shanhun for assistance with instrument deployment. This research was supported by a National Science Foundation grant to SCC (ANT-0229836). The Royal Society of New Zealand Marsden Fund provided financial support for SCC (UOW0802) and CKL (UOW1003). Thanks to Siobhan Semadeni and Lynsay Spafford for editorial assistance, and to anonymous reviewers who provided insightful comments that helped improve this manuscript.</t>
  </si>
  <si>
    <t>0016-7061</t>
  </si>
  <si>
    <t>1872-6259</t>
  </si>
  <si>
    <t>Geoderma</t>
  </si>
  <si>
    <t>10.1016/j.geoderma.2018.09.050</t>
  </si>
  <si>
    <t>Soil Science</t>
  </si>
  <si>
    <t>Agriculture</t>
  </si>
  <si>
    <t>HI9FU</t>
  </si>
  <si>
    <t>WOS:000456761500086</t>
  </si>
  <si>
    <t>Polvani, LM; Bellomo, K</t>
  </si>
  <si>
    <t>Polvani, Lorenzo M.; Bellomo, Katinka</t>
  </si>
  <si>
    <t>The Key Role of Ozone-Depleting Substances in Weakening the Walker Circulation in the Second Half of the Twentieth Century</t>
  </si>
  <si>
    <t>Walker circulation; Climate change; Ozone</t>
  </si>
  <si>
    <t>EQUATORIAL PACIFIC; VARIABILITY; DRIVEN; CMIP5</t>
  </si>
  <si>
    <t>It is widely appreciated that ozone-depleting substances (ODS), which have led to the formation of the Antarctic ozone hole, are also powerful greenhouse gases. In this study, we explore the consequence of the surface warming caused by ODS in the second half of the twentieth century over the Indo-Pacific Ocean, using the Whole Atmosphere Chemistry Climate Model (version 4). By contrasting two ensembles of chemistry-climate model integrations (with and without ODS forcing) over the period 1955-2005, we show that the additional greenhouse effect of ODS is crucial to producing a statistically significant weakening of the Walker circulation in our model over that period. When ODS concentrations are held fixed at 1955 levels, the forcing of the other well-mixed greenhouse gases alone leads to a strengthening-rather than weakening-of the Walker circulation because their warming effect is not sufficiently strong. Without increasing ODS, a surface warming delay in the eastern tropical Pacific Ocean leads to an increase in the sea surface temperature gradient between the eastern and western Pacific, with an associated strengthening of the Walker circulation. When increasing ODS are added, the considerably larger total radiative forcing produces a much faster warming in the eastern Pacific, causing the sign of the trend to reverse and the Walker circulation to weaken. Our modeling result suggests that ODS may have been key players in the observed weakening of the Walker circulation over the second half of the twentieth century.</t>
  </si>
  <si>
    <t>[Polvani, Lorenzo M.] Columbia Univ, Dept Appl Phys &amp; Appl Math, New York, NY 10027 USA; [Polvani, Lorenzo M.] Columbia Univ, Dept Earth &amp; Environm Sci, New York, NY 10027 USA; [Polvani, Lorenzo M.] Columbia Univ, Lamont Doherty Earth Observ, New York, NY 10027 USA; [Bellomo, Katinka] Columbia Univ, Lamont Doherty Earth Observ, Palisades, NY USA</t>
  </si>
  <si>
    <t>Columbia University; Columbia University; Columbia University; Columbia University</t>
  </si>
  <si>
    <t>Polvani, LM (corresponding author), Columbia Univ, Dept Appl Phys &amp; Appl Math, New York, NY 10027 USA.;Polvani, LM (corresponding author), Columbia Univ, Dept Earth &amp; Environm Sci, New York, NY 10027 USA.;Polvani, LM (corresponding author), Columbia Univ, Lamont Doherty Earth Observ, New York, NY 10027 USA.</t>
  </si>
  <si>
    <t>lmp@columbia.edu</t>
  </si>
  <si>
    <t>Polvani, Lorenzo M/E-5949-2011</t>
  </si>
  <si>
    <t>U.S. National Science Foundation; NASA; Columbia University; National Science Foundation</t>
  </si>
  <si>
    <t>U.S. National Science Foundation(National Science Foundation (NSF)); NASA(National Aeronautics &amp; Space Administration (NASA)); Columbia University; National Science Foundation(National Science Foundation (NSF))</t>
  </si>
  <si>
    <t>Author LMP is grateful for continued support from the U.S. National Science Foundation. Author KB is funded by a cooperative agreement between NASA and Columbia University. The computations were carried out with high-performance computing support provided by NCAR's Computational and Information Systems Laboratory, which is sponsored by the National Science Foundation. The data produced for and analyzed in this paper are archived on the High Performance Storage System (HPSS) at the National Center for Atmospheric Research and can be provided upon request.</t>
  </si>
  <si>
    <t>10.1175/JCLI-D-17-0906.1</t>
  </si>
  <si>
    <t>HJ8MF</t>
  </si>
  <si>
    <t>WOS:000457452900001</t>
  </si>
  <si>
    <t>Fassio, G; Modica, MV; Alvaro, MC; Buge, B; Salvi, D; Oliverio, M; Schiaparelli, S</t>
  </si>
  <si>
    <t>Fassio, Giulia; Modica, Maria Vittoria; Alvaro, Maria Chiara; Buge, Barbara; Salvi, Daniele; Oliverio, Marco; Schiaparelli, Stefano</t>
  </si>
  <si>
    <t>An Antarctic flock under the Thorson's rule: Diversity and larval development of Antarctic Velutinidae (Mollusca: Gastropoda)</t>
  </si>
  <si>
    <t>MOLECULAR PHYLOGENETICS AND EVOLUTION</t>
  </si>
  <si>
    <t>Thorson's rule; Larval ecology; Integrative taxonomy; Antarctica; Gastropoda; Velutinidae</t>
  </si>
  <si>
    <t>PROSOBRANCH FAMILY VELUTINIDAE; MULTIPLE SEQUENCE ALIGNMENT; SPECIES DELIMITATION METHOD; RIBOSOMAL-RNA EVOLUTION; NORTHERN-HEMISPHERE; TEMPERATE WATERS; MOLECULAR PHYLOGENY; SPATIAL-PATTERNS; MARINE GASTROPODS; SOUTHERN-OCEAN</t>
  </si>
  <si>
    <t>In most marine gastropods, the duration of the larval phase is a key feature, strongly influencing species distribution and persistence. Antarctic lineages, in agreement with Thorson's rule, generally show a short pelagic developmental phase (or lack it completely), with very few exceptions. Among them is the ascidian-feeding gastropod family Velutinidae, a quite understudied group. Based on a multilocus (COI, 16S, 28S and ITS2) dataset for 182 specimens collected in Antarctica and other regions worldwide, we investigated the actual Antarctic velutinid diversity, inferred their larval development, tested species genetic connectivity and produced a first phylogenetic framework of the family. We identified 15 Antarctic Molecular Operational Taxonomic Units (MOTUs), some of which represented undescribed species, which show two different types of larval shell, indicating different duration of the Pelagic Larval Phase (PLD). Antarctic velutinids stand as an independent lineage, sister to the rest of the family, with extensive hidden diversity likely produced by rapid radiation. Our phylogenetic framework indicates that this Antarctic flock underwent repeated events of pelagic phase shortening, in agreement with Thorson's rule, yielding species with restricted geographic ranges.</t>
  </si>
  <si>
    <t>[Fassio, Giulia; Oliverio, Marco] Sapienza Univ Rome, Dept Biol &amp; Biotechnol Charles Darwin, Zool Viale Univ 32, I-00185 Rome, Italy; [Modica, Maria Vittoria] Staz Zool Anton Dohrn, Dept Integrat Marine Ecol, I-80121 Naples, Italy; [Alvaro, Maria Chiara; Schiaparelli, Stefano] Univ Genoa, DiSTAV, Cso Europa 26, I-16132 Genoa, Italy; [Alvaro, Maria Chiara; Schiaparelli, Stefano] Italian Natl Antarct Museum, MNA, Sect Genoa, Viale Benedetto XV 5, I-16132 Genoa, Italy; [Buge, Barbara] Museum Natl Hist Nat, Direct Collect, 55,Rue Buffon, F-75005 Paris, France; [Oliverio, Marco] Univ Aquila, Dept Hlth Life &amp; Environm Sci, Laquila, Italy; [Salvi, Daniele] Univ Porto, Ctr Invest Biodiversidade &amp; Recursos Genet, CIBIO InBIO, Campus Agr Vairao, P-4485661 Vairao, Portugal</t>
  </si>
  <si>
    <t>Sapienza University Rome; Stazione Zoologica Anton Dohrn di Napoli; University of Genoa; Museum National d'Histoire Naturelle (MNHN); University of L'Aquila; Universidade do Porto</t>
  </si>
  <si>
    <t>Fassio, G (corresponding author), Sapienza Univ Rome, Dept Biol &amp; Biotechnol Charles Darwin, Zool Viale Univ 32, I-00185 Rome, Italy.</t>
  </si>
  <si>
    <t>giuliafassio@gmail.com</t>
  </si>
  <si>
    <t>Fassio, Giulia/H-2132-2018; Schiaparelli, Stefano/AAI-4024-2020; Oliverio, Marco/F-2229-2010; Salvi, Daniele/I-6360-2013</t>
  </si>
  <si>
    <t>Schiaparelli, Stefano/0000-0002-0137-3605; Fassio, Giulia/0000-0003-1767-1452; Oliverio, Marco/0000-0002-0316-4364; Salvi, Daniele/0000-0002-3804-2690</t>
  </si>
  <si>
    <t>IPEV [REVOLTA 1124]; MNHN; CEAMARC 2008; IPEV-AAD-MNHN; Doctoral School in Environmental and Evolutionary Biology of Sapienza University of Rome; program 'Rita Levi Montalcini' for the recruitment of young researchers at the University of L'Aquila; University of Guelph (Canada) under the BOLD (Barcoding Of Life Database) project BAMBi (Barcoding of Antarctic Marine Biodiversity) [PNRA 2010/A1.10]</t>
  </si>
  <si>
    <t>IPEV; MNHN; CEAMARC 2008; IPEV-AAD-MNHN; Doctoral School in Environmental and Evolutionary Biology of Sapienza University of Rome; program 'Rita Levi Montalcini' for the recruitment of young researchers at the University of L'Aquila; University of Guelph (Canada) under the BOLD (Barcoding Of Life Database) project BAMBi (Barcoding of Antarctic Marine Biodiversity)</t>
  </si>
  <si>
    <t>We are indebted to Elizabeth Kools (CASIZ) for the loan of tissues of Hainotis sharonae. Antarctic materials from Dumont d'Urville area were collected under the Research projects REVOLTA 1124, led by Cyril Gallut and Marc Eleaume, supported by the IPEV and the MNHN, and CEAMARC 2008 (supported by IPEV-AAD-MNHN). We thank Katrin Linse (British Antarctic Survey) for the availability of velutinids collected during the R/V Polarstern PS65 (2003-2004) expedition to the Georg Von Neumayer base area (organized by AWI). Julian Gutt (AWI) is also acknowledged for the material from the Polarstern PS81 expedition. The NIWA (Wellington) is acknowledged for the loan of specimens from the BioRoss (2004) and IPY-CAML (2008) expeditions. We thank Philippe Bouchet (MNHN) for the access to the MNHN material from the expeditions PANGLAO 2004, ATIMO VATAE 2010 and BIOPAPUA 2010. We thank Nicolas Puillandre (MNHN) for molecular sequences from the MNHN database and Virginie Heros (MNHN) for the precious help with type materials. The Italian PNRA is acknowledged for the material collected in the framework of several expeditions in the Terra Nova Bay area from 2009-2014. The MNA (Section of Genoa) is acknowledged for facilities in the study of PNRA materials and for the loan of some specimens. We thank Angel Valdes (Cal Poly University), Michel Le Quement (Ploubazlanec), Ellen Strong (Smithsonian Institution), Katie Ahlfeld (Smithsonian Institution) along with the Smithsonian Museum Support Centre team for the help in collecting samples. We thank Valeria Russini (Sapienza University of Rome) for the help with statistical analysis and Matteo Cecchetto (MNA, Section of Genoa) for the help with the maps. Special thanks to Paolo Mariottini (University of Roma Tre) for his help with ITS2 secondary structure modelling. Two anonymous reviewers provided very useful criticisms to this manuscript. GF support was partially provided by the Doctoral School in Environmental and Evolutionary Biology of Sapienza University of Rome. DS is currently supported by the program 'Rita Levi Montalcini' for the recruitment of young researchers at the University of L'Aquila. Molecular analyses were conducted in the Molecular Systematics laboratory of the Department of Biology and Biotechnologies 'Charles Darwin' (Zoology section) at Sapienza University of Rome (Italy). A subset of 40 sequences were produced at the University of Guelph (Canada) under the BOLD (Barcoding Of Life Database) project BAMBi (Barcoding of Antarctic Marine Biodiversity: PNRA 2010/A1.10, PI Stefano Schiaparelli). This is BAMBi contribution #12.</t>
  </si>
  <si>
    <t>1055-7903</t>
  </si>
  <si>
    <t>1095-9513</t>
  </si>
  <si>
    <t>MOL PHYLOGENET EVOL</t>
  </si>
  <si>
    <t>Mol. Phylogenet. Evol.</t>
  </si>
  <si>
    <t>10.1016/j.ympev.2018.11.017</t>
  </si>
  <si>
    <t>HI6LI</t>
  </si>
  <si>
    <t>WOS:000456566000001</t>
  </si>
  <si>
    <t>Mikkelsen, NT; Todt, C; Kocot, KM; Halanych, KM; Willassen, E</t>
  </si>
  <si>
    <t>Mikkelsen, Nina T.; Todt, Christiane; Kocot, Kevin M.; Halanych, Kenneth M.; Willassen, Endre</t>
  </si>
  <si>
    <t>Molecular phylogeny of Caudofoveata (Mollusca) challenges traditional views</t>
  </si>
  <si>
    <t>Aculifera; Aplacophora; Chaetodermomorpha; Phylogeny</t>
  </si>
  <si>
    <t>APLACOPHORAN MOLLUSKS; RIBOSOMAL DNA; RADULA; TAXA; MORPHOLOGY; SEA; PROCHAETODERMATIDAE; POLYPLACOPHORA; CHAETODERMA; GASTROPODA</t>
  </si>
  <si>
    <t>The shell-less, worm-shaped Caudofoveata (=Chaetodermomorpha) is one of the least known groups of molluscs. The taxon consists of 141 recognized species found from intertidal environments to the deep-sea where they live burrowing in sediment. Evolutionary relationships of the group have been debated, but few studies based on morphological or molecular data have investigated the phylogeny of the group. Here we use molecular phylogenetics to resolve relationships among and within families of Caudofoveata. Phylogenetic analyses were performed using selected mitochondrial and nuclear genes from species from all recognized families of Caudofoveata. In resulting trees and contrary to traditional views, Prochaetodermatidae forms the sister clade to a clade containing the other two currently recognized families, Chaetodermatidae and Limifossoridae. The monophyly of Prochaetodermatidae is highly supported, but Limifossoridae and Chaetodermatidae are not recovered as monophyletic. Most of the caudofoveate genera are also not recovered as monophyletic in our analyses. Thus results from our molecular data suggest that the current classification of Caudofoveata is in need of revision, and indicate evolutionary scenarios that differ from previously proposed hypotheses based on morphology.</t>
  </si>
  <si>
    <t>[Mikkelsen, Nina T.; Todt, Christiane; Willassen, Endre] Univ Bergen, Univ Museum Bergen, N-5020 Bergen, Norway; [Mikkelsen, Nina T.] Univ Bergen, Dept Biol, N-5020 Bergen, Norway; [Todt, Christiane] Radgivende Biologer AS, Edvard Griegs Vei 3, N-5059 Bergen, Norway; [Halanych, Kenneth M.] Auburn Univ, Dept Biol Sci, Auburn, AL 36849 USA; [Kocot, Kevin M.] Univ Alabama, Dept Biol Sci, Tuscaloosa, AL 35487 USA; [Kocot, Kevin M.] Univ Alabama, Alabama Museum Nat Hist, Tuscaloosa, AL 35487 USA</t>
  </si>
  <si>
    <t>University of Bergen; University of Bergen; Auburn University System; Auburn University; University of Alabama System; University of Alabama Tuscaloosa; University of Alabama System; University of Alabama Tuscaloosa</t>
  </si>
  <si>
    <t>Mikkelsen, NT (corresponding author), Univ Bergen, Univ Museum Bergen, N-5020 Bergen, Norway.</t>
  </si>
  <si>
    <t>nina.mikkelsen@um.uib.no</t>
  </si>
  <si>
    <t>Willassen, Endre/AEG-0139-2022; Halanych, Kenneth/A-9480-2009</t>
  </si>
  <si>
    <t>Willassen, Endre/0000-0003-2126-8404; Halanych, Kenneth/0000-0002-8658-9674; Mikkelsen, Nina Therese/0000-0002-6222-5227</t>
  </si>
  <si>
    <t>Malacological Society of London; American Malacological Society; University Museum at the University of Bergen, Norway; Norwegian Academy of Science and Letters; Auburn University Marine Biology Program [178]</t>
  </si>
  <si>
    <t>Malacological Society of London; American Malacological Society; University Museum at the University of Bergen, Norway; Norwegian Academy of Science and Letters; Auburn University Marine Biology Program</t>
  </si>
  <si>
    <t>We thank Dimitri Ivanov and the late Amelie Scheltema and Christoffer Schander for generously sharing their knowledge, and for fruitful discussions on caudofoveate systematics and taxonomy. We thank Louise Lindblom, Solveig Thorkildsen and Kenneth Meland for assistance in the molecular lab at the biodiversity laboratories at the University of Bergen. We thank Jon Kongsrud for help with deposition of voucher specimens at the University Museum at the University of Bergen. We are grateful to the crews of R/V Hans Brattstrom and R/V Meteor onboard ME-85/3 for their contributions in collecting samples. We are also grateful to Saskia Brix, Pedro Martinez-Arbizu and Annika Tiltack at the Deutsches Zentrum fur marine Biodiversitatsforschung, Forschungsinstitut Senckenberg, Wilhelmshafen, Germany, for samples from the ME-85 and SO-205 cruises and Katrin Linse at the British Antarctic survey, Cambridge, UK, for material from the ANDEEP I and III cruises, and Yasunori Kano for material from Japan from the Nagasaki-Maru cruise. Sequencing was funded by grants from the Malacological Society of London, American Malacological Society, University Museum at the University of Bergen, Norway, and from The Norwegian Academy of Science and Letters to NTM. This is Molette Biology Laboratory contribution #83 and Auburn University Marine Biology Program contribution #178.</t>
  </si>
  <si>
    <t>10.1016/j.ympev.2018.10.037</t>
  </si>
  <si>
    <t>WOS:000456566000011</t>
  </si>
  <si>
    <t>Sanchez, AC; Ravanal, MC; Andrews, BA; Asenjo, JA</t>
  </si>
  <si>
    <t>Sanchez, Anamaria C.; Ravanal, Maria Cristina; Andrews, Barbara A.; Asenjo, Juan A.</t>
  </si>
  <si>
    <t>Heterologous expression and biochemical characterization of a novel cold-active α-amylase from the Antarctic bacteria Pseudoalteromonas sp. 2-3</t>
  </si>
  <si>
    <t>PROTEIN EXPRESSION AND PURIFICATION</t>
  </si>
  <si>
    <t>alpha-Amylase; Psychrophilic; Antarctic bacteria; Pseudoalteromonas sp. 2-3; Heterologous expression; Starch</t>
  </si>
  <si>
    <t>SOLID-STATE FERMENTATION; MODERATE HALOPHILE; ASPERGILLUS-NIGER; PURIFICATION; CLONING; ENZYMES; GLYCOSIDE; SEQUENCE; CLASSIFICATION; IDENTIFICATION</t>
  </si>
  <si>
    <t>alpha-Amylase is an endo-acting enzyme which catalyzes random hydrolysis of starch. These enzymes are used in various biotechnological processes including the textile, paper, food, biofuels, detergents and pharmaceutical industries. The use of active enzymes at low temperatures has a high potential because these enzymes would avoid the demand for heating during the process thereby reducing costs. In this work, the gene of alpha-amylase from Pseudoalteromonas sp. 2-3 (Antarctic bacteria) has been sequenced and expressed in Escherichia coli BL21(DE3). The ORF of the alpha-amylase gene cloned into pET22b(+) is 1824 bp long and codes for a protein of 607 amino acid residues including a His(6)-tag. The mature protein has a calculated molecular mass of 68.8 kDa. Recombinant alpha-amylase was purified with Ni-NTA affinity chromatography. The purified enzyme is active on potato starch with a K-m of 6.94 mg/ml and V-max of 0.27 mg/ml*min. The pH optimum is 8.0 and the optimal temperature is 20 degrees C. This enzyme was strongly activated by Ca2+; results consistent with other alpha-amylases. To the best of our knowledge, this enzyme has the lowest temperature optimum so far reported for alpha-amylases.</t>
  </si>
  <si>
    <t>[Sanchez, Anamaria C.; Andrews, Barbara A.; Asenjo, Juan A.] Univ Chile, Ctr Biotechnol &amp; Bioengn CeBiB, Dept Chem Engn Biotechnol &amp; Mat, Beauchef 851, Santiago, Chile; [Ravanal, Maria Cristina] Univ Austral Chile, Fac Ciencias Agr, Inst Ciencia &amp; Tecnol Alimentos ICYTAL, Avda Julio Sarrazin S-N, Valdivia, Chile</t>
  </si>
  <si>
    <t>Universidad de Chile; Universidad Austral de Chile</t>
  </si>
  <si>
    <t>Sanchez, AC (corresponding author), Univ Chile, Ctr Biotechnol &amp; Bioengn CeBiB, Dept Chem Engn Biotechnol &amp; Mat, Beauchef 851, Santiago, Chile.;Ravanal, MC (corresponding author), Univ Austral Chile, Fac Ciencias Agr, Inst Ciencia &amp; Tecnol Alimentos ICYTAL, Avda Julio Sarrazin S-N, Valdivia, Chile.</t>
  </si>
  <si>
    <t>ana.sanchez@ing.uchile.cl; maria.ravanal@uach.cl; bandrews@ing.uchile.cl; juasenjo@ing.uchile.cl</t>
  </si>
  <si>
    <t>Asenjo, Juan JAA/L-8336-2013; Ravanal, Maria Cristina/G-8682-2018</t>
  </si>
  <si>
    <t>Ravanal, Maria Cristina/0000-0003-2462-6270</t>
  </si>
  <si>
    <t>Basal Programme of CONICYT of the Centre for Biotechnology and Bioengineering, CeBiB [FB0001]</t>
  </si>
  <si>
    <t>Basal Programme of CONICYT of the Centre for Biotechnology and Bioengineering, CeBiB</t>
  </si>
  <si>
    <t>A.C.S, B.A.A, and J.A.A are grateful for support from the Basal Programme of CONICYT for funding of the Centre for Biotechnology and Bioengineering, CeBiB (project FB0001). The authors want to thank Dr. Jean Franco Castro for his excellent assistance in the phylogenetic analyses.</t>
  </si>
  <si>
    <t>1046-5928</t>
  </si>
  <si>
    <t>1096-0279</t>
  </si>
  <si>
    <t>PROTEIN EXPRES PURIF</t>
  </si>
  <si>
    <t>Protein Expr. Purif.</t>
  </si>
  <si>
    <t>10.1016/j.pep.2018.11.009</t>
  </si>
  <si>
    <t>Biochemical Research Methods; Biochemistry &amp; Molecular Biology; Biotechnology &amp; Applied Microbiology</t>
  </si>
  <si>
    <t>HJ1ET</t>
  </si>
  <si>
    <t>WOS:000456905400013</t>
  </si>
  <si>
    <t>King, ACF; Giorio, C; Wolff, E; Thomas, E; Karroca, O; Roverso, M; Schwikowski, M; Tapparo, A; Gambaro, A; Kalberer, M</t>
  </si>
  <si>
    <t>King, Amy C. F.; Giorio, Chiara; Wolff, Eric; Thomas, Elizabeth; Karroca, Ornela; Roverso, Marco; Schwikowski, Margit; Tapparo, Andrea; Gambaro, Andrea; Kalberer, Markus</t>
  </si>
  <si>
    <t>A new method for the determination of primary and secondary terrestrial and marine biomarkers in ice cores using liquid chromatography high-resolution mass spectrometry</t>
  </si>
  <si>
    <t>TALANTA</t>
  </si>
  <si>
    <t>Ice core; Organic aerosol; Biomarker; Mass spectrometry; Rotary evaporation; Paleoclimate</t>
  </si>
  <si>
    <t>ORGANIC-COMPOUNDS; FATTY-ACIDS; POLAR ICE; RECORDS; QUANTIFICATION; HYDROCARBONS; TRACERS; IMPACT; FOREST; SNOW</t>
  </si>
  <si>
    <t>The majority of atmospheric compounds measured in ice cores are inorganic, while analysis of their organic counterparts is a less well developed field. In recent years, understanding of formation, transport pathways and preservation of these compounds in ice and snow has improved, showing great potential for their use as biomarkers in ice cores. This study presents an optimised analytical technique for quantification of terrestrial and marine biosphere emissions of secondary organic aerosol (SOA) components and fatty acids in ice using HPLC-MS analysis. Concentrations of organic compounds in snow and ice are extremely low (typically ppb or ppt levels) and thus pre-concentration is required prior to analysis. Stir bar sorptive extraction (SBSE) showed potential for fatty acid compounds, but failed to recover SOA compounds. Solid phase extraction (SPE) recovered compounds across both organic groups but methods improving some recoveries came at the expense of others, and background contamination of fatty acids was high. Rotary evaporation was by far the best performing method across both SOA and fatty acid compounds, with average recoveries of 80%. The optimised pre-concentration - HPLC-MS method achieved repeatability of 9% averaged for all compounds. In environmental samples, both concentrations and seasonal trends were observed to be reproducible when analysed in two different laboratories using the same method.</t>
  </si>
  <si>
    <t>[King, Amy C. F.; Thomas, Elizabeth] British Antarctic Survey, Madingley Rd, Cambridge CB3 0ET, England; [Giorio, Chiara; Karroca, Ornela; Kalberer, Markus] Univ Cambridge, Dept Chem, Lensfield Rd, Cambridge CB2 1EW, England; [Wolff, Eric] Univ Cambridge, Dept Earth Sci, Downing St, Cambridge CB2 3EQ, England; [Karroca, Ornela; Gambaro, Andrea] Ca Foscari Univ Venice, Venice, Italy; [Giorio, Chiara; Roverso, Marco; Tapparo, Andrea] Univ Padua, Dipartimento Sci Chim, Via Marzolo 1, I-35131 Padua, Italy; [Schwikowski, Margit] Paul Scherrer Inst, Forschwngsstr 111, CH-5232 Villigen, Switzerland</t>
  </si>
  <si>
    <t>UK Research &amp; Innovation (UKRI); Natural Environment Research Council (NERC); NERC British Antarctic Survey; University of Cambridge; University of Cambridge; Universita Ca Foscari Venezia; University of Padua; Swiss Federal Institutes of Technology Domain; Paul Scherrer Institute</t>
  </si>
  <si>
    <t>King, ACF (corresponding author), British Antarctic Survey, Madingley Rd, Cambridge CB3 0ET, England.;Giorio, C (corresponding author), Univ Padua, Dipartimento Sci Chim, Via Marzolo 1, I-35131 Padua, Italy.</t>
  </si>
  <si>
    <t>acfk2@cam.ac.uk; chiara.giorio@unipd.it; ew428@cam.ac.uk; lith@bas.ac.uk; ornela86@live.it; marco.roverso@unipd.it; margit.schwikowski@psi.ch; andrea.tapparo@tmipd.it; gambaro@unive.it; mk594@cam.ac.uk</t>
  </si>
  <si>
    <t>Wolff, Eric W/D-7925-2014; Thomas, Elizabeth Ruth/ADF-3660-2022; Tapparo, Andrea/AAX-9906-2020; Roverso, Marco/ABE-1580-2020; Giorio, Chiara/O-1707-2015</t>
  </si>
  <si>
    <t>Wolff, Eric W/0000-0002-5914-8531; Thomas, Elizabeth Ruth/0000-0002-3010-6493; Tapparo, Andrea/0000-0001-8928-705X; Giorio, Chiara/0000-0001-7821-7398; Schwikowski, Margit/0000-0002-0856-5183; King, Amy/0000-0002-1285-7568; Roverso, Marco/0000-0003-1264-8878; Kalberer, Markus/0000-0001-8885-6556</t>
  </si>
  <si>
    <t>Selwyn College, Cambridge [NE/L002507/1]; NERC Doctoral Training Programme [NE/L002507/1]; ERC [279405]; Royal Society; 'BASUCAM Innovation Centre Feasibility Studies' programme 2013-2015; NERC [bas0100034, NE/R016038/1] Funding Source: UKRI; European Research Council (ERC) [279405] Funding Source: European Research Council (ERC)</t>
  </si>
  <si>
    <t>Selwyn College, Cambridge; NERC Doctoral Training Programme; ERC(European Research Council (ERC)); Royal Society(Royal Society); 'BASUCAM Innovation Centre Feasibility Studies' programme 2013-2015; NERC(UK Research &amp; Innovation (UKRI)Natural Environment Research Council (NERC)); European Research Council (ERC)(European Research Council (ERC)Spanish Government)</t>
  </si>
  <si>
    <t>Work by Amy King was jointly supported by Selwyn College, Cambridge, and the NERC Doctoral Training Programme [grant number NE/L002507/1]. Work by Chiara Giorio was supported by the 'BASUCAM Innovation Centre Feasibility Studies' programme 2013-2015 [project 'Organics in Ice'] and by the ERC Consolidator Grant 279405 COrANE. Eric Wolff was supported by a Royal Society Professorship.</t>
  </si>
  <si>
    <t>0039-9140</t>
  </si>
  <si>
    <t>1873-3573</t>
  </si>
  <si>
    <t>Talanta</t>
  </si>
  <si>
    <t>10.1016/j.talanta.2018.10.042</t>
  </si>
  <si>
    <t>HJ1CO</t>
  </si>
  <si>
    <t>WOS:000456899700031</t>
  </si>
  <si>
    <t>Zhang, DP; Huang, YY; Sun, B; Li, F; Wang, HJ</t>
  </si>
  <si>
    <t>Zhang, Dapeng; Huang, Yanyan; Sun, Bo; Li, Fei; Wang, Huijun</t>
  </si>
  <si>
    <t>Verification and Improvement of the Ability of CFSv2 to Predict the Antarctic Oscillation in Boreal Spring</t>
  </si>
  <si>
    <t>ADVANCES IN ATMOSPHERIC SCIENCES</t>
  </si>
  <si>
    <t>Antarctic Oscillation; interannual-increment approach; CFSv2; dynamical-statistical model; prediction</t>
  </si>
  <si>
    <t>SEA-SURFACE TEMPERATURE; SOUTHERN ANNULAR MODE; ASIAN WINTER MONSOON; RIVER VALLEY; ATMOSPHERIC CIRCULATION; INTERANNUAL VARIABILITY; CO-VARIABILITY; FORECAST MODEL; HEMISPHERE; ICE</t>
  </si>
  <si>
    <t>The boreal spring Antarctic Oscillation (AAO) has a significant impact on the spring and summer climate in China. This study evaluates the capability of the NCEP's Climate Forecast System, version 2 (CFSv2), in predicting the boreal spring AAO for the period 1983-2015. The results indicate that CFSv2 has poor skill in predicting the spring AAO, failing to predict the zonally symmetric spatial pattern of the AAO, with an insignificant correlation of 0.02 between the predicted and observed AAO Index (AAOI). Considering the interannual increment approach can amplify the prediction signals, we firstly establish a dynamical-statistical model to improve the interannual increment of the AAOI (DY AAOI), with two predictors of CFSv2-forecasted concurrent spring sea surface temperatures and observed preceding autumn sea ice. This dynamical-statistical model demonstrates good capability in predicting DY AAOI, with a significant correlation coefficient of 0.58 between the observation and prediction during 1983-2015 in the two-year-out cross-validation. Then, we obtain an improved AAOI by adding the improved DY AAOI to the preceding observed AAOI. The improved AAOI shows a significant correlation coefficient of 0.45 with the observed AAOI during 1983-2015. Moreover, the unrealistic atmospheric response to March-April-May sea ice in CFSv2 may be the possible cause for the failure of CFSv2 to predict the AAO. This study gives new clues regarding AAO prediction and short-term climate prediction.</t>
  </si>
  <si>
    <t>[Zhang, Dapeng; Huang, Yanyan; Sun, Bo; Li, Fei; Wang, Huijun] Nanjing Univ Informat Sci &amp; Technol, Minist Educ, Key Lab Meteorol Disaster, Collaborat Innovat Ctr Forecast &amp; Evaluat Meteoro, Nanjing 210044, Jiangsu, Peoples R China; [Zhang, Dapeng; Huang, Yanyan; Sun, Bo; Li, Fei; Wang, Huijun] Chinese Acad Sci, Inst Atmospher Phys, Nansen Zhu Int Res Ctr, Beijing 100029, Peoples R China; [Li, Fei] NILU Norwegian Inst Air Res, N-2007 Kjeller, Norway</t>
  </si>
  <si>
    <t>Nanjing University of Information Science &amp; Technology; Chinese Academy of Sciences; Institute of Atmospheric Physics, CAS; NILU</t>
  </si>
  <si>
    <t>Huang, YY (corresponding author), Nanjing Univ Informat Sci &amp; Technol, Minist Educ, Key Lab Meteorol Disaster, Collaborat Innovat Ctr Forecast &amp; Evaluat Meteoro, Nanjing 210044, Jiangsu, Peoples R China.;Huang, YY (corresponding author), Chinese Acad Sci, Inst Atmospher Phys, Nansen Zhu Int Res Ctr, Beijing 100029, Peoples R China.</t>
  </si>
  <si>
    <t>huangyy@nuist.edu.cn</t>
  </si>
  <si>
    <t>wang, hui/HSG-6135-2023; Wang, Hui/HMU-9512-2023; Li, Fei/ABE-8179-2020; Li, Fei/ABN-0225-2022</t>
  </si>
  <si>
    <t>Li, Fei/0000-0002-4301-8409; Zhang, Dapeng/0000-0003-0928-5527</t>
  </si>
  <si>
    <t>National Key Research and Development Program of China [2016YFA0600703]; Jiangsu Innovation &amp; Entrepreneurship Team; Priority Academic Program Development of Jiangsu Higher Education Institutions</t>
  </si>
  <si>
    <t>National Key Research and Development Program of China; Jiangsu Innovation &amp; Entrepreneurship Team; Priority Academic Program Development of Jiangsu Higher Education Institutions</t>
  </si>
  <si>
    <t>This work was supported by the National Key Research and Development Program of China (Grant No. 2016YFA0600703) and the funding of the Jiangsu Innovation &amp; Entrepreneurship Team and the Priority Academic Program Development of Jiangsu Higher Education Institutions.</t>
  </si>
  <si>
    <t>0256-1530</t>
  </si>
  <si>
    <t>1861-9533</t>
  </si>
  <si>
    <t>ADV ATMOS SCI</t>
  </si>
  <si>
    <t>Adv. Atmos. Sci.</t>
  </si>
  <si>
    <t>10.1007/s00376-018-8106-6</t>
  </si>
  <si>
    <t>HH5AU</t>
  </si>
  <si>
    <t>WOS:000455738900006</t>
  </si>
  <si>
    <t>Adame, JA; Cupeiro, M; Yela, M; Cuevas, E; Carbajal, G</t>
  </si>
  <si>
    <t>Adame, J. A.; Cupeiro, M.; Yela, M.; Cuevas, E.; Carbajal, G.</t>
  </si>
  <si>
    <t>Ozone and carbon monoxide at the Ushuaia GAW-WMO global station</t>
  </si>
  <si>
    <t>ATMOSPHERIC RESEARCH</t>
  </si>
  <si>
    <t>Surface ozone; Carbon monoxide; Ushuaia GAW-WMO global station; AIRS instrument</t>
  </si>
  <si>
    <t>MARINE BOUNDARY-LAYER; SURFACE OZONE; DEPLETION EVENTS; CHEMISTRY; AIRS/AMSU/HSB; CONCORDIA; QUALITY; SCALE</t>
  </si>
  <si>
    <t>Five years (2010-2014) of hourly surface measurements of ozone (O-3) and carbon monoxide (CO) at the GAW-WMO station in Ushuaia (Argentina) were analysed and characterised. A meteorological study of the region was carried out using in situ observations and meteorological fields from the ECMWF (European Centre for Medium Range Weather Forecast) global meteorological model. Atmospheric transport was investigated with the air mass trajectories computed with HYSPLIT (Hybrid Single Particle Lagrangian Integrated Trajectory) model using ERA Interim meteorological fields. Airflows primarily arise from the W-SW (South Pacific Ocean) which are associated with an almost permanent low pressure system. Collected winds from the South (Antarctic Peninsula and Weddell Sea), polar easterlies, occur less frequently. The hourly averages of O-3 and CO were 20 +/- 7 ppb and 71 +/- 45 ppb, respectively, typical values in remote environments. A clear seasonal pattern was obtained for O-3, with a monthly peak in winter of 25 ppb and minimum in summer of 12 ppb. Similar behaviour was found for CO, with 93 and 48 ppb maximum and minimum values, respectively. Both species show a weak daily cycle with an amplitude of 2-4 ppb for O-3 and 13-20 ppb for CO. Peaks in O-3 and CO in the cold season could be associated with low photochemical activity, fewer destructive processes and transport of these species from the South Pacific. O-3 vertical behaviour was analysed using 139 O-3 soundings at Ushuaia in the period studied. The seasonal patterns and levels of the O-3 profiles from the surface up to 5 km are similar to measurements on surface and thus it can be assumed that the O-3 measured on the surface could be representative of the low-mid troposphere. To investigate the spatial distribution of O-3 and CO in this region and the spatial representativeness of the Ushuaia measurements, daily observations from the AIRS (Atmospheric Infrared Sounder) instrument on board the AQUA satellite were used. The results obtained show that the O-3 levels in Ushuaia could be representative of a wide region in the Pacific South and that the CO levels are representative of a continental region around the observatory.</t>
  </si>
  <si>
    <t>[Adame, J. A.; Yela, M.] Natl Inst Aerosp Technol INTA, Atmospher Res &amp; Instrumentat Branch, Madrid, Spain; [Cupeiro, M.] Natl Meteorol Serv SMN, Ushuaia GAW Stn, Ushuaia, Argentina; [Cuevas, E.] State Meteorol Agcy Spain AEMET, Izana Atmospher Res Ctr, Santa Cruz De Tenerife, Spain; [Carbajal, G.] Natl Meteorol Serv SMN, Atmospher Watch &amp; Geophys GIDyC VAYGEO, Buenos Aires, DF, Argentina; [Carbajal, G.] Pontificia Univ Catolica Argentina, PEPACG, Fac Ingn &amp; Ciencias Agr, Buenos Aires, DF, Argentina</t>
  </si>
  <si>
    <t>Agencia Estatal de Meteorologia (AEMET); Centro de Investigacion Atmosferica de Izana (CIAI); Pontificia Universidad Catolica Argentina</t>
  </si>
  <si>
    <t>Adame, JA (corresponding author), Natl Inst Aerosp Technol INTA, Atmospher Res &amp; Instrumentat Branch, Madrid, Spain.</t>
  </si>
  <si>
    <t>adamecj@inta.es</t>
  </si>
  <si>
    <t>Cuevas, Emilio/L-2109-2013; Jose, Adame/K-3951-2014; Yela Gonzalez, Margarita/J-7346-2016</t>
  </si>
  <si>
    <t>Cuevas, Emilio/0000-0003-1843-8302; Jose, Adame/0000-0002-6302-7193; Cupeiro, Manuel/0000-0001-5158-4577; Yela Gonzalez, Margarita/0000-0003-3775-3156</t>
  </si>
  <si>
    <t>Spanish Ministerio de Economia y Competitividad (MINECO) [CGL2011-24891]</t>
  </si>
  <si>
    <t>Spanish Ministerio de Economia y Competitividad (MINECO)</t>
  </si>
  <si>
    <t>This work was supported by the Spanish Ministerio de Economia y Competitividad (MINECO) under grant CGL2011-24891 (HELADO project). We acknowledge the NOAA Air Resources Laboratory for provision of the HYSPLIT model. The authors thank the AEMET (Spanish State Meteorological Agency) and European Centre for Medium-Range Weather Forecasts (ECMWF) for access to the input meteorological fields.</t>
  </si>
  <si>
    <t>0169-8095</t>
  </si>
  <si>
    <t>1873-2895</t>
  </si>
  <si>
    <t>ATMOS RES</t>
  </si>
  <si>
    <t>Atmos. Res.</t>
  </si>
  <si>
    <t>10.1016/j.atmosres.2018.10.015</t>
  </si>
  <si>
    <t>HE0BF</t>
  </si>
  <si>
    <t>WOS:000452931100001</t>
  </si>
  <si>
    <t>Mignac, D; Ferreira, D; Haines, K</t>
  </si>
  <si>
    <t>Mignac, D.; Ferreira, D.; Haines, K.</t>
  </si>
  <si>
    <t>Decoupled Freshwater Transport and Meridional Overturning in the South Atlantic</t>
  </si>
  <si>
    <t>CIRCULATION; HEAT; REPRESENTATION; PREDICTIONS; OVERFLOW; SHALLOW; MODELS; STATE; DEEP; AMOC</t>
  </si>
  <si>
    <t>Freshwater transports (F-ov) by the Atlantic meridional overturning circulation (AMOC) are sensitive to salinity distributions and may determine AMOC stability. However, climate models show large salinity biases, distorting the relation between F-ov and the AMOC. Using free-running models and ocean reanalyses with realistic salinities but quite different AMOCs, we show that the fresh Antarctic Intermediate Water layer eliminates salinity differences across the AMOC branches at similar to 1,200 m, Delta S-1200m, which decouples Fov from the AMOC south of similar to 10 degrees N. As the Antarctic Intermediate Water disappears north of similar to 10 degrees N, a large Delta S-1200m allows the AMOC to drive substantial southward Fov in the North Atlantic. In the South Atlantic the 0-300 m zonal salinity contrasts control the gyre freshwater transports F-gyre, which also determine the total freshwater transports. This decoupling makes the southern F-ov unlikely to play any role in AMOC stability, leaving indirect F-gyre feedbacks or F-ov in the north, as more relevant factors. Plain language summary uThe Atlantic Ocean has an upper circulation branch transporting warm waters toward the Arctic. These waters sink due to changes in both salinity and temperature, leading to a cold and deep southward circulation branch throughout the Atlantic. This overturning circulation moves heat and freshwater over large distances, contributing to regulate Earth's climate, but the circulation strength may also be affected by these transports via feedback effects. It has been proposed that South Atlantic freshwater transports are a sensitive indicator of circulation feedback, which could lead to instability in the climate system. However, models of the ocean and atmospheric circulations used to study climate often show large errors in salinity distributions and freshwater transports and therefore may misrepresent climate stability. We show that with realistic salinities, the overturning circulation produces virtually no freshwater transports throughout the South Atlantic and is unlikely to have any role in feedbacks causing climate instability. Horizontal gyre circulations dominate South Atlantic freshwater transports, which could still have some indirect influence on climate stability. In contrast, the overturning circulation does drive a strong freshwater transport in the North Atlantic, and therefore, salinity feedbacks on the climate stability are much more likely to be important in the north.</t>
  </si>
  <si>
    <t>[Mignac, D.; Ferreira, D.; Haines, K.] Univ Reading, Dept Meteorol, Reading, Berks, England; [Haines, K.] Univ Reading, Natl Ctr Earth Observ, Reading, Berks, England</t>
  </si>
  <si>
    <t>University of Reading; University of Reading</t>
  </si>
  <si>
    <t>Mignac, D (corresponding author), Univ Reading, Dept Meteorol, Reading, Berks, England.</t>
  </si>
  <si>
    <t>d.mignaccarneiro@pgr.reading.ac.uk</t>
  </si>
  <si>
    <t>Ferreira, David/JNR-2354-2023; Ferreira, David/JJD-6133-2023</t>
  </si>
  <si>
    <t>Haines, Keith/0000-0003-2768-2374</t>
  </si>
  <si>
    <t>CAPES Foundation, Brazil [BEX 1386/15-8]; NERC [NE/M005119/1, nceo020004, NE/R016518/1] Funding Source: UKRI</t>
  </si>
  <si>
    <t>CAPES Foundation, Brazil(Coordenacao de Aperfeicoamento de Pessoal de Nivel Superior (CAPES)); NERC(UK Research &amp; Innovation (UKRI)Natural Environment Research Council (NERC))</t>
  </si>
  <si>
    <t>All the reanalyses used in this work are available for scientific research and can be downloaded from the following repositories: UR025.4 (http://dx.doi.org/10.5285/4bcfa3a4-c7ec-4414-863dcaeceb21f16f), CGLORSV5 (https://doi.pangaea.de/10.1594/PANGAEA.857995), GLORYS2V4 (ftp://rancmems.mercator-ocean.fr/Core/GLOBAL_REANALYSIS_PHY_001_025), and ORAP5 (ftp://rancmems.mercator-ocean.fr/Core/GLOBAL_REANALYSIS_PHYS_001_017). The last two can be downloaded after the registration in the Copernicus Marine Environment Monitoring Service (http://marine.copernicus.eu/).The first author would like to acknowledge the financial support of the CAPES Foundation, Brazil (proc. BEX 1386/15-8). The authors would also like to mention the support of the ORA providers and the Copernicus Marine Service for providing access to the reanalysis data used in this work.</t>
  </si>
  <si>
    <t>FEB 28</t>
  </si>
  <si>
    <t>10.1029/2018GL081328</t>
  </si>
  <si>
    <t>HP7GK</t>
  </si>
  <si>
    <t>WOS:000461855600031</t>
  </si>
  <si>
    <t>Aarons, SM; Aciego, SM; McConnell, JR; Delmonte, B; Baccolo, G</t>
  </si>
  <si>
    <t>Aarons, S. M.; Aciego, S. M.; McConnell, J. R.; Delmonte, B.; Baccolo, G.</t>
  </si>
  <si>
    <t>Dust Transport to the Taylor Glacier, Antarctica, During the Last Interglacial</t>
  </si>
  <si>
    <t>DOME ICE CORE; MARIE BYRD LAND; SEA-LEVEL; EAST ANTARCTICA; VICTORIA LAND; BLUE ICE; CLIMATE VARIABILITY; EREBUS VOLCANO; TEPHRA LAYERS; AEOLIAN DUST</t>
  </si>
  <si>
    <t>Changes in the composition of dust trapped in ice provide evidence of past atmospheric circulation and earth surface conditions. Investigations of dust provenance in Antarctic ice during glacial and interglacial periods indicate that South America is the primary dust source during both climate regimes. Here, we present results from a new ice core dust archive extracted from the Taylor Glacier in coastal East Antarctica during the deglacial transition from Marine Isotope Stage 6 to 5e. Radiogenic strontium and neodymium isotopes indicate that last interglacial dust is young and volcanic, in contrast to the observed preindustrial and Holocene (Marine Isotope Stage 1) dust composition. The dust composition differences from the last interglacial and current interglacial period at the site require a profound difference in atmospheric transport and environmental conditions. We consider several potential causes for enhanced transport of volcanic material to the site, including increased availability of volcanic material and large-scale atmospheric circulation changes. Plain Language Summary Fluctuations in the isotopic composition of dust particles transported atmospherically and trapped in East Antarctic ice during glacial and interglacial periods provide glimpses into past earth surface conditions and atmospheric dynamics through time. Here we present new ice core records of dust from the Taylor Glacier (Antarctica), extending back to the transition into the last interglacial period (similar to 130,000 years ago). Dust deposited at this site during the last interglacial period has a significantly more volcanic dust composition compared to the current interglacial dust, caused by a pronounced wind direction change and/or increased subaerial exposure of volcanic material. The distinct dust compositions during two separate interglacial periods suggest significant differences in conditions at the dust source areas and atmospheric dynamics to this peripheral Antarctic site.</t>
  </si>
  <si>
    <t>[Aarons, S. M.] Univ Michigan, Dept Earth &amp; Environm sci, Ann Arbor, MI 48109 USA; [Aarons, S. M.] Univ Chicago, Dept Geophys Sci, 5734 S Ellis Ave, Chicago, IL 60637 USA; [Aciego, S. M.] Univ Wyoming, Dept Geol &amp; Geophys, Laramie, WY 82071 USA; [McConnell, J. R.] Desert Res Inst, Div Hydrol Sci, Reno, NV USA; [Delmonte, B.; Baccolo, G.] Univ Milano Bicocca, Dept Environm &amp; Earth Sci, Milan, Italy; [Baccolo, G.] INFN, Milan, Italy</t>
  </si>
  <si>
    <t>University of Michigan System; University of Michigan; University of Chicago; University of Wyoming; Nevada System of Higher Education (NSHE); Desert Research Institute NSHE; University of Milano-Bicocca; Istituto Nazionale di Fisica Nucleare (INFN)</t>
  </si>
  <si>
    <t>Aarons, SM (corresponding author), Univ Michigan, Dept Earth &amp; Environm sci, Ann Arbor, MI 48109 USA.;Aarons, SM (corresponding author), Univ Chicago, Dept Geophys Sci, 5734 S Ellis Ave, Chicago, IL 60637 USA.</t>
  </si>
  <si>
    <t>smaarons@uchicago.edu</t>
  </si>
  <si>
    <t>Baccolo, Giovanni/J-9543-2019; Delmonte, Barbara/L-2555-2015</t>
  </si>
  <si>
    <t>Baccolo, Giovanni/0000-0002-1246-8968; Delmonte, Barbara/0000-0002-9074-2061; McConnell, Joseph/0000-0001-9051-5240; Aarons, Sarah/0000-0002-3580-0820</t>
  </si>
  <si>
    <t>NSF OPP Antarctic Glaciology Award [1246702]; Rackham Graduate School; Department of Earth and Environmental Sciences at the University of Michigan; University of California, Irvine Chancellor's ADVANCE Postdoctoral Fellowship; Ford Foundation; Directorate For Geosciences [1246702] Funding Source: National Science Foundation; Office of Polar Programs (OPP) [1246702] Funding Source: National Science Foundation</t>
  </si>
  <si>
    <t>NSF OPP Antarctic Glaciology Award; Rackham Graduate School; Department of Earth and Environmental Sciences at the University of Michigan; University of California, Irvine Chancellor's ADVANCE Postdoctoral Fellowship(University of California System); Ford Foundation; Directorate For Geosciences(National Science Foundation (NSF)NSF - Directorate for Geosciences (GEO)); Office of Polar Programs (OPP)(National Science Foundation (NSF)NSF - Directorate for Geosciences (GEO))</t>
  </si>
  <si>
    <t>This work was funded by grants from NSF OPP Antarctic Glaciology Award 1246702 to S. M. Aciego and grants from the Rackham Graduate School, the Turner Award from the Department of Earth and Environmental Sciences at the University of Michigan, the University of California, Irvine Chancellor's ADVANCE Postdoctoral Fellowship, and the Ford Foundation Postdoctoral Fellowship awarded to S. M. Aarons. We thank M. Jayred for drilling assistance and the students and staff of the DRI ice core lab for assistance. Comments from C. S. Riebe and two anonymous reviewers greatly improved this manuscript. All data presented in this study can be accessed via the online supporting information.</t>
  </si>
  <si>
    <t>10.1029/2018GL081887</t>
  </si>
  <si>
    <t>WOS:000461855600040</t>
  </si>
  <si>
    <t>Young, G; Lachlan-Cope, T; O'Shea, SJ; Dearden, C; Listowski, C; Bower, KN; Choularton, TW; Gallagher, MW</t>
  </si>
  <si>
    <t>Young, G.; Lachlan-Cope, T.; O'Shea, S. J.; Dearden, C.; Listowski, C.; Bower, K. N.; Choularton, T. W.; Gallagher, M. W.</t>
  </si>
  <si>
    <t>Radiative Effects of Secondary Ice Enhancement in Coastal Antarctic Clouds</t>
  </si>
  <si>
    <t>cloud microphysics; secondary ice production; Hallett-Mossop; cloud radiative forcing; Antarctica</t>
  </si>
  <si>
    <t>SOUTHERN-OCEAN; PART I; WEATHER RESEARCH; MODEL; AEROSOL; MICROPHYSICS; CLIMATE; PARAMETERIZATION; SPECTROMETER; PERFORMANCE</t>
  </si>
  <si>
    <t>Secondary ice production (SIP) commonly occurs in coastal Antarctic stratocumulus, affecting their ice number concentrations (N-ice) and radiative properties. However, SIP is poorly understood and crudely parametrized in models. By evaluating how well SIP is captured in a cloud-resolving model, with a high-resolution nest within a parent domain, we test how an improved comparison with aircraft observations affects the modeled cloud radiative properties. Under the assumption that primary ice is suitably represented by the model, we must enhance SIP by up to an order of magnitude to simulate observed N-ice. Over the nest, a surface warming trend accompanied the SIP increase; however, this trend was not captured by the parent domain over the same region. Our results suggest that the radiative properties of microphysical features resolved in high-resolution nested domains may not be captured by coarser domains, with implications for large-scale radiative balance studies over the Antarctic continent.</t>
  </si>
  <si>
    <t>[Young, G.; Lachlan-Cope, T.] NERC, British Antarctic Survey, Cambridge, England; [O'Shea, S. J.; Bower, K. N.; Choularton, T. W.; Gallagher, M. W.] Univ Manchester, Sch Earth &amp; Environm Sci, Manchester, Lancs, England; [Dearden, C.] Univ Leeds, Ctr Excellence Modelling Atmosphere &amp; Climate, Sch Earth &amp; Environm, Leeds, W Yorkshire, England; [Listowski, C.] UPMC Univ Paris 06, Sorbonne Univ, UVSQ Univ Paris Saclay, LATMOS IPSL,CNRS, Guyancourt, France</t>
  </si>
  <si>
    <t>UK Research &amp; Innovation (UKRI); Natural Environment Research Council (NERC); NERC British Antarctic Survey; University of Manchester; University of Leeds; Centre National de la Recherche Scientifique (CNRS); Sorbonne Universite; Universite Paris Saclay</t>
  </si>
  <si>
    <t>Young, G (corresponding author), NERC, British Antarctic Survey, Cambridge, England.</t>
  </si>
  <si>
    <t>giyoung@bas.ac.uk</t>
  </si>
  <si>
    <t>Gallagher, Martin/ABH-7381-2020; Listowski, Constantino/X-8595-2019; Dearden, Christopher/E-5165-2012</t>
  </si>
  <si>
    <t>Listowski, Constantino/0000-0001-8693-8689; Bower, Keith/0000-0002-9802-3264; Dearden, Christopher/0000-0001-7777-669X; McCusker, Gillian Young/0000-0002-8464-7332; Gallagher, Martin/0000-0002-4968-6088; Choularton, Thomas/0000-0002-0409-4329; O'Shea, Sebastian/0000-0002-0489-1723</t>
  </si>
  <si>
    <t>UK Natural Environment Research Council [NE/K01482X/1]; CNES; NERC [NE/K01305X/1, NE/K01482X/1, bas0100032] Funding Source: UKRI</t>
  </si>
  <si>
    <t>UK Natural Environment Research Council(UK Research &amp; Innovation (UKRI)Natural Environment Research Council (NERC)); CNES(Centre National D'etudes Spatiales); NERC(UK Research &amp; Innovation (UKRI)Natural Environment Research Council (NERC))</t>
  </si>
  <si>
    <t>The Microphysics of Antarctic Clouds project was funded by the UK Natural Environment Research Council under grant NE/K01482X/1. C.L. thanks CNES for postdoctoral fellowship funding. Model simulations were carried out on the ARCHER UK National Supercomputing Service (http://www.archer.ac.uk). Sea ice data were obtained from the National Snow and Ice Data Centre (NSIDC). Data are archived with the Centre for Environmental Data Analysis (doi: 10.5285/5d1af7fc779346de86de4a6fcf750912).</t>
  </si>
  <si>
    <t>10.1029/2018GL080551</t>
  </si>
  <si>
    <t>WOS:000461855600045</t>
  </si>
  <si>
    <t>Müller, MN; Dorantes-Aranda, JJ; Seger, A; Botana, MT; Brandini, FP; Hallegraeff, GM</t>
  </si>
  <si>
    <t>Mueller, Marius N.; Dorantes-Aranda, Juan Jose; Seger, Andreas; Botana, Marina T.; Brandini, Frederico P.; Hallegraeff, Gustaaf M.</t>
  </si>
  <si>
    <t>Ichthyotoxicity of the Dinoflagellate Karlodinium veneficum in Response to Changes in Seawater pH</t>
  </si>
  <si>
    <t>Harmful dinoflagellate; ocean acidification; seawater carbonate chemistry; toxin production; Karlodinium veneficum; ichthyotoxicity</t>
  </si>
  <si>
    <t>OCEAN ACIDIFICATION; IMPACTS; GROWTH; CARBON</t>
  </si>
  <si>
    <t>The ichthyotoxic dinoflagellate Karlodinium veneficum has a worldwide distribution and produces highly potent lytic toxins (karlotoxins) that have been associated with massive fish kill events in coastal environments. The capacity of K. veneficum to gain energy from photosynthesis as well as phagotrophy enables cellular maintenance, growth and dispersal under a broad range of environmental conditions. Coastal ecosystems are highly dynamic in light of the prevailing physicochemical conditions, such as seawater carbonate speciation (CO2, HCO3-, and CO32-) and pH. Here, we monitored the growth rate and ichthyotoxicity of K. veneficum in response to a seawater pH gradient. K. veneficum exhibited a significant linear reduction in growth rate with elevated seawater acidity [pH((totalscale)) from 8.05 to 7.50]. Ichthyotoxicity was assessed by exposing fish gill cells to K. veneficum extracts and subsequent quantification of gill cell viability via resorufin fluorescence. Extracts of K. veneficum indicated increased toxicity when derived from elevated pH treatments. The variation in growth rate and toxin production per cell in regard to seawater pH implies that (1) future alteration of seawater carbonate speciation, due to anthropogenic ocean acidification, may negatively influence physiological performance and ecosystem interactions of K. veneficum and (2) elevated seawater pH values (&gt;8.0) represent favorable conditions for K. veneficum growth and toxicity. This suggests that prey of K. veneficum may be exposed to increased karlotoxin concentrations at conditions when nutrients are scarce and seawater pH has been elevated due to high photosynthetic activity from prior autotrophic phytoplankton blooms.</t>
  </si>
  <si>
    <t>[Mueller, Marius N.] Univ Fed Pernambuco, Dept Oceanog, Recife, PE, Brazil; [Dorantes-Aranda, Juan Jose; Seger, Andreas; Hallegraeff, Gustaaf M.] Inst Marine &amp; Antarctic Studies, Hobart, Tas, Australia; [Botana, Marina T.; Brandini, Frederico P.] Univ Sao Paulo, Oceanog Inst, Sao Paulo, Brazil</t>
  </si>
  <si>
    <t>Universidade Federal de Pernambuco; University of Tasmania; Universidade de Sao Paulo</t>
  </si>
  <si>
    <t>Müller, MN (corresponding author), Univ Fed Pernambuco, Dept Oceanog, Recife, PE, Brazil.</t>
  </si>
  <si>
    <t>mariusnmuller@gmail.com</t>
  </si>
  <si>
    <t>Seger, Andreas/AAH-4093-2019; Dorantes-Aranda, Juan Jose/J-7737-2014; Hallegraeff, Gustaaf/C-8351-2013; Muller, Marius N./N-9338-2014</t>
  </si>
  <si>
    <t>Seger, Andreas/0000-0001-7018-0455; Hallegraeff, Gustaaf/0000-0001-8464-7343; Dorantes-Aranda, Juan J./0000-0003-1513-6501; Muller, Marius N./0000-0003-4765-3933; Brandini, Frederico/0000-0002-3177-4274</t>
  </si>
  <si>
    <t>Conselho Nacional de Desenvolvimento Cientifico e Tecnologico Brasil (CNPq) [405585/2013-6]; University of Tasmania; Federal University of Pernambuco [01/2017]</t>
  </si>
  <si>
    <t>Conselho Nacional de Desenvolvimento Cientifico e Tecnologico Brasil (CNPq)(Conselho Nacional de Desenvolvimento Cientifico e Tecnologico (CNPQ)); University of Tasmania; Federal University of Pernambuco</t>
  </si>
  <si>
    <t>This work was funded by the Conselho Nacional de Desenvolvimento Cientifico e Tecnologico Brasil (CNPq, Processo: 405585/2013-6), the University of Tasmania providing a Visiting Fellowship to MM and the Federal University of Pernambuco (Edital Propesq Professor Visitante no. 01/2017).</t>
  </si>
  <si>
    <t>FEB 26</t>
  </si>
  <si>
    <t>10.3389/fmars.2019.00082</t>
  </si>
  <si>
    <t>HQ8OO</t>
  </si>
  <si>
    <t>WOS:000462684300001</t>
  </si>
  <si>
    <t>Bouchard, B; Barnagaud, JY; Poupard, M; Glotin, H; Gauffier, P; Ortiz, ST; Lisney, TJ; Campagna, S; Rasmussen, M; Célérier, A</t>
  </si>
  <si>
    <t>Bouchard, Bertrand; Barnagaud, Jean-Yves; Poupard, Marion; Glotin, Herve; Gauffier, Pauline; Ortiz, Sara Torres; Lisney, Thomas J.; Campagna, Sylvie; Rasmussen, Marianne; Celerier, Aurelie</t>
  </si>
  <si>
    <t>Behavioural responses of humpback whales to food-related chemical stimuli</t>
  </si>
  <si>
    <t>DIMETHYL SULFIDE; MEGAPTERA-NOVAEANGLIAE; BOWHEAD WHALE; CETACEA; SEABIRDS; IDENTIFICATION; PERCEPTION; MYSTICETI; ABUNDANCE; DOLPHINS</t>
  </si>
  <si>
    <t>Baleen whales face the challenge of finding patchily distributed food in the open ocean. Their relatively well-developed olfactory structures suggest that they could identify the specific odours given off by planktonic prey such as krill aggregations. Like other marine predators, they may also detect dimethyl sulfide (DMS), a chemical released in areas of high marine productivity. However, dedicated behavioural studies still have to be conducted in baleen whales in order to confirm the involvement of chemoreception in their feeding ecology. We implemented 56 behavioural response experiments in humpback whales using two food-related chemical stimuli, krill extract and DMS, as well as their respective controls (orange clay and vegetable oil) in their breeding (Madagascar) and feeding grounds (Iceland and Antarctic Peninsula). The whales approached the stimulus area and stayed longer in the trial zone during krill extract trials compared to control trials, suggesting that they were attracted to the chemical source and spent time exploring its surroundings, probably in search of prey. This response was observed in Iceland, and to a lesser extend in Madagascar, but not in Antarctica. Surface behaviours indicative of sensory exploration, such as diving under the stimulus area and stopping navigation, were also observed more often during krill extract trials than during control trials. Exposure to DMS did not elicit such exploration behaviours in any of the study areas. However, acoustic analyses suggest that DMS and krill extract both modified the whales' acoustic activity in Madagascar. Altogether, these results provide the first behavioural evidence that baleen whales actually perceive prey-derived chemical cues over distances of several hundred metres. Chemoreception, especially olfaction, could thus be used for locating prey aggregations and for navigation at sea, as it has been shown in other marine predators including seabirds.</t>
  </si>
  <si>
    <t>[Bouchard, Bertrand; Barnagaud, Jean-Yves; Lisney, Thomas J.; Celerier, Aurelie] Univ Paul Valery Montpelllier EPHE, Univ Montpellier, CNRS, Behav Ecol Grp,CEFE,UMR 5175, Montpellier, France; [Bouchard, Bertrand; Lisney, Thomas J.; Celerier, Aurelie] Univ Montpellier, Montpellier, France; [Poupard, Marion; Glotin, Herve] Univ Aix Marseille, Univ Toulon, LIS, DYNI Team,CNRS, Marseille, France; [Gauffier, Pauline] CIRCE, Conservat Informat &amp; Res Cetaceans, Cadiz, Spain; [Ortiz, Sara Torres] Univ Southern Denmark, Dept Biol, Marine Biol Res Ctr, Kerteminde, Denmark; [Campagna, Sylvie] Univ Nimes, Univ, France; [Rasmussen, Marianne] Univ Iceland, Husavik Res Ctr, Husavik, Iceland</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</si>
  <si>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Universite de Montpellier; Aix-Marseille Universite; Centre National de la Recherche Scientifique (CNRS); University of Southern Denmark; Universite de Nimes; University of Iceland</t>
  </si>
  <si>
    <t>Bouchard, B (corresponding author), Univ Paul Valery Montpelllier EPHE, Univ Montpellier, CNRS, Behav Ecol Grp,CEFE,UMR 5175, Montpellier, France.;Bouchard, B (corresponding author), Univ Montpellier, Montpellier, France.</t>
  </si>
  <si>
    <t>bertrand.bouchard@gmail.com</t>
  </si>
  <si>
    <t>Gauffier, Pauline/W-8148-2019; Gauffier, Pauline/M-3952-2014; Lisney, Thomas/AAA-3288-2021</t>
  </si>
  <si>
    <t>Gauffier, Pauline/0000-0003-2984-6993; Gauffier, Pauline/0000-0003-2984-6993; Lisney, Thomas/0000-0001-5149-3720; Poupard, Marion/0000-0002-8235-5184; Glotin, Herve/0000-0001-7338-8518; Bouchard, Bertrand/0000-0002-8670-0299</t>
  </si>
  <si>
    <t>Fondation Total [144903]; Ministere de l'Enseignement Superieur et de la Recherche</t>
  </si>
  <si>
    <t>Fondation Total; Ministere de l'Enseignement Superieur et de la Recherche(Estonian Research Council)</t>
  </si>
  <si>
    <t>This research was funded by the Fondation Total (www.fondation.total.com), grant #144903 to A.C., and the Ministere de l'Enseignement Superieur et de la Recherche (www.enseignementsup-recherche.gouv.fr) to B.B., Bourse doctorale. The funders had no role in study design, data collection and analysis, decision to publish, or preparation of the manuscript.</t>
  </si>
  <si>
    <t>e0212515</t>
  </si>
  <si>
    <t>10.1371/journal.pone.0212515</t>
  </si>
  <si>
    <t>HM8EU</t>
  </si>
  <si>
    <t>WOS:000459712100016</t>
  </si>
  <si>
    <t>Ventura, T; Nguyen, C; Fitzgibbon, QP; Abramov, T; Smith, GG; Elizur, A</t>
  </si>
  <si>
    <t>Ventura, Tomer; Nguyen, Chan; Fitzgibbon, Quinn P.; Abramov, Tomer; Smith, Gregory G.; Elizur, Abigail</t>
  </si>
  <si>
    <t>Crustacean larval factor shares structural characteristics with the insect-specific follicle cell protein</t>
  </si>
  <si>
    <t>INSULIN-LIKE PEPTIDE; SPINY LOBSTER; PHYLLOSOMA LARVAE; STAGE PHYLLOSOMA; CRAB; METAMORPHOSIS; IDENTIFICATION; CALCIFICATION; EXOSKELETON; SEQUENCE</t>
  </si>
  <si>
    <t>Literature on the cuticle formation in larval stages of the diverse group of decapod crustaceans is lacking, as opposed to a wealth of knowledge in several insect groups. Here we provide the first glimpse of the cuticular organisation in larvae of the eastern spiny lobster Sagmariasus verreauxi. A bioinformatic approach applied to S. verreauxi transcriptome through metamorphosis identified for the first time a small secreted protein with multiple isoforms that is highly expressed in crustacean larvae. This protein, named crustacean larval factor (Clf) shares structural characteristics with insect follicle cell protein 3 (FCP3), an insect-specific, rapidly evolving protein, with spatial-temporal regulated expression that is restricted to follicular cells during the production of the vitellin coat. Furthermore, we identified the FCP3 domain in additional structural proteins in multiple arthropod groups. Recombinant Clf inhibited in vitro calcium carbonate crystalline precipitation, in keeping with the finding that the spiny lobster larval cuticle is mainly composed of amorphous calcium carbonate. In addition, the recombinant Clf was shown to bind chitosan. Taken together, this research identifies two novel structural domains with lineage-specific expansion across arthropods. In crustaceans, Clf is found predominantly in larvae and the spatial-temporal regulated FCP3 factor occurs as a domain identified in multiple structural proteins across arthropods. Given the shared ten cysteines backbone between the Clf and FCP domains, a shared evolution is suggested and should be further explored.</t>
  </si>
  <si>
    <t>[Ventura, Tomer; Nguyen, Chan; Abramov, Tomer; Elizur, Abigail] Univ Sunshine Coast, Sch Sci &amp; Engn, GeneCol Res Ctr, 4 Locked Bag, Maroochydore, Qld 4558, Australia; [Fitzgibbon, Quinn P.; Smith, Gregory G.] Univ Tasmania, Inst Marine &amp; Antarctic Studies, Private Bag 49, Hobart, Tas 7001, Australia</t>
  </si>
  <si>
    <t>University of the Sunshine Coast; University of Tasmania</t>
  </si>
  <si>
    <t>Ventura, T (corresponding author), Univ Sunshine Coast, Sch Sci &amp; Engn, GeneCol Res Ctr, 4 Locked Bag, Maroochydore, Qld 4558, Australia.</t>
  </si>
  <si>
    <t>tventura@usc.edu.au</t>
  </si>
  <si>
    <t>Ventura, T./H-9832-2019; Smith, Gregory/C-9263-2013</t>
  </si>
  <si>
    <t>Ventura, T./0000-0002-0777-2367; Elizur, Abigail/0000-0002-2960-302X; Nguyen, Chan/0000-0003-0121-7503; Fitzgibbon, Quinn/0000-0002-1104-3052; Smith, Gregory/0000-0002-8677-1230</t>
  </si>
  <si>
    <t>Australian Research Council Discovery Project [DP160103320]</t>
  </si>
  <si>
    <t>Australian Research Council Discovery Project(Australian Research Council)</t>
  </si>
  <si>
    <t>This research was supported by the Australian Research Council Discovery Project (DP160103320) to TV and Q.P.F.</t>
  </si>
  <si>
    <t>10.1038/s41598-019-39173-7</t>
  </si>
  <si>
    <t>HM8BH</t>
  </si>
  <si>
    <t>WOS:000459702900016</t>
  </si>
  <si>
    <t>Howat, IM; Porter, C; Smith, BE; Noh, MJ; Morin, P</t>
  </si>
  <si>
    <t>Howat, Ian M.; Porter, Claire; Smith, Benjamin E.; Noh, Myoung-Jong; Morin, Paul</t>
  </si>
  <si>
    <t>The Reference Elevation Model of Antarctica</t>
  </si>
  <si>
    <t>ACCURACY; SURFACE; ALTIMETER; RADAR</t>
  </si>
  <si>
    <t>The Reference Elevation Model of Antarctica (REMA) is the first continental-scale digital elevation model (DEM) at a resolution of less than 10 m. REMA is created from stereophotogrammetry with submeter resolution optical, commercial satellite imagery. The higher spatial and radiometric resolutions of this imagery enable high-quality surface extraction over the low-contrast ice sheet surface. The DEMs are registered to satellite radar and laser altimetry and are mosaicked to provide a continuous surface covering nearly 95% the entire continent. The mosaic includes an error estimate and a time stamp, enabling change measurement. Typical elevation errors are less than 1 m, as validated by the comparison to airborne laser altimetry. REMA provides a powerful new resource for Antarctic science and provides a proof of concept for generating accurate high-resolution repeat topography at continental scales.</t>
  </si>
  <si>
    <t>[Howat, Ian M.; Noh, Myoung-Jong] Ohio State Univ, Byrd Polar &amp; Climate Res Ctr, Columbus, OH 43210 USA; [Howat, Ian M.] Ohio State Univ, Sch Earth Sci, Columbus, OH 43210 USA; [Porter, Claire; Morin, Paul] Univ Minnesota, Polar Geospatial Ctr, St Paul, MN 55108 USA; [Smith, Benjamin E.] Univ Washington, Appl Phys Lab, Polar Sci Ctr, Seattle, WA 98105 USA</t>
  </si>
  <si>
    <t>University System of Ohio; Ohio State University; University System of Ohio; Ohio State University; University of Minnesota System; University of Minnesota Twin Cities; University of Washington; University of Washington Seattle</t>
  </si>
  <si>
    <t>Howat, IM (corresponding author), Ohio State Univ, Byrd Polar &amp; Climate Res Ctr, Columbus, OH 43210 USA.;Howat, IM (corresponding author), Ohio State Univ, Sch Earth Sci, Columbus, OH 43210 USA.</t>
  </si>
  <si>
    <t>ihowat@gmail.com</t>
  </si>
  <si>
    <t>Howat, Ian M/A-3474-2008</t>
  </si>
  <si>
    <t>US National Science Foundation Office of Polar Programs [1543501, 1559691]</t>
  </si>
  <si>
    <t>US National Science Foundation Office of Polar Programs(National Science Foundation (NSF))</t>
  </si>
  <si>
    <t>This work was supported by US National Science Foundation Office of Polar Programs grants 1543501 to Ian M. Howat and 1559691 to Paul Morin. High-performance computing resources were provided by the National Center for Supercomputer Applications at the University of Illinois.</t>
  </si>
  <si>
    <t>10.5194/tc-13-665-2019</t>
  </si>
  <si>
    <t>HM8MW</t>
  </si>
  <si>
    <t>WOS:000459736400001</t>
  </si>
  <si>
    <t>Fox-Kemper, B; Adcroft, A; Böning, CW; Chassignet, EP; Curchitser, E; Danabasoglu, G; Eden, C; England, MH; Gerdes, R; Greatbatch, RJ; Griffies, SM; Hallberg, RW; Hanert, E; Heimbach, P; Hewitt, HT; Hill, CN; Komuro, Y; Legg, S; Le Sommer, J; Masina, S; Marsland, SJ; Penny, SG; Qiao, F; Ringler, TD; Treguier, AM; Tsujino, H; Uotila, P; Yeager, SG</t>
  </si>
  <si>
    <t>Fox-Kemper, Baylor; Adcroft, Alistair; Boening, Claus W.; Chassignet, Eric P.; Curchitser, Enrique; Danabasoglu, Gokhan; Eden, Carsten; England, Matthew H.; Gerdes, Ruediger; Greatbatch, Richard J.; Griffies, Stephen M.; Hallberg, Robert W.; Hanert, Emmanuel; Heimbach, Patrick; Hewitt, Helene T.; Hill, Christopher N.; Komuro, Yoshiki; Legg, Sonya; Le Sommer, Julien; Masina, Simona; Marsland, Simon J.; Penny, Stephen G.; Qiao, Fangli; Ringler, Todd D.; Treguier, Anne Marie; Tsujino, Hiroyuki; Uotila, Petteri; Yeager, Stephen G.</t>
  </si>
  <si>
    <t>Challenges and Prospects in Ocean Circulation Models</t>
  </si>
  <si>
    <t>ocean circulation; model; parameterization; climate; ocean processes</t>
  </si>
  <si>
    <t>ICE FLOE SIZE; MERIDIONAL OVERTURNING CIRCULATION; REGIONAL SEA-LEVEL; ANTARCTIC CIRCUMPOLAR CURRENT; NORTH-ATLANTIC SIMULATIONS; WESTERN BOUNDARY CURRENTS; LARGE-EDDY SIMULATION; LEE WAVE DRAG; GLOBAL OCEAN; SOUTHERN-OCEAN</t>
  </si>
  <si>
    <t>We revisit the challenges and prospects for ocean circulation models following Griffies et al. (2010). Over the past decade, ocean circulation models evolved through improved understanding, numerics, spatial discretization, grid configurations, parameterizations, data assimilation, environmental monitoring, and process-level observations and modeling. Important large scale applications over the last decade are simulations of the Southern Ocean, the Meridional Overturning Circulation and its variability, and regional sea level change. Submesoscale variability is now routinely resolved in process models and permitted in a few global models, and submesoscale effects are parameterized in most global models. The scales where nonhydrostatic effects become important are beginning to be resolved in regional and process models. Coupling to sea ice, ice shelves, and high-resolution atmospheric models has stimulated new ideas and driven improvements in numerics. Observations have provided insight into turbulence and mixing around the globe and its consequences are assessed through perturbed physics models. Relatedly, parameterizations of the mixing and overturning processes in boundary layers and the ocean interior have improved. New diagnostics being used for evaluating models alongside present and novel observations are briefly referenced. The overall goal is summarizing new developments in ocean modeling, including: how new and existing observations can be used, what modeling challenges remain, and how simulations can be used to support observations.</t>
  </si>
  <si>
    <t>[Fox-Kemper, Baylor] Brown Univ, Dept Earth Environm &amp; Planetary Sci, Providence, RI 02912 USA; [Adcroft, Alistair; Griffies, Stephen M.; Hallberg, Robert W.; Legg, Sonya] Princeton Univ, Atmospher &amp; Ocean Sci Program, Princeton, NJ 08544 USA; [Adcroft, Alistair; Griffies, Stephen M.; Hallberg, Robert W.; Legg, Sonya] NOAA, Geophys Fluid Dynam Lab, Princeton, NJ USA; [Boening, Claus W.; Greatbatch, Richard J.] GEOMAR Helmholtz Ctr Ocean Res Kiel, Kiel, Germany; [Chassignet, Eric P.] Florida State Univ, Ctr Ocean Atmospher Predict Studies, Tallahassee, FL 32306 USA; [Curchitser, Enrique] Rutgers State Univ, Dept Environm Sci, New Brunswick, NJ USA; [Danabasoglu, Gokhan; Yeager, Stephen G.] Natl Ctr Atmospher Res, POB 3000, Boulder, CO 80307 USA; [Eden, Carsten] Univ Hamburg, Theoret Oceanog, Hamburg, Germany; [England, Matthew H.; Marsland, Simon J.] Univ New South Wales, Australian Res Council Ctr Excellence Climate Ext, Climate Change Res Ctr, Sydney, NSW, Australia; [Gerdes, Ruediger] Alfred Wegener Inst Polar &amp; Marine Res, Bremerhaven, Germany; [Gerdes, Ruediger] Jacobs Univ, Bremen, Germany; [Hanert, Emmanuel] Catholic Univ Louvain, Earth &amp; Life Inst, Louvain La Neuve, Belgium; [Heimbach, Patrick] Univ Texas Austin, Oden Inst Computat Engn &amp; Sci, Austin, TX 78712 USA; [Heimbach, Patrick] Jackson Sch Geosci, Austin, TX USA; [Hewitt, Helene T.] Met Off, Exeter, Devon, England; [Hill, Christopher N.] MIT, Dept Earth Atmospher &amp; Planetary Sci, Cambridge, MA USA; [Komuro, Yoshiki] Japan Agcy Marine Earth Sci &amp; Technol, Yokohama, Kanagawa, Japan; [Le Sommer, Julien] Univ Grenoble Alpes, CNRS, IRD, Grenoble INR,IGE, Grenoble, France; [Masina, Simona] Ist Nazl Geofis &amp; Vulcanol, CMCC, Bologna, Italy; [Marsland, Simon J.] CSIRO Oceans &amp; Atmosphere, Battery Point, Tas, Australia; [Marsland, Simon J.] Univ Tasmania, ACE CRC, Inst Marine &amp; Antarctic Studies, Hobart, Tas, Australia; [Penny, Stephen G.] Univ Maryland, Dept Atmospher &amp; Ocean Sci, College Pk, MD 20742 USA; [Penny, Stephen G.] NOAA, Natl Ctr Environm Predict, Ctr Weather &amp; Climate Predict, College Pk, MD USA; [Penny, Stephen G.] RIKEN Adv Inst Computat Sci, Kobe, Hyogo, Japan; [Qiao, Fangli] Minist Nat Resources, Inst Oceanog 1, Qingdao, Peoples R China; [Ringler, Todd D.] Los Alamos Natl Lab, Theoret Div, Los Alamos, NM USA; [Treguier, Anne Marie] IUEM, CNRS IFREMER IRD UBO, Lab Oceanog Phys &amp; Spatiale, Plouzane, France; [Tsujino, Hiroyuki] JMA Meteorol Res Inst, Tsukuba, Ibaraki, Japan; [Uotila, Petteri] Univ Helsinki, Inst Atmospher &amp; Earth Syst Res, Phys, Helsinki, Finland</t>
  </si>
  <si>
    <t>Brown University; Princeton University; National Oceanic Atmospheric Admin (NOAA) - USA; National Oceanic Atmospheric Admin (NOAA) - USA; Helmholtz Association; GEOMAR Helmholtz Center for Ocean Research Kiel; State University System of Florida; Florida State University; Rutgers University System; Rutgers University New Brunswick; National Center Atmospheric Research (NCAR) - USA; University of Hamburg; University of New South Wales Sydney; Helmholtz Association; Alfred Wegener Institute, Helmholtz Centre for Polar &amp; Marine Research; Jacobs University; Universite Catholique Louvain; University of Texas System; University of Texas Austin; Met Office - UK; Massachusetts Institute of Technology (MIT); Japan Agency for Marine-Earth Science &amp; Technology (JAMSTEC); Centre National de la Recherche Scientifique (CNRS); Institut de Recherche pour le Developpement (IRD); Communaute Universite Grenoble Alpes; Universite Grenoble Alpes (UGA); Centro Euro-Mediterraneo sui Cambiamenti Climatici (CMCC); Istituto Nazionale Geofisica e Vulcanologia (INGV); Commonwealth Scientific &amp; Industrial Research Organisation (CSIRO); University of Tasmania; University System of Maryland; University of Maryland College Park; National Oceanic Atmospheric Admin (NOAA) - USA; RIKEN; Ministry of Natural Resources of the People's Republic of China; First Institute of Oceanography, Ministry of Natural Resources; United States Department of Energy (DOE); Los Alamos National Laboratory; Institut de Recherche pour le Developpement (IRD); Ifremer; Universite de Bretagne Occidentale; Institut Universitaire Europeen de la Mer (IUEM); University of Helsinki</t>
  </si>
  <si>
    <t>Fox-Kemper, B (corresponding author), Brown Univ, Dept Earth Environm &amp; Planetary Sci, Providence, RI 02912 USA.</t>
  </si>
  <si>
    <t>baylor@brown.edu</t>
  </si>
  <si>
    <t>Boening, Claus W./B-1686-2012; Marsland, Simon J/A-1453-2012; Uotila, Petteri/A-1703-2012; Boening, Claus/AAW-6387-2020; Adcroft, Alistair/E-5949-2010; Boening, Claus W/HIR-8996-2022; Le Sommer, Julien/ABG-8801-2021; Penny, Stephen G./AAM-8531-2020; Fox-Kemper, Baylor/A-1159-2007; Treguier, Anne Marie/B-7497-2009; Legg, Sonya/E-5995-2010; Griffies, Stephen Matthew/N-9144-2019; England, Matthew/A-7539-2011; Heimbach, Patrick/K-3530-2013</t>
  </si>
  <si>
    <t>Boening, Claus W./0000-0002-6251-5777; Marsland, Simon J/0000-0002-5664-5276; Uotila, Petteri/0000-0002-2939-7561; Boening, Claus/0000-0002-6251-5777; Adcroft, Alistair/0000-0001-9413-1017; Boening, Claus W/0000-0002-6251-5777; Le Sommer, Julien/0000-0002-6882-2938; Penny, Stephen G./0000-0002-5223-8307; Fox-Kemper, Baylor/0000-0002-2871-2048; Griffies, Stephen Matthew/0000-0002-3711-236X; England, Matthew/0000-0001-9696-2930; Heimbach, Patrick/0000-0003-3925-6161; Danabasoglu, Gokhan/0000-0003-4676-2732; Chassignet, Eric/0000-0003-4710-7502; Hewitt, Helene/0000-0001-7432-6001; Treguier, Anne Marie/0000-0003-4569-845X; Hanert, Emmanuel/0000-0002-8359-868X</t>
  </si>
  <si>
    <t>NSF [1350795, 1655221]; ONR [N00014-17-1-2963, N00014-17-1-2393]; EC Marie Curie Support Action LAWINE [707262]; Marie Curie Actions (MSCA) [707262] Funding Source: Marie Curie Actions (MSCA); Directorate For Geosciences; Division Of Ocean Sciences [1350795] Funding Source: National Science Foundation</t>
  </si>
  <si>
    <t>NSF(National Science Foundation (NSF)); ONR(Office of Naval Research); EC Marie Curie Support Action LAWINE(European Union (EU)); Marie Curie Actions (MSCA)(Marie Curie Actions); Directorate For Geosciences; Division Of Ocean Sciences(National Science Foundation (NSF)NSF - Directorate for Geosciences (GEO))</t>
  </si>
  <si>
    <t>BF-K was supported by NSF 1350795, NSF 1655221, ONR N00014-17-1-2963, and N00014-17-1-2393. PU was supported by the EC Marie Curie Support Action LAWINE (grant no. 707262).</t>
  </si>
  <si>
    <t>10.3389/fmars.2019.00065</t>
  </si>
  <si>
    <t>HQ8NZ</t>
  </si>
  <si>
    <t>Green Published, Green Submitted, gold, Green Accepted</t>
  </si>
  <si>
    <t>WOS:000462682800001</t>
  </si>
  <si>
    <t>Wauchope, HS; Shaw, JD; Terauds, A</t>
  </si>
  <si>
    <t>Wauchope, Hannah S.; Shaw, Justine D.; Terauds, Aleks</t>
  </si>
  <si>
    <t>A snapshot of biodiversity protection in Antarctica</t>
  </si>
  <si>
    <t>CONSERVATION; AREAS; NETWORK</t>
  </si>
  <si>
    <t>Threats to Antarctic biodiversity are escalating, despite its remoteness and protection under the Antarctic Treaty. Increasing human activity, pollution, biological invasions and the omnipresent impacts of climate change all contribute, and often combine, to exert pressure on Antarctic ecosystems and environments. Here we present a continent-wide assessment of terrestrial biodiversity protection in Antarctica. Despite Antarctic Specially Protected Areas covering less than 2% of Antarctica, 44% of species (including seabirds, plants, lichens and invertebrates) are found in one or more protected areas. However, protection is regionally uneven and biased towards easily detectable and charismatic species like seabirds. Systematic processes to prioritize area protection using the best available data will maximize the likelihood of ensuring long-term protection and conservation of Antarctic biodiversity.</t>
  </si>
  <si>
    <t>[Wauchope, Hannah S.] Univ Cambridge, Dept Zool, David Attenborough Bldg,Pembroke St, Cambridge CB2 3QZ, England; [Shaw, Justine D.] Univ Queensland, Sch Biol Sci, St Lucia, Qld 4067, Australia; [Terauds, Aleks] Australian Antarctic Div, Antarctic Conservat &amp; Management Program, Kingston, Tas 7050, Australia</t>
  </si>
  <si>
    <t>University of Cambridge; University of Queensland; Australian Antarctic Division</t>
  </si>
  <si>
    <t>Terauds, A (corresponding author), Australian Antarctic Div, Antarctic Conservat &amp; Management Program, Kingston, Tas 7050, Australia.</t>
  </si>
  <si>
    <t>aleks.terauds@gmail.com</t>
  </si>
  <si>
    <t>Terauds, Aleks/A-4991-2010</t>
  </si>
  <si>
    <t>Shaw, Justine/0000-0002-9603-2271; Terauds, Aleks/0000-0001-7804-6648; Wauchope, Hannah/0000-0001-5370-4616</t>
  </si>
  <si>
    <t>Scientific Committee on Antarctic Research (SCAR) Standing Committee on the Antarctic Treaty System; Australian Antarctic Program [4296]</t>
  </si>
  <si>
    <t>Scientific Committee on Antarctic Research (SCAR) Standing Committee on the Antarctic Treaty System; Australian Antarctic Program</t>
  </si>
  <si>
    <t>This research was supported by the Scientific Committee on Antarctic Research (SCAR) Standing Committee on the Antarctic Treaty System and contributes to the SCAR Scientific Research Program - State of the Antarctic Ecosystem. A.T. is supported by the Australian Antarctic Program - Project 4296. We thank E. McIvor and P. Tracey for helpful suggestions on earlier versions of this manuscript, and M. Wauchope and B.I. Simmons for helpful comments on figures.</t>
  </si>
  <si>
    <t>10.1038/s41467-019-08915-6</t>
  </si>
  <si>
    <t>HM8BY</t>
  </si>
  <si>
    <t>WOS:000459704600010</t>
  </si>
  <si>
    <t>Van De Vijver, B; Houk, V</t>
  </si>
  <si>
    <t>Van De Vijver, Bart; Houk, Vaclav</t>
  </si>
  <si>
    <t>Two new centric diatoms (Bacillariophyta) from the sub-Antarctic region</t>
  </si>
  <si>
    <t>melosiroid; sub-Antarctic region; caves; morphology; new species</t>
  </si>
  <si>
    <t>LA POSSESSION CROZET; FRESH-WATER; COMMUNITIES; ISLANDS; NOV.; ILE</t>
  </si>
  <si>
    <t>During a survey of the limno-terrestrial diatom flora of the sub-Antarctic region, two unknown melosiroid diatom taxa were observed in several shaded, damp cave (moss and soil) samples from Heard Island and Ile de la Possession, the main island of the Crozet Archipelago. Comparison with already known species from the genus Melosira and the recently described genera Arcanodiscus, Angusticopula and Ferocia, resulted in the description of both new taxa based on detailed light and scanning electron microscopy. A first species was described as Ferocia subantarctica sp. nov. and can be distinguished based on its numerous, narrow girdle bands, relatively weakly domed valves, a limited number of well-developed spines and a rather large, hyaline central area. The second species, Arcanodiscus desmetianus Van de Vijver sp. nov., can be recognized based on its solitary frustules, a series of parallel ridges surrounding the mantle and a hyaline central area that is only less than 50% of the total valve diameter. Both taxa are morphologically and ecologically characterized and compared with all known melosiroid taxa worldwide.</t>
  </si>
  <si>
    <t>[Van De Vijver, Bart] Meise Bot Garden, Res Dept, Nieuwelaan 38, B-1860 Meise, Belgium; [Van De Vijver, Bart] Univ Antwerp, Dept Biol, ECOBE, Univ Pl 1, B-2610 Antwerp, Belgium; [Houk, Vaclav] Acad Sci Czech Republ, Inst Bot, Dukelskai 135, CZ-37982 Trebon, Czech Republic</t>
  </si>
  <si>
    <t>University of Antwerp; Czech Academy of Sciences; Institute of Botany of the Czech Academy of Sciences</t>
  </si>
  <si>
    <t>Van De Vijver, B (corresponding author), Meise Bot Garden, Res Dept, Nieuwelaan 38, B-1860 Meise, Belgium.;Van De Vijver, B (corresponding author), Univ Antwerp, Dept Biol, ECOBE, Univ Pl 1, B-2610 Antwerp, Belgium.</t>
  </si>
  <si>
    <t>bart.vandevijver@plantentuinmeise.be</t>
  </si>
  <si>
    <t>Houk, Václav/H-1592-2014</t>
  </si>
  <si>
    <t>Institut Polaire Francais-Paul-Emile Victor (IPEV) [136]</t>
  </si>
  <si>
    <t>Institut Polaire Francais-Paul-Emile Victor (IPEV)</t>
  </si>
  <si>
    <t>The authors wish to thank Dr. Niek J. M. Gremmen for the collection of samples on Heard Island, Iles Kerguelen and the Prince Edward Islands. Sampling on Iles Crozet and Iles Kerguelen was made possible with the logistic and financial support of the Institut Polaire Francais-Paul-Emile Victor (IPEV) in the frame of the Terrestrial Ecology program 136 (Dr. Yves Frenot &amp; Ir. Marc Lebouvier). This study was further supported by the BELSPO MICROBIAN project to visit the National History Museum in London, UK. Dr. Alex Ball and the staff of the IAC laboratory at the Natural History Museum are thanked for their help with the scanning electron microscopy.</t>
  </si>
  <si>
    <t>FEB 25</t>
  </si>
  <si>
    <t>10.11646/phytotaxa.394.1.2</t>
  </si>
  <si>
    <t>HM4UJ</t>
  </si>
  <si>
    <t>WOS:000459470000002</t>
  </si>
  <si>
    <t>Chen, HY; Bai, XM; Jing, LJ; Chen, RH; Teng, YG</t>
  </si>
  <si>
    <t>Chen, Haiyang; Bai, Xiaomei; Jing, Lijun; Chen, Ruihui; Teng, Yanguo</t>
  </si>
  <si>
    <t>Characterization of antibiotic resistance genes in the sediments of an urban river revealed by comparative metagenomics analysis</t>
  </si>
  <si>
    <t>Antibiotic resistance genes; Metagenomics; Network analysis; River sediments; Chaobai River</t>
  </si>
  <si>
    <t>CHINA OCCURRENCE PATTERN; SPATIOTEMPORAL DISTRIBUTION; RISK-ASSESSMENT; BACTERIA; ARGS; RESISTOME; ENVIRONMENTS; FATE; SOIL</t>
  </si>
  <si>
    <t>The over-use of antibiotics causes growing concerns about human health risks induced by increasing rates of antimicrobial resistance. Riverine systems are considered generally as a natural reservoir of antibiotic resistance genes (ARGs). In this study, several methods including high-throughput sequencing-based metagenomics approach, statistical analysis and network analysis were applied jointly to characterize the wide-spectrum profile of ARGs in the sediments of an urban river in Beijing. Furthermore, contribution of human activities for the presence of ARGs was identified through comparative studies on the metagenomic profiling of ARGs between the river sediments and pristine niches (remote Antarctic soils and deep sea sediments). In total, 442 ARG subtypes belonging to 22 ARG types were detected in the human-impacted river sediments with an abundance range of 1.1 x 10(-1)-8.1 x 10(-1) copy of ARG per copy of 16S-rRNA gene. The most abundant and diverse ARGs were commonly associated with antibiotics that have been extensively used in that area, likely indicating the spread of ARGs in river environments because of the selective pressure resulting fromantibiotic use. As awhole, anthropogenic activities were the dominant contributor of major ARG types, for example, occupying 100% for sulfonamide-ARGs, 97% for beta-lactam-ARGs, 94% for aminoglycoside-ARGs and 64% for tetracycline-ARGs. This study provides insights into the role of human activities in accelerating the dissemination and proliferation of ARGs in urban river environment and draws attention to controlling the use and discharge of antibiotics for protection of public health. (c) 2018 Elsevier B. V. All rights reserved.</t>
  </si>
  <si>
    <t>[Chen, Haiyang; Bai, Xiaomei; Jing, Lijun; Chen, Ruihui; Teng, Yanguo] Beijing Normal Univ, Coll Water Sci, Minist Educ, Engn Res Ctr Groundwater Pollut Control &amp; Remedia, 19 Xinjiekouwai St, Beijing 100875, Peoples R China</t>
  </si>
  <si>
    <t>Beijing Normal University</t>
  </si>
  <si>
    <t>Chen, HY; Teng, YG (corresponding author), Beijing Normal Univ, Coll Water Sci, Minist Educ, Engn Res Ctr Groundwater Pollut Control &amp; Remedia, 19 Xinjiekouwai St, Beijing 100875, Peoples R China.</t>
  </si>
  <si>
    <t>superbg@163.com; teng1974@163.com</t>
  </si>
  <si>
    <t>Beijing Natural Science Foundation [8172030]; Major Science and Technology Program for Water Pollution Control and Treatment of China [2017ZX07302]; National Key Research and Development Project of China [2018YFC0406502]</t>
  </si>
  <si>
    <t>Beijing Natural Science Foundation(Beijing Natural Science Foundation); Major Science and Technology Program for Water Pollution Control and Treatment of China; National Key Research and Development Project of China</t>
  </si>
  <si>
    <t>This study was financially supported by Beijing Natural Science Foundation (8172030), Major Science and Technology Program for Water Pollution Control and Treatment of China (2017ZX07302) and National Key Research and Development Project of China (2018YFC0406502).</t>
  </si>
  <si>
    <t>10.1016/j.scitotenv.2018.11.052</t>
  </si>
  <si>
    <t>HL3PA</t>
  </si>
  <si>
    <t>WOS:000458626800142</t>
  </si>
  <si>
    <t>Dennis, PG; Newsham, KK; Rushton, SP; O'Donnell, AG; Hopkins, DW</t>
  </si>
  <si>
    <t>Dennis, Paul G.; Newsham, Kevin K.; Rushton, Steven P.; O'Donnell, Anthony G.; Hopkins, David W.</t>
  </si>
  <si>
    <t>Soil bacterial diversity is positively associated with air temperature in the maritime Antarctic</t>
  </si>
  <si>
    <t>TERRESTRIAL VEGETATION; COMMUNITIES; NITROGEN; ICE; BIODIVERSITY; BIOGEOGRAPHY; ENVIRONMENT; CONSISTENT; RESPONSES; MICROBES</t>
  </si>
  <si>
    <t>Terrestrial ecosystems in the maritime Antarctic experienced rapid warming during the latter half of the 20th century. While warming ceased at the turn of the millennium, significant increases in air temperature are expected later this century, with predicted positive effects on soil fungal diversity, plant growth and ecosystem productivity. Here, by sequencing 16S ribosomal RNA genes in 40 soils sampled from along a 1,650 km climatic gradient through the maritime Antarctic, we determine whether rising air temperatures might similarly influence the diversity of soil bacteria. Of 22 environmental factors, mean annual surface air temperature was the strongest and most consistent predictor of soil bacterial diversity. Significant, but weaker, associations between bacterial diversity and soil moisture content, C:N ratio, and Ca, Mg, PO43- and dissolved organic C concentrations were also detected. These findings indicate that further rises in air temperature in the maritime Antarctic may enhance terrestrial ecosystem productivity through positive effects on soil bacterial diversity.</t>
  </si>
  <si>
    <t>[Dennis, Paul G.] Univ Queensland, Sch Earth &amp; Environm Sci, Brisbane, Qld 4072, Australia; [Newsham, Kevin K.] NERC British Antarctic Survey, Madingley Rd, Cambridge CB3 0ET, England; [Rushton, Steven P.] Newcastle Univ, Sch Nat &amp; Environm Sci, Newcastle Upon Tyne NE1 7RU, Tyne &amp; Wear, England; [O'Donnell, Anthony G.] Univ Western Australia, 35 Stirling Highway, Crawley, WA 6009, Australia; [Hopkins, David W.] Scotlands Rural Coll, Peter Wilson Bldg,West Mains Rd, Edinburgh EH9 3JG, Midlothian, Scotland</t>
  </si>
  <si>
    <t>University of Queensland; Newcastle University - UK; University of Western Australia; Scotland's Rural College</t>
  </si>
  <si>
    <t>Dennis, PG (corresponding author), Univ Queensland, Sch Earth &amp; Environm Sci, Brisbane, Qld 4072, Australia.</t>
  </si>
  <si>
    <t>p.dennis@uq.edu.au</t>
  </si>
  <si>
    <t>Dennis, Paul G/H-2141-2017</t>
  </si>
  <si>
    <t>O'Donnell, Tony/0000-0003-2001-4533; Hopkins, David/0000-0003-0953-8643</t>
  </si>
  <si>
    <t>NERC Antarctic Funding Initiative grant [NE/D00893X/1, AFI 7/05]; University of Queensland Early Career Researcher Award; NERC [bas0100036] Funding Source: UKRI</t>
  </si>
  <si>
    <t>NERC Antarctic Funding Initiative grant; University of Queensland Early Career Researcher Award; NERC(UK Research &amp; Innovation (UKRI)Natural Environment Research Council (NERC))</t>
  </si>
  <si>
    <t>This work was funded by a NERC Antarctic Funding Initiative grant (NE/D00893X/1; AFI 7/05). P.G. Dennis acknowledges support from a University of Queensland Early Career Researcher Award. Logistical support was provided by the British Antarctic Survey and the Royal Navy (HMS Endurance). P.T. Fretwell, V.A. Laudicina, V. Ord, P. Coates, M. Dunn, P. Torode, M. Jobson, A. Clark, J. Wake, R. Hall, G. Marshall, M. Biszczuk and K. Bazeley provided data and technical support. All are gratefully acknowledged.</t>
  </si>
  <si>
    <t>10.1038/s41598-019-39521-7</t>
  </si>
  <si>
    <t>HM6GC</t>
  </si>
  <si>
    <t>WOS:000459571100050</t>
  </si>
  <si>
    <t>Porobic, J; Fulton, EA; Parada, C; Frusher, S; Ernst, B; Manríquez, P</t>
  </si>
  <si>
    <t>Porobic, Javier; Fulton, Elizabeth A.; Parada, Carolina; Frusher, Stewart; Ernst, Billy; Manriquez, Pablo</t>
  </si>
  <si>
    <t>The impact of fishing on a highly vulnerable ecosystem, the case of Juan Fernandez Ridge ecosystem</t>
  </si>
  <si>
    <t>LOBSTER JASUS-EDWARDSII; CRAB CHACEON-CHILENSIS; ROBINSON-CRUSOE ISLAND; SEA SEAMOUNT FISHERIES; ROCK LOBSTER; HOPLOSTETHUS-ATLANTICUS; MARINE ECOSYSTEMS; SPINY LOBSTER; ORANGE ROUGHY; ARCHIPELAGO</t>
  </si>
  <si>
    <t>The Juan Fernandez Ridge (JFRE) is a vulnerable marine ecosystem (VME) located off the coast of central Chile formed by the Juan Fernandez Archipelago and a group of seamounts. This ecosystem has unique biological and oceanographic features, characterized by: small geographical units, high degree of endemism with a high degree of connectivity within the system. Two fleets have historically operated in this system: a long term coastal artisanal fishery associated with the Islands, focused mainly on lobster, and a mainland based industrial demersal finfish fishery operating on the seamounts which is currently considered overexploited. The management of these fisheries has been based on a classical single-species approach to determine output controls (industrial fleet) and a mixed management system with formal and informal components (artisanal fleet). There has been growing interest in increasing the exploitation of fisheries, and modernization of the fishing fleet already operating in the JFRE. Under this scenario of increased levels of fishing exploitation and the high level of interrelation of species it might be necessary to understand the impact of these fisheries from a holistic perspective based on a ecosystem-based modeling approach. To address these challenges we developed an Atlantis end-to-end model was configured for this ecosystem. The implemented model has a high degree of skill in representing the observed trends and fluctuations of the JFRE. The model shows that the industrial fishing has a localized impact and the artisanal fisheries have a relatively low impact on the ecosystem, mainly via the lobster fishery. The model indicates that the depletion of large sized lobster has leads to an increase in the population of sea urchins. Although this increase is not sufficient, as yet, to cause substantial flow-on effects to other groups, caution is advised in case extra pressure leads the ecosystem towards a regime shift.</t>
  </si>
  <si>
    <t>[Porobic, Javier] Inst Marine &amp; Antarctic Studies, Quantitat Marine Sci Program, Hobart, Tas, Australia; [Porobic, Javier; Fulton, Elizabeth A.] CSIRO Oceans &amp; Atmosphere, Hobart, Tas, Australia; [Porobic, Javier] Univ Tasmania, Inst Marine &amp; Antarctic Studies, Hobart, Tas, Australia; [Fulton, Elizabeth A.; Frusher, Stewart] Univ Tasmania, Ctr Marine Socioecol, Hobart, Tas, Australia; [Parada, Carolina] Univ Concepcion, Dept Geofis, Concepcion, Chile; [Parada, Carolina] Univ Concepcion, Inst Milenio Oceanog, Concepcion, Chile; [Parada, Carolina; Ernst, Billy] Univ CatoIica Norte, Dept Biol Marina, Millennium Nucleus Ecol &amp; Sustainable Management, Coquimbo, Chile; [Ernst, Billy; Manriquez, Pablo] Univ Concepcion, Dept Oceanog, Concepcion, Chile</t>
  </si>
  <si>
    <t>University of Tasmania; Commonwealth Scientific &amp; Industrial Research Organisation (CSIRO); University of Tasmania; University of Tasmania; Universidad de Concepcion; Universidad de Concepcion; Universidad de Concepcion</t>
  </si>
  <si>
    <t>Porobic, J (corresponding author), CSIRO Oceans &amp; Atmosphere, Hobart, Tas, Australia.;Porobic, J (corresponding author), Univ Tasmania, Inst Marine &amp; Antarctic Studies, Hobart, Tas, Australia.</t>
  </si>
  <si>
    <t>javier.porobicgarate@csiro.au</t>
  </si>
  <si>
    <t>Parada Véliz, Carolina/HXK-1997-2023; Porobic, Javier/ABE-7495-2021; Fulton, Beth/A-2871-2008</t>
  </si>
  <si>
    <t>Porobic, Javier/0000-0001-5642-5372; Parada Veliz, Carolina/0000-0003-1311-5563</t>
  </si>
  <si>
    <t>Commonwealth Scientific and Industrial Research Organization; Institute for Marine and Antarctic Studies, University of Tasmania; University of Tasmania</t>
  </si>
  <si>
    <t>This work was supported by The Commonwealth Scientific and Industrial Research Organization and the Institute for Marine and Antarctic Studies, University of Tasmania. The author Javier Porobic received a PhD scholarship, part of the Quantitative Marine Science program from the University of Tasmania and The Commonwealth Scientific and Industrial Research Organization. The funders had no role in study design, data collection and analysis, decision to publish, or preparation of the manuscript.</t>
  </si>
  <si>
    <t>FEB 22</t>
  </si>
  <si>
    <t>e0212485</t>
  </si>
  <si>
    <t>10.1371/journal.pone.0212485</t>
  </si>
  <si>
    <t>HM8DR</t>
  </si>
  <si>
    <t>WOS:000459709100076</t>
  </si>
  <si>
    <t>Boike, J; Nitzbon, J; Anders, K; Grigoriev, M; Bolshiyanov, D; Langer, M; Lange, S; Bornemann, N; Morgenstern, A; Schreiber, P; Wille, C; Chadburn, S; Gouttevin, I; Burke, E; Kutzbach, L</t>
  </si>
  <si>
    <t>Boike, Julia; Nitzbon, Jan; Anders, Katharina; Grigoriev, Mikhail; Bolshiyanov, Dmitry; Langer, Moritz; Lange, Stephan; Bornemann, Niko; Morgenstern, Anne; Schreiber, Peter; Wille, Christian; Chadburn, Sarah; Gouttevin, Isabelle; Burke, Eleanor; Kutzbach, Lars</t>
  </si>
  <si>
    <t>A 16-year record (2002-2017) of permafrost, active-layer, and meteorological conditions at the Samoylov Island Arctic permafrost research site, Lena River delta, northern Siberia: an opportunity to validate remote-sensing data and land surface, snow, and permafrost models</t>
  </si>
  <si>
    <t>TIME-DOMAIN REFLECTOMETRY; NET ECOSYSTEM EXCHANGE; POLYGONAL TUNDRA SITE; METHANE PRODUCTION; THERMAL DYNAMICS; ENERGY BALANCE; THAW PROCESSES; HIGH-LATITUDE; WATER-CONTENT; EMISSION</t>
  </si>
  <si>
    <t>Most of the world's permafrost is located in the Arctic, where its frozen organic carbon content makes it a potentially important influence on the global climate system. The Arctic climate appears to be changing more rapidly than the lower latitudes, but observational data density in the region is low. Permafrost thaw and carbon release into the atmosphere, as well as snow cover changes, are positive feedback mechanisms that have the potential for climate warming. It is therefore particularly important to understand the links between the energy balance, which can vary rapidly over hourly to annual timescales, and permafrost conditions, which changes slowly on decadal to centennial timescales. This requires long-term observational data such as that available from the Samoylov research site in northern Siberia, where meteorological parameters, energy balance, and subsurface observations have been recorded since 1998. This paper presents the temporal data set produced between 2002 and 2017, explaining the instrumentation, calibration, processing, and data quality control. Furthermore, we present a merged data set of the parameters, which were measured from 1998 onwards. Additional data include a high-resolution digital terrain model (DTM) obtained from terrestrial lidar laser scanning. Since the data provide observations of temporally variable parameters that influence energy fluxes between permafrost, active-layer soils, and the atmosphere (such as snow depth and soil moisture content), they are suitable for calibrating and quantifying the dynamics of permafrost as a component in earth system models. The data also include soil properties beneath different microtopographic features (a polygon centre, a rim, a slope, and a trough), yielding much-needed information on landscape heterogeneity for use in land surface modelling. For the record from 1998 to 2017, the average mean annual air temperature was -12.3 degrees C, with mean monthly temperature of the warmest month (July) recorded as 9.5 degrees C and for the coldest month (February) -32.7 degrees C. The average annual rainfall was 169 mm. The depth of zero annual amplitude is at 20.75 m. At this depth, the temperature has increased from -9.1 degrees C in 2006 to -7.7 degrees C in 2017. The presented data are freely available through the PANGAEA (https://doi.org/10.1594/PANGAEA.891142) and Zenodo (https://zenodo.org/record/2223709, last access: 6 February 2019) websites.</t>
  </si>
  <si>
    <t>[Boike, Julia; Nitzbon, Jan; Langer, Moritz; Lange, Stephan; Bornemann, Niko; Morgenstern, Anne; Schreiber, Peter] Alfred Wegener Inst, Helmholtz Ctr Polar &amp; Marine Res, Telegrafenberg A45, D-14473 Potsdam, Germany; [Boike, Julia; Nitzbon, Jan; Langer, Moritz] Humboldt Univ, Dept Geog, Unter Linden 6, D-10099 Berlin, Germany; [Nitzbon, Jan] Univ Oslo, Dept Geosci, Sem Saelands Vei 1, N-0316 Oslo, Norway; [Anders, Katharina] Heidelberg Univ, Inst Geog, Neuenheimer Feld 368, D-69120 Heidelberg, Germany; [Grigoriev, Mikhail] Russian Acad Sci, Siberian Branch, Melnikov Permafrost Inst, Merzlotnaya St 36, Yakutsk 677010, Russia; [Grigoriev, Mikhail] Russian Acad Sci, Siberian Branch, Trofimuk Inst Petr Geol &amp; Geophys, Koptyug St 3, Novosibirsk 630090, Russia; [Bolshiyanov, Dmitry] Arctic &amp; Antarctic Res Inst, 38 Beringa Str, St Petersburg 199397, Russia; [Wille, Christian] GFZ German Res Ctr Geosci, D-14473 Potsdam, Germany; [Chadburn, Sarah] Univ Leeds, Sch Earth &amp; Environm, Leeds LS2 9JT, W Yorkshire, England; [Chadburn, Sarah] Univ Exeter, Dept Math, Exeter EX4 4QF, Devon, England; [Gouttevin, Isabelle] Univ Toulouse, Univ Grenoble Alpes, Meteo France, Ctr Etud Neige,CNRS,CNRM, Grenoble, France; [Burke, Eleanor] Met Off Hadley Ctr, FitzRoy Rd, Exeter EX1 3PB, Devon, England; [Kutzbach, Lars] Univ Hamburg, Cluster Excellence CliSAP, Allende Pl 2, D-20146 Hamburg, Germany</t>
  </si>
  <si>
    <t>Helmholtz Association; Alfred Wegener Institute, Helmholtz Centre for Polar &amp; Marine Research; Humboldt University of Berlin; University of Oslo; Ruprecht Karls University Heidelberg; Melnikov Permafrost Institute, Siberian Branch of the RAS; Russian Academy of Sciences; Russian Academy of Sciences; Trofimuk Institute of Petroleum Geology &amp; Geophysics; Arctic &amp; Antarctic Research Institute; Helmholtz Association; Helmholtz-Center Potsdam GFZ German Research Center for Geosciences; University of Leeds; University of Exeter; Centre National de la Recherche Scientifique (CNRS); Meteo France; Communaute Universite Grenoble Alpes; Universite Grenoble Alpes (UGA); Met Office - UK; Hadley Centre; University of Hamburg</t>
  </si>
  <si>
    <t>Boike, J (corresponding author), Alfred Wegener Inst, Helmholtz Ctr Polar &amp; Marine Res, Telegrafenberg A45, D-14473 Potsdam, Germany.;Boike, J (corresponding author), Humboldt Univ, Dept Geog, Unter Linden 6, D-10099 Berlin, Germany.</t>
  </si>
  <si>
    <t>julia.boike@awi.de</t>
  </si>
  <si>
    <t>Nitzbon, Jan/AAG-8085-2020; Anders, Katharina/ADR-7694-2022; Wille, Christian/J-3657-2013; , Eleanor/AAK-2698-2020; Morgenstern, Anne/N-3648-2015; Boike, Julia/R-4766-2016; Boike, Julia/JZT-8129-2024; Kutzbach, Lars/L-5765-2015; Hofle, Bernhard/A-4702-2010</t>
  </si>
  <si>
    <t>Nitzbon, Jan/0000-0001-7205-6298; Anders, Katharina/0000-0001-5698-7041; Wille, Christian/0000-0003-0930-6527; Morgenstern, Anne/0000-0002-6466-7571; Boike, Julia/0000-0002-5875-2112; Boike, Julia/0000-0002-5875-2112; Kutzbach, Lars/0000-0003-2631-2742; Hofle, Bernhard/0000-0001-5849-1461; Bornemann, Niko/0000-0001-5415-509X; Chadburn, Sarah/0000-0003-1320-315X; Langer, Moritz/0000-0002-2704-3655; Lange, Stephan/0000-0002-9398-1041</t>
  </si>
  <si>
    <t>Helmholtz Association's ACROSS (Advanced Remote Sensing - Ground Truth Demo and Test Facilities) project</t>
  </si>
  <si>
    <t>Logistical support was provided by the Russian-German Samoylov Research Base (1998-2012) and the Russian Samoylov Island Research Station (2013-2017). Field support, including data collection, was provided by Konstanze Piel, Steffen Frey, Gunter Stoof, andWaldemar Schneider. We gratefully acknowledge the funding received from the Helmholtz Association's ACROSS (Advanced Remote Sensing - Ground Truth Demo and Test Facilities) project.</t>
  </si>
  <si>
    <t>10.5194/essd-11-261-2019</t>
  </si>
  <si>
    <t>HM4DE</t>
  </si>
  <si>
    <t>WOS:000459423100001</t>
  </si>
  <si>
    <t>Grand, MM; Laes-Huon, A; Fietz, S; Resing, JA; Obata, H; Luther, GW; Tagliabue, A; Achterberg, EP; Middag, R; Tovar-Sánchez, A; Bowie, AR</t>
  </si>
  <si>
    <t>Grand, Maxime M.; Laes-Huon, Agathe; Fietz, Susanne; Resing, Joseph A.; Obata, Hajime; Luther, George W., III; Tagliabue, Alessandro; Achterberg, Eric P.; Middag, Rob; Tovar-Sanchez, Antonio; Bowie, Andrew R.</t>
  </si>
  <si>
    <t>Developing Autonomous Observing Systems for Micronutrient Trace Metals</t>
  </si>
  <si>
    <t>trace metals; micronutrients; in situ chemical analyzers; in situ sensors; GEOTRACES; OceanObs'19; ocean observing time series</t>
  </si>
  <si>
    <t>FLOW-INJECTION-ANALYSIS; IN-SITU MEASUREMENTS; DISSOLVED IRON; UNDERWATER VEHICLE; REAL-TIME; PHYTOPLANKTON GROWTH; DUST DEPOSITION; CHELATING RESIN; COASTAL WATERS; SAGAMI BAY</t>
  </si>
  <si>
    <t>Trace metal micronutrients are integral to the functioning of marine ecosystems and the export of particulate carbon to the deep ocean. Although much progress has been made in mapping the distributions of metal micronutrients throughout the ocean over the last 30 years, there remain information gaps, most notable during seasonal transitions and in remote regions. The next challenge is to develop in situ sensing technologies necessary to capture the spatial and temporal variabilities of micronutrients characterized with short residence times, highly variable source terms, and sub-nanomolar concentrations in open ocean settings. Such an effort will allow investigation of the biogeochemical processes at the necessary resolution to constrain fluxes, residence times, and the biological and chemical responses to varying metal inputs in a changing ocean. Here, we discuss the current state of the art and analytical challenges associated with metal micronutrient determinations and highlight existing and emerging technologies, namely in situ chemical analyzers, electrochemical sensors, passive preconcentration samplers, and autonomous trace metal clean samplers, which could form the basis of autonomous observing systems for trace metals within the next decade. We suggest that several existing assets can already be deployed in regions of enhanced metal concentrations and argue that, upon further development, a combination of wet chemical analyzers with electrochemical sensors may provide the best compromise between analytical precision, detection limits, metal speciation, and longevity for autonomous open ocean determinations. To meet this goal, resources must be invested to: (1) improve the sensitivity of existing sensors including the development of novel chemical assays; (2) reduce sensor size and power requirements; (3) develop an open-source Do-It-Yourself infrastructure to facilitate sensor development, uptake by end-users and foster a mechanism by which scientists can rapidly adapt commercially available technologies to in situ applications; and (4) develop a community-led standardized protocol to demonstrate the endurance and comparability of in situ sensor data with established techniques. Such a vision will be best served through ongoing collaborations between trace metal geochemists, analytical chemists, the engineering community, and commercial partners, which will accelerate the delivery of new technologies for in situ metal sensing in the decade following OceanObs'19.</t>
  </si>
  <si>
    <t>[Grand, Maxime M.] Moss Landing Marine Labs, Pob 450, Moss Landing, CA 95039 USA; [Laes-Huon, Agathe] IFREMER, Unite Rech &amp; Dev Technol, Lab Detect Capteurs &amp; Mesures, Issy Les Moulineaux, France; [Fietz, Susanne] Stellenbosch Univ, Dept Earth Sci, Stellenbosch, South Africa; [Resing, Joseph A.] Univ Washington, Joint Inst Study Atmosphere &amp; Ocean, Seattle, WA 98195 USA; [Resing, Joseph A.] NOAA, Pacific Marine Environm Lab, 7600 Sand Point Way Ne, Seattle, WA 98115 USA; [Obata, Hajime] Univ Tokyo, Atmosphere &amp; Ocean Res Inst, Chiba, Japan; [Luther, George W., III] Univ Delaware, Sch Marine Sci &amp; Policy, Lewes, DE 19958 USA; [Tagliabue, Alessandro] Univ Liverpool, Sch Environm Sci, Liverpool, Merseyside, England; [Achterberg, Eric P.] GEOMAR Helmholtz Ctr Ocean Res Kiel, Kiel, Germany; [Middag, Rob] NIOZ Royal Netherlands Inst Sea Res, Dept Ocean Syst OCS, Texel, Netherlands; [Middag, Rob] Univ Utrecht, Texel, Netherlands; [Tovar-Sanchez, Antonio] ICMAN Inst Marine Sci Andalusia CSIC, Campus Univ Rio San Pedro, Cadiz, Spain; [Bowie, Andrew R.] Univ Tasmania, Inst Marine &amp; Antarctic Studies, Hobart, Tas, Australia; [Bowie, Andrew R.] Univ Tasmania, Antarctic Climate &amp; Ecosyst Cooperat Res Ctr, Hobart, Tas, Australia</t>
  </si>
  <si>
    <t>Moss Landing Marine Laboratories; Ifremer; Stellenbosch University; University of Washington; University of Washington Seattle; National Oceanic Atmospheric Admin (NOAA) - USA; University of Tokyo; University of Delaware; University of Liverpool; Helmholtz Association; GEOMAR Helmholtz Center for Ocean Research Kiel; Utrecht University; Royal Netherlands Institute for Sea Research (NIOZ); Utrecht University; Consejo Superior de Investigaciones Cientificas (CSIC); CSIC - Instituto de Ciencias Marinas de Andalucia (ICMAN); University of Tasmania; University of Tasmania; Antarctic Climate &amp; Ecosystems Cooperative Research Centre (ACE CRC)</t>
  </si>
  <si>
    <t>Grand, MM (corresponding author), Moss Landing Marine Labs, Pob 450, Moss Landing, CA 95039 USA.</t>
  </si>
  <si>
    <t>mgrand@mlml.calstate.edu</t>
  </si>
  <si>
    <t>Resing, Joseph A/J-6110-2017; Middag, Rob/D-6423-2013; Grand, Maxime/S-1898-2019; Luther, George/A-6384-2008; Tovar-Sánchez, Antonio/B-8003-2010; Achterberg, Eric P/C-5820-2009; Fietz, Susanne/A-8695-2012; Bowie, Andrew/C-8677-2013</t>
  </si>
  <si>
    <t>Resing, Joseph A/0000-0002-7334-4176; Grand, Maxime/0000-0001-9338-694X; Luther, George/0000-0002-0780-885X; Fietz, Susanne/0000-0003-0896-8385; Bowie, Andrew/0000-0002-5144-7799; Laes, Agathe/0000-0001-5758-0956; Tovar-Sanchez, Antonio/0000-0003-4375-1982</t>
  </si>
  <si>
    <t>Chemical Oceanography Program of NSF [OCE-1558738]; Joint Institute for the Study of the Atmosphere and Ocean (JISAO) under NOAA [NA15OAR432 0063]</t>
  </si>
  <si>
    <t>Chemical Oceanography Program of NSF(National Science Foundation (NSF)NSF - Directorate for Geosciences (GEO)); Joint Institute for the Study of the Atmosphere and Ocean (JISAO) under NOAA</t>
  </si>
  <si>
    <t>GL acknowledges support from the Chemical Oceanography Program of NSF (OCE-1558738). JR was supported by the Joint Institute for the Study of the Atmosphere and Ocean (JISAO) under NOAA Cooperative Agreement NA15OAR432 0063.</t>
  </si>
  <si>
    <t>FEB 21</t>
  </si>
  <si>
    <t>10.3389/fmars.2019.00035</t>
  </si>
  <si>
    <t>HQ8KA</t>
  </si>
  <si>
    <t>WOS:000462672400001</t>
  </si>
  <si>
    <t>Belcher, A; Henson, SA; Manno, C; Hill, SL; Atkinson, A; Thorpe, SE; Fretwell, P; Ireland, L; Tarling, GA</t>
  </si>
  <si>
    <t>Belcher, A.; Henson, S. A.; Manno, C.; Hill, S. L.; Atkinson, A.; Thorpe, S. E.; Fretwell, P.; Ireland, L.; Tarling, G. A.</t>
  </si>
  <si>
    <t>Krill faecal pellets drive hidden pulses of particulate organic carbon in the marginal ice zone</t>
  </si>
  <si>
    <t>ANTARCTIC KRILL; EUPHAUSIA-SUPERBA; VERTICAL FLUX; SCOTIA SEA; SOUTHERN-OCEAN; PARTICLE-FLUX; EXPORT FLUX; WEDDELL SEA; FOOD; RATES</t>
  </si>
  <si>
    <t>The biological carbon pump drives a flux of particulate organic carbon (POC) through the ocean and affects atmospheric levels of carbon dioxide. Short term, episodic flux events are hard to capture with current observational techniques and may thus be underrepresented in POC flux estimates. We model the potential hidden flux of POC originating from Antarctic krill, whose swarming behaviour could result in a major conduit of carbon to depth through their rapid exploitation of phytoplankton blooms and bulk egestion of rapidly sinking faecal pellets (FPs). Our model results suggest a seasonal krill FP export flux of 0.039 GT C across the Southern Ocean marginal ice zone, corresponding to 17-61% (mean 35%) of current satellite-derived export estimates for this zone. The magnitude of our conservatively estimated flux highlights the important role of large, swarming macrozooplankton in POC export and, the need to incorporate such processes more mechanistically to improve model projections.</t>
  </si>
  <si>
    <t>[Belcher, A.; Manno, C.; Hill, S. L.; Thorpe, S. E.; Fretwell, P.; Ireland, L.; Tarling, G. A.] British Antarctic Survey, Cambridge CB3 0ET, England; [Henson, S. A.] Natl Oceanog Ctr, Southampton SO14 3ZH, Hants, England; [Atkinson, A.] Plymouth Marine Lab, Prospect Pl, Plymouth PL1 3DH, Devon, England</t>
  </si>
  <si>
    <t>UK Research &amp; Innovation (UKRI); Natural Environment Research Council (NERC); NERC British Antarctic Survey; NERC National Oceanography Centre; Plymouth Marine Laboratory</t>
  </si>
  <si>
    <t>Belcher, A (corresponding author), British Antarctic Survey, Cambridge CB3 0ET, England.</t>
  </si>
  <si>
    <t>annbel@bas.ac.uk</t>
  </si>
  <si>
    <t>Henson, Stephanie/AAC-9709-2019; Atkinson, Angus/HOH-3417-2023; Simeon, Hill L/B-2307-2008</t>
  </si>
  <si>
    <t>Hill, Simeon/0000-0003-1441-8769; Belcher, Anna/0000-0002-9583-5910; Thorpe, Sally/0000-0002-5193-6955</t>
  </si>
  <si>
    <t>Ocean Ecosystems programme at British Antarctic Survey; UK Natural Environment Research Council [NE/M020835/1, NE/R015953/1]; European Research Council Consolidator grant (GOCART) [724416]; University of Southampton; NERC [NE/M020762/1, NE/M020835/1, bas010011, bas0100035, pml010004, pml010007, noc010009] Funding Source: UKRI; European Research Council (ERC) [724416] Funding Source: European Research Council (ERC)</t>
  </si>
  <si>
    <t>Ocean Ecosystems programme at British Antarctic Survey; UK Natural Environment Research Council(UK Research &amp; Innovation (UKRI)Natural Environment Research Council (NERC)); European Research Council Consolidator grant (GOCART)(European Research Council (ERC)); University of Southampton; NERC(UK Research &amp; Innovation (UKRI)Natural Environment Research Council (NERC)); European Research Council (ERC)(European Research Council (ERC)Spanish Government)</t>
  </si>
  <si>
    <t>We would like to thank all the crew and scientists involved in collecting the decades of krill density data used to create the KRILLBASE database. Anna Belcher, Geraint A. Tarling, Clara Manno, Sally E. Thorpe, and Simeon L. Hill were supported by the Ocean Ecosystems programme at British Antarctic Survey and a Large Grant from the UK Natural Environment Research Council (NE/M020835/1). Stephanie Henson was supported by a European Research Council Consolidator grant (GOCART, agreement number 724416). Angus Atkinson was funded through the UK Natural Environment Research Council through its National Capability grant number (NE/R015953/1). Additionally Anna Belcher was supported by a PhD studentship from the University of Southampton.</t>
  </si>
  <si>
    <t>10.1038/s41467-019-08847-1</t>
  </si>
  <si>
    <t>HM2IY</t>
  </si>
  <si>
    <t>WOS:000459284600006</t>
  </si>
  <si>
    <t>Antarctic voyage to explore ocean long hidden by ice</t>
  </si>
  <si>
    <t>10.1038/d41586-019-00588-x</t>
  </si>
  <si>
    <t>HM0EK</t>
  </si>
  <si>
    <t>WOS:000459119200015</t>
  </si>
  <si>
    <t>Stavert, AR; Law, RM; van der Schoot, M; Langenfelds, RL; Spencer, DA; Krummel, PB; Chambers, SD; Williams, AG; Werczynski, S; Francey, RJ; Howden, RT</t>
  </si>
  <si>
    <t>Stavert, Ann R.; Law, Rachel M.; van der Schoot, Marcel; Langenfelds, Ray L.; Spencer, Darren A.; Krummel, Paul B.; Chambers, Scott D.; Williams, Alistair G.; Werczynski, Sylvester; Francey, Roger J.; Howden, Russell T.</t>
  </si>
  <si>
    <t>The Macquarie Island (LoFlo2G) high-precision continuous atmospheric carbon dioxide record</t>
  </si>
  <si>
    <t>AIR MASSES; CO2; UNCERTAINTY; GASES</t>
  </si>
  <si>
    <t>The Southern Ocean (south of 30 degrees S) is a key global-scale sink of carbon dioxide (CO2). However, the isolated and inhospitable nature of this environment has restricted the number of oceanic and atmospheric CO2 measurements in this region. This has limited the scientific community's ability to investigate trends and seasonal variability of the sink. Compared to regions further north, the near-absence of terrestrial CO2 exchange and strong large-scale zonal mixing demands unusual inter-site measurement precision to help distinguish the presence of midlatitude to high latitude ocean exchange from large CO2 fluxes transported southwards in the atmosphere. Here we describe a continuous, in situ, ultra-high-precision Southern Ocean region CO2 record, which ran at Macquarie Island (54 degrees 37'S, 158 degrees 52'E) from 2005 to 2016 using a LoFlo2 instrument, along with its calibration strategy, uncertainty analysis and baseline filtering procedures. Uncertainty estimates calculated for minute and hourly frequency data range from 0.01 to 0.05 mu mol mol(-1) depending on the averaging period and application. Higher precisions are applicable when comparing Macquarie Island LoFlo measurements to those of similar instruments on the same internal laboratory calibration scale and more uncertain values are applicable when comparing to other networks. Baseline selection is designed to remove measurements that are influenced by local Macquarie Island CO2 sources, with effective removal achieved using a within-minute CO2 standard deviation metric. Additionally, measurements that are influenced by CO2 fluxes from Australia or other Southern Hemisphere land masses are effectively removed using model-simulated radon concentration. A comparison with flask records of atmospheric CO2 at Macquarie Island highlights the limitation of the flask record (due to corrections for storage time and limited temporal coverage) when compared to the new high-precision, continuous record: the new record shows much less noisy seasonal variations than the flask record. As such, this new record is ideal for improving our understanding of the spatial and temporal variability of the Southern Ocean CO2 flux, particularly when combined with data from similar instruments at other Southern Hemispheric locations.</t>
  </si>
  <si>
    <t>[Stavert, Ann R.; Law, Rachel M.; van der Schoot, Marcel; Langenfelds, Ray L.; Spencer, Darren A.; Krummel, Paul B.; Francey, Roger J.; Howden, Russell T.] CSIRO Oceans &amp; Atmosphere, Aspendale, Vic 3195, Australia; [Chambers, Scott D.; Williams, Alistair G.; Werczynski, Sylvester] Australian Nucl Sci &amp; Technol Org, Kirawee, NSW 2232, Australia</t>
  </si>
  <si>
    <t>Commonwealth Scientific &amp; Industrial Research Organisation (CSIRO); Australian Nuclear Science &amp; Technology Organisation</t>
  </si>
  <si>
    <t>Stavert, AR (corresponding author), CSIRO Oceans &amp; Atmosphere, Aspendale, Vic 3195, Australia.</t>
  </si>
  <si>
    <t>ann.stavert@csiro.au</t>
  </si>
  <si>
    <t>Williams, Alastair/N-3193-2019; , Scott/AAI-6917-2020; Law, Rachel/AAV-1949-2020; Francey, Roger J/A-2345-2012; Stavert, Ann R/M-1080-2018; Krummel, Paul B/A-4293-2013; Langenfelds, Ray/B-5381-2012</t>
  </si>
  <si>
    <t>Williams, Alastair/0000-0002-0568-8487; Law, Rachel/0000-0002-7346-0927; Krummel, Paul B/0000-0002-4884-3678; Stavert, Ann/0000-0002-4857-2134; Chambers, Scott/0000-0002-2521-959X; Langenfelds, Ray/0000-0003-4890-2049</t>
  </si>
  <si>
    <t>Australian Government Department of the Environment; Bureau of Meteorology; CSIRO through the Australian Climate Change Science Programme; CSIRO; Australian Antarctic Division [4167]</t>
  </si>
  <si>
    <t>Australian Government Department of the Environment(Australian Government); Bureau of Meteorology(Bureau of Meteorology - Australia); CSIRO through the Australian Climate Change Science Programme; CSIRO(Commonwealth Scientific &amp; Industrial Research Organisation (CSIRO)); Australian Antarctic Division</t>
  </si>
  <si>
    <t>The authors would like to thank L. Paul Steele for his simulating discussions and suggestions in relation to this paper and acknowledge his significant involvement in the development and calibration of the LoFlo system and the GASLAB flask sampling programme. This research was funded in part by the Australian Government Department of the Environment, the Bureau of Meteorology, and CSIRO through the Australian Climate Change Science Programme and directly by CSIRO. The authors would also like to acknowledge the in-kind support of the Australian Antarctic Division, under project no. 4167 Greenhouse gases in the southern atmosphere, and the Australian Bureau of Meteorology. CCAM modelling was undertaken on the NCI National Facility in Canberra, Australia, which is supported by the Australian Commonwealth Government. Back trajectories were calculated using the HYSPLIT transport and dispersion model from NOAA Air Resources Laboratory. Ot Sisoutham has provided support to the Macquarie Island and Southern Ocean radon programme. Maps used in Fig. 1 are courtesy of the Australian Antarctic Division.</t>
  </si>
  <si>
    <t>10.5194/amt-12-1103-2019</t>
  </si>
  <si>
    <t>HM2RX</t>
  </si>
  <si>
    <t>WOS:000459317900001</t>
  </si>
  <si>
    <t>Prohira, S; Novikov, A; Besson, DZ; Ratzlaff, K; Stockham, J; Stockham, M; Clem, JM; Young, R; Gorha, PW; Allison, P; Banerjee, O; Batten, L; Beatty, JJ; Belov, K; Binns, WR; Bugaev, V; Cao, P; Chen, C; Chen, P; Connolly, A; Cremonesi, L; Dailey, B; Deaconu, C; Dowkontt, PF; Fox, BD; Gordon, J; Hast, C; Hill, B; Hupe, R; Israel, MH; Kowalski, J; Lam, J; Learned, JG; Liewer, KM; Liu, TC; Ludwig, A; Matsuno, S; Miki, C; Mottram, M; Mulrey, K; Nam, J; Nichol, RJ; Oberla, E; Rauch, BF; Roberts, J; Romero-Wolf, A; Rotter, B; Russell, J; Saltzberg, D; Schoorlemmer, H; Seckel, D; Stafford, S; Strutt, B; Tatem, K; Varner, GS; Vieregg, AG; Wissel, SA; Wu, F</t>
  </si>
  <si>
    <t>Prohira, S.; Novikov, A.; Besson, D. Z.; Ratzlaff, K.; Stockham, J.; Stockham, M.; Clem, J. M.; Young, R.; Gorha, P. W.; Allison, P.; Banerjee, O.; Batten, L.; Beatty, J. J.; Belov, K.; Binns, W. R.; Bugaev, V; Cao, P.; Chen, C.; Chen, P.; Connolly, A.; Cremonesi, L.; Dailey, B.; Deaconu, C.; Dowkontt, P. F.; Fox, B. D.; Gordon, J.; Hast, C.; Hill, B.; Hupe, R.; Israel, M. H.; Kowalski, J.; Lam, J.; Learned, J. G.; Liewer, K. M.; Liu, T. C.; Ludwig, A.; Matsuno, S.; Miki, C.; Mottram, M.; Mulrey, K.; Nam, J.; Nichol, R. J.; Oberla, E.; Rauch, B. F.; Roberts, J.; Romero-Wolf, A.; Rotter, B.; Russell, J.; Saltzberg, D.; Schoorlemmer, H.; Seckel, D.; Stafford, S.; Strutt, B.; Tatem, K.; Varner, G. S.; Vieregg, A. G.; Wissel, S. A.; Wu, F.</t>
  </si>
  <si>
    <t>HiCal 2: An instrument designed for calibration of the ANITA experiment and for Antarctic surface reflectivity measurements</t>
  </si>
  <si>
    <t>NUCLEAR INSTRUMENTS &amp; METHODS IN PHYSICS RESEARCH SECTION A-ACCELERATORS SPECTROMETERS DETECTORS AND ASSOCIATED EQUIPMENT</t>
  </si>
  <si>
    <t>Radio; Antarctica; Ice properties; High-voltage; Pulse; Pulser</t>
  </si>
  <si>
    <t>The NASA supported High-Altitude Calibration (HiCal)-2 instrument flew as a companion balloon to the ANITA-4 experiment in December 2016. Based on a high-voltage (HV) discharge pulser producing radio-frequency (RF) calibration pulses, HiCal-2 comprised two payloads, which flew for a combined 18 days, covering 1.5 revolutions of the Antarctic continent. ANITA-4 captured over 10,000 pulses from HiCal-2, both direct and reflected from the surface, at distances varying from 100-700 km, providing a large dataset for surface reflectivity measurements. Herein we present details on the design, construction and performance of HiCal-2.</t>
  </si>
  <si>
    <t>[Dowkontt, P. F.; Lam, J.; Saltzberg, D.; Strutt, B.; Wu, F.] Univ Calif Los Angeles, Dept Phys &amp; Astron, Los Angeles, CA 90095 USA; [Allison, P.; Banerjee, O.; Beatty, J. J.; Connolly, A.; Dailey, B.; Gordon, J.; Hupe, R.; Stafford, S.] Ohio State Univ, Dept Phys, Columbus, OH 43210 USA; [Gorha, P. W.; Fox, B. D.; Hill, B.; Kowalski, J.; Learned, J. G.; Matsuno, S.; Miki, C.; Roberts, J.; Rotter, B.; Russell, J.; Schoorlemmer, H.; Tatem, K.; Varner, G. S.] Univ Hawaii, Dept Phys &amp; Astron, Manoa, HI 96822 USA; [Chen, C.; Chen, P.; Liu, T. C.; Nam, J.] Natl Taiwan Univ, Grad Inst Astrophys, Dept Phys, Taipei, Taiwan; [Chen, C.; Chen, P.; Liu, T. C.; Nam, J.] Natl Taiwan Univ, Leung Ctr Cosmol &amp; Particle Astrophys, Taipei, Taiwan; [Prohira, S.; Novikov, A.; Besson, D. Z.; Ratzlaff, K.; Stockham, J.; Stockham, M.; Young, R.] Univ Kansas, Dept Phys &amp; Astron, Lawrence, KS 66045 USA; [Binns, W. R.; Bugaev, V; Israel, M. H.; Rauch, B. F.] Washington Univ, Dept Phys, St Louis, MO 63130 USA; [Hast, C.] SLAG Natl Accelerator Lab, Menlo Pk, CA 94025 USA; [Clem, J. M.; Cao, P.; Mulrey, K.; Seckel, D.] Univ Delaware, Dept Phys, Newark, DE 19716 USA; [Batten, L.; Cremonesi, L.; Mottram, M.; Nichol, R. J.] UCL, Dept Phys &amp; Astron, London, England; [Belov, K.; Liewer, K. M.; Romero-Wolf, A.] Jet Prop Lab, Pasadena, CA 91109 USA; [Allison, P.; Beatty, J. J.; Connolly, A.] Ohio State Univ, Ctr Cosmol &amp; Particle Astrophys, Columbus, OH 43210 USA; [Deaconu, C.; Ludwig, A.; Oberla, E.; Vieregg, A. G.] Univ Chicago, Enrico Fermi Inst, Kavli Inst Cosmol Phys, Dept Phys, Chicago, IL 60637 USA; [Wissel, S. A.] Calif Polytech State Univ San Luis Obispo, Dept Phys, San Luis Obispo, CA 93407 USA; [Novikov, A.; Besson, D. Z.] Natl Res Nucl Univ, Moscow Engn Phys Inst, 31 Kashirskoye Highway, Moscow 115409, Russia; [Prohira, S.] Ohio State Univ, Columbus, OH 43210 USA</t>
  </si>
  <si>
    <t>University of California System; University of California Los Angeles; University System of Ohio; Ohio State University; University of Hawaii System; University of Hawaii Manoa; National Taiwan University; National Taiwan University; University of Kansas; Washington University (WUSTL); Stanford University; United States Department of Energy (DOE); SLAC National Accelerator Laboratory; University of Delaware; University of London; University College London; National Aeronautics &amp; Space Administration (NASA); NASA Jet Propulsion Laboratory (JPL); University System of Ohio; Ohio State University; University of Chicago; California State University System; California Polytechnic State University San Luis Obispo; National Research Nuclear University MEPhI (Moscow Engineering Physics Institute); University System of Ohio; Ohio State University</t>
  </si>
  <si>
    <t>Prohira, S (corresponding author), Univ Kansas, Dept Phys &amp; Astron, Lawrence, KS 66045 USA.;Prohira, S (corresponding author), Ohio State Univ, Columbus, OH 43210 USA.</t>
  </si>
  <si>
    <t>prohira.1@osu.edu</t>
  </si>
  <si>
    <t>Belov, Konstantin V/D-2520-2013; Novikov, Alexander S/L-7538-2016; Nichol, Ryan/C-1645-2008; Chen, Pisin/IAO-8769-2023; Beatty, James/D-9310-2011</t>
  </si>
  <si>
    <t>Belov, Konstantin V/0000-0002-8861-110X; Nichol, Ryan/0000-0003-0557-0443; Chen, Pisin/0000-0001-5251-7210; Beatty, James/0000-0003-0481-4952; Mulrey, Katharine/0000-0001-8026-8020; Deaconu, Cosmin/0000-0002-4953-6397; Gorham, Peter/0000-0002-0923-9363; Ludwig, Andrew/0000-0001-9038-4375; Novikov, Alexander/0000-0002-1086-7252; Allison, Patrick/0000-0001-8141-2653; Wissel, Stephanie/0000-0003-0569-6978; Cremonesi, Linda/0000-0003-0711-1056; Tatem, Kathleen V./0000-0002-3097-6018</t>
  </si>
  <si>
    <t>NASA (United States) [NNX15AC20G]; U.S. National Science Foundation Office of Polar Programs; STFC [ST/N000285/1, PP/E006876/1] Funding Source: UKRI</t>
  </si>
  <si>
    <t>NASA (United States)(National Aeronautics &amp; Space Administration (NASA)); U.S. National Science Foundation Office of Polar Programs(National Science Foundation (NSF)); STFC(UK Research &amp; Innovation (UKRI)Science &amp; Technology Facilities Council (STFC))</t>
  </si>
  <si>
    <t>This work was supported by NASA (United States) grant number NNX15AC20G and the U.S. National Science Foundation Office of Polar Programs. The authors would like to thank CSBF's engineers and launch team for their excellent mission support, A. Hase and the U. of Kansas machine shop, and J. Roth of U. of Delaware.</t>
  </si>
  <si>
    <t>0168-9002</t>
  </si>
  <si>
    <t>1872-9576</t>
  </si>
  <si>
    <t>NUCL INSTRUM METH A</t>
  </si>
  <si>
    <t>Nucl. Instrum. Methods Phys. Res. Sect. A-Accel. Spectrom. Dect. Assoc. Equip.</t>
  </si>
  <si>
    <t>10.1016/j.nima.2018.11.092</t>
  </si>
  <si>
    <t>Instruments &amp; Instrumentation; Nuclear Science &amp; Technology; Physics, Nuclear; Physics, Particles &amp; Fields</t>
  </si>
  <si>
    <t>Instruments &amp; Instrumentation; Nuclear Science &amp; Technology; Physics</t>
  </si>
  <si>
    <t>HI6BQ</t>
  </si>
  <si>
    <t>Green Submitted, hybrid</t>
  </si>
  <si>
    <t>WOS:000456538600007</t>
  </si>
  <si>
    <t>Genomic and metatranscriptomic analyses of carbon remineralization in an Antarctic polynya</t>
  </si>
  <si>
    <t>AMUNDSEN SEA POLYNYA; MARINE BACTERIOPLANKTON; METABOLIC VERSATILITY; SPATIAL-DISTRIBUTION; PHYTOPLANKTON BLOOM; PHAEOCYSTIS BLOOMS; READ ALIGNMENT; NORTH-SEA; BACTERIA; RNA</t>
  </si>
  <si>
    <t>Polynyas in the Southern Ocean are regions of intense primary production, mainly by Phaeocystis antarctica. Carbon fixed by phytoplankton in the water column is transferred to higher trophic levels, and finally, to the deep ocean. However, in the Amundsen Sea, most of this organic carbon does not reach the sediment but is degraded in the water column due to high bacterial heterotrophic activity. We reconstructed 12 key bacterial genomes from different phases of bloom and analyzed the expression of genes involved in organic carbon remineralization. A high correlation of gene expression between the peak and decline phases was observed in an individual genome bin-based pairwise comparison of gene expression. Polaribacter belonging to Bacteroidetes was found to be dominant in the peak phase, and its transcriptional activity was high (48.9% of the total mRNA reads). Two dominant Polaribacter bins had the potential to utilize major polymers in P. antarctica, chrysolaminarin and xylan, with a distinct set of glycosyl hydrolases. In the decline phase, Gammaproteobacteria (Ant4D3, SUP05, and SAR92), with the potential to utilize low molecular weight-dissolved organic matter (LMW-DOM) including compatible solutes, was increased. The versatility of Gammaproteobacteria may contribute to their abundance in organic carbon-rich polynya waters, while the SAR11 clade was found to be predominant in the sea ice-covered oligotrophic ocean. SAR92 clade showed transcriptional activity for utilization of both polysaccharides and LMW-DOM; this may account for their abundance both in the peak and decline phases. Ant4D3 clade was dominant in all phases of the polynya bloom, implicating the crucial roles of this clade in LMW-DOM remineralization in the Antarctic polynyas. Genomic reconstruction and in situ gene expression analyses revealed the unique metabolic potential of dominant bacteria of the Antarctic polynya at a finer taxonomic level. The information can be used to predict temporal community succession linked to the availability of substrates derived from the P. antarctica bloom. Global warming has resulted in compositional changes in phytoplankton from P. antarctica to diatoms, and thus, repeated parallel studies in various polynyas are required to predict global warming-related changes in carbon remineralization.</t>
  </si>
  <si>
    <t>[Kim, So-Jeong] Korea Inst Geosci &amp; Mineral Resources, Geol Environm Res Div, Daejeon 34132, South Korea; [Kim, Jong-Geol; Gwak, Joo-Han; Rhee, Sung-Keun] Chungbuk Natl Univ, Dept Microbiol, Cheongju 28644, South Korea; [Lee, Sang-Hoon; Yang, Eun-Jin; Park, Jisoo; Jung, Jinyoung] Korea Polar Res Inst, Div Polar Ocean Environm, Incheon 21990, South Korea; [Park, Soo-Je] Jeju Natl Univ, Dept Biol, Jeju 63243, South Korea; [Jung, Man-Young] Univ Vienna, Dept Microbial Ecol, A-1090 Vienna, Austria; [Chung, Won-Hyung] Korea Food Res Inst, Res Grp Gut Microbiome, Sungnam 13539, South Korea; [Hahn, Yoonsoo] Chung Ang Univ, Dept Life Sci, Seoul 06974, South Korea; [Cho, Jang-Cheon] Inha Univ, Dept Biol Sci, Incheon 22212, South Korea; [Madsen, Eugene L.] Cornell Univ, Dept Microbiol, Ithaca, NY 14853 USA; [Rodriguez-Valera, Francisco] Univ Miguel Hernandez, Div Microbiol, Evolutionary Genom Grp, Apartado 18, Alicante, Spain; [Hyun, Jung-Ho] Hanyang Univ, Dept Marine Sci &amp; Convergence Engn, ERICA Campus, Ansan 15588, South Korea</t>
  </si>
  <si>
    <t>Park, SJ/AAB-1372-2020; Joo-Han, Gwak/GLN-3052-2022; Cho, Jang-Cheon/B-4676-2013; Rodriguez-Valera, Francisco/M-2782-2013</t>
  </si>
  <si>
    <t>Joo-Han, Gwak/0000-0002-0464-4722; Rodriguez-Valera, Francisco/0000-0002-9809-2059; Yang, Eun Jin/0000-0002-8639-5968</t>
  </si>
  <si>
    <t>National Research Foundation of Korea - Ministry of Science and ICT [NRF-2015M3D3A1A01064881, NRF-2015R1A4A1041869, NRF-2018R1A2B6008861]; Korea Polar Research Institute [PE19060]; National Research Foundation of Korea [NRF-2016R1C1B1010946]</t>
  </si>
  <si>
    <t>National Research Foundation of Korea - Ministry of Science and ICT(National Research Foundation of KoreaMinistry of Science, ICT &amp; Future Planning, Republic of Korea); Korea Polar Research Institute(Korea Polar Research Institute of Marine Research Placement (KOPRI)); National Research Foundation of Korea(National Research Foundation of Korea)</t>
  </si>
  <si>
    <t>This work was supported by National Research Foundation of Korea grants (NRF-2015M3D3A1A01064881, NRF-2015R1A4A1041869 and NRF-2018R1A2B6008861) funded by the Ministry of Science and ICT and a grant (PE19060) from the Korea Polar Research Institute. S.-J.K was supported by a grant from National Research Foundation of Korea grants (NRF-2016R1C1B1010946).</t>
  </si>
  <si>
    <t>FEB 20</t>
  </si>
  <si>
    <t>10.1186/s40168-019-0643-4</t>
  </si>
  <si>
    <t>HM6DD</t>
  </si>
  <si>
    <t>WOS:000459563300001</t>
  </si>
  <si>
    <t>Tovar-Sánchez, A; González-Ortegón, E; Duarte, CM</t>
  </si>
  <si>
    <t>Tovar-Sanchez, Antonio; Gonzalez-Ortegon, Enrique; Duarte, Carlos M.</t>
  </si>
  <si>
    <t>Trace metal partitioning in the top meter of the ocean</t>
  </si>
  <si>
    <t>Trace metals; Surface-ocean; Sea surface microlayer; Aerosol deposition; Ice; Arctic; Antarctic</t>
  </si>
  <si>
    <t>SEA-SURFACE MICROLAYER; ENRICHMENT; ABUNDANCE; ATLANTIC; ELEMENTS; IRON</t>
  </si>
  <si>
    <t>Understanding the biogeochemical cycles and distribution of trace elements in the marine environment is one of the main challenges in chemical oceanography. We describe herein the trace metal composition of the uppermost surface ocean of various oceanographic regions (Arctic and Southern Oceans, subtropical Atlantic Ocean, and Mediterranean Sea). Our results show that trace metals in the top meter of the ocean are found in two clearly differentiated layers according to metal abundance and stoichiometry, namely the surface microlayer (SML) and its underlying subsurface water (SSW). Although metal concentrations in the subsurface dissolved fractions vary regionally and globally, it shows a singular metal stoichiometric signature. This work emphasizes the need to study of the SML as unique compartment to improve our understanding of the biogeochemical cycle of trace metals in the surface ocean, especially for metals, such as Pb, Fe and Cu, which are abundant in the SML. (C) 2018 Elsevier B.V. All rights reserved.</t>
  </si>
  <si>
    <t>[Tovar-Sanchez, Antonio; Gonzalez-Ortegon, Enrique] ICMAN Inst Ciencias Marinas Andalucia CSIC, Campus Univ Rio San Pedro, Cadiz 11510, Spain; [Gonzalez-Ortegon, Enrique] CEI MAR Int Campus Excellence Sea, Campus Univ Rio San Pedro, Cadiz 11510, Spain; [Duarte, Carlos M.] King Abdullah Univ Sci &amp; Technol KAUST, Red Sea Res Ctr RSRC, Thuwal 239556900, Saudi Arabia</t>
  </si>
  <si>
    <t>Consejo Superior de Investigaciones Cientificas (CSIC); CSIC - Instituto de Ciencias Marinas de Andalucia (ICMAN); King Abdullah University of Science &amp; Technology</t>
  </si>
  <si>
    <t>Tovar-Sánchez, A (corresponding author), Inst Ciencias Marinas Andalucia CSIC, Campus Univ Rio San Pedro, Cadiz 11519, Spain.</t>
  </si>
  <si>
    <t>a.tovar@csic.es</t>
  </si>
  <si>
    <t>Tovar-Sánchez, Antonio/B-8003-2010; Duarte, Carlos M/A-7670-2013; Duarte Quesada, Carlos Manuel/ABD-6208-2021; Gonzalez-Ortegon, Enrique/L-7292-2014</t>
  </si>
  <si>
    <t>Duarte, Carlos M/0000-0002-1213-1361; Gonzalez-Ortegon, Enrique/0000-0002-0282-499X; Tovar-Sanchez, Antonio/0000-0003-4375-1982</t>
  </si>
  <si>
    <t>EU-FP6 [CTM2005-24238-E]; Spanish Ministry of Science and Innovation [POL2006-00550/CTM]; Spanish MEC National Plan [CTM2004-06842-C03-02/MAR]; CEI-MAR</t>
  </si>
  <si>
    <t>EU-FP6(European Union (EU)); Spanish Ministry of Science and Innovation(Spanish Government); Spanish MEC National Plan; CEI-MAR</t>
  </si>
  <si>
    <t>This research is a contribution to future projects: i) THRESHOLDS project (CTM2005-24238-E) funded by the EU-FP6; ii) ATOS project, funded as part of the Spanish contribution to the International Polar Year (IPY) by the Spanish Ministry of Science and Innovation (POL2006-00550/CTM). This project is a contribution to the GEOTRACES cluster of the IPY; iii) RODA project: funded by the Spanish MEC National Plan (CTM2004-06842-C03-02/MAR); Financial support to E. G-O was given by CEI-MAR. The data used are listed in the references, figures, tables, and supplements. We thank the crew of the R/V Hesperides and BIO Garcia del Cid for their dedicated and professional assistance, and the personnel of the UTM for their highly professional technical support.</t>
  </si>
  <si>
    <t>10.1016/j.scitotenv.2018.10.315</t>
  </si>
  <si>
    <t>HF7KP</t>
  </si>
  <si>
    <t>WOS:000454418500084</t>
  </si>
  <si>
    <t>Webb, AL; van Leeuwe, MA; den Os, D; Meredith, MP; Venables, HJ; Stefels, J</t>
  </si>
  <si>
    <t>Webb, A. L.; van Leeuwe, M. A.; den Os, D.; Meredith, M. P.; Venables, H. J.; Stefels, J.</t>
  </si>
  <si>
    <t>Extreme spikes in DMS flux double estimates of biogenic sulfur export from the Antarctic coastal zone to the atmosphere</t>
  </si>
  <si>
    <t>SEA-ICE; DIMETHYL SULFIDE; MARGUERITE BAY; OCEANIC PHYTOPLANKTON; SOUTHERN-OCEAN; CLIMATE-CHANGE; GAS-EXCHANGE; RYDER BAY; ROSS SEA; WEST</t>
  </si>
  <si>
    <t>Biogenic dimethylsulfide (DMS) is a significant contributor to sulfur flux from the oceans to the atmosphere, and the most significant source of aerosol non sea-salt sulfate (NSS-SO42-), a key regulator of global climate. Here we present the longest running time-series of DMS-water (DMSW) concentrations in the world, obtained at the Rothera Time-Series (RaTS) station in Ryder Bay, West Antarctic Peninsula (WAP). We demonstrate the first ever evaluation of interseasonal and interannual variability in DMSW and associated flux to the atmosphere from the Antarctic coastal zone and determine the scale and importance of the region as a significant source of DMS. Impacts of climate modes such as El Nino/Southern Oscillation are evaluated. Maximum DMSW concentrations occurred annually in January and were primarily associated with sea-ice break-up. These concentrations resulted in extremely high (up to 968 mu mol m(-2) d(-1)) DMS flux over short timescales, which are not parameterised in global-scale DMS climatologies. Calculated DMS flux stayed above the aerosol nucleation threshold of 2.5 mu mol m(-2) d(-1) for 60% of the year. Overall, using flux determinations from this study, the total flux of DMS-sulfur from the Austral Polar Province (APLR) was 1.1 Tg sulfur yr(-1), more than double the figure suggested by the most recent DMS climatologies.</t>
  </si>
  <si>
    <t>[Webb, A. L.] Univ Warwick, Sch Life Sci, Coventry CV4 7AL, W Midlands, England; [Webb, A. L.; van Leeuwe, M. A.; den Os, D.; Stefels, J.] Univ Groningen, GELIFES, NL-9700 CC Groningen, Netherlands; [den Os, D.] Hanze Univ Appl Sci, Inst Life Sci &amp; Technol, NL-9700 RM Groningen, Netherlands; [Meredith, M. P.; Venables, H. J.] British Antarctic Survey, Cambridge CB3 0ET, England</t>
  </si>
  <si>
    <t>University of Warwick; University of Groningen; UK Research &amp; Innovation (UKRI); Natural Environment Research Council (NERC); NERC British Antarctic Survey</t>
  </si>
  <si>
    <t>Webb, AL (corresponding author), Univ Warwick, Sch Life Sci, Coventry CV4 7AL, W Midlands, England.;Webb, AL (corresponding author), Univ Groningen, GELIFES, NL-9700 CC Groningen, Netherlands.</t>
  </si>
  <si>
    <t>alison.webb@warwick.ac.uk</t>
  </si>
  <si>
    <t>Meredith, Michael/0000-0002-7342-7756</t>
  </si>
  <si>
    <t>Netherlands Organisation for Scientific Research (NWO) under the Polar Program (NPP) [866.10.101, 866.14.101]; Natural Environment Research Council via National Capability support to the British Antarctic Survey; NERC [bas0100033] Funding Source: UKRI</t>
  </si>
  <si>
    <t>Netherlands Organisation for Scientific Research (NWO) under the Polar Program (NPP); Natural Environment Research Council via National Capability support to the British Antarctic Survey; NERC(UK Research &amp; Innovation (UKRI)Natural Environment Research Council (NERC))</t>
  </si>
  <si>
    <t>Funding for this study was provided by the Netherlands Organisation for Scientific Research (NWO) under the Polar Program (NPP) Project Numbers 866.10.101 and 866.14.101. RaTS is funded by the Natural Environment Research Council via National Capability support to the British Antarctic Survey. We are grateful to the scientific and technical staff at the British Antarctic Survey Rothera Station, and, in particular, the Dutch Program winter research assistants Amber Annett, Mairi Fenton and Emily Davey.</t>
  </si>
  <si>
    <t>FEB 19</t>
  </si>
  <si>
    <t>10.1038/s41598-019-38714-4</t>
  </si>
  <si>
    <t>HL9WH</t>
  </si>
  <si>
    <t>WOS:000459092800003</t>
  </si>
  <si>
    <t>Acuña-Rodríguez, IS; Hansen, H; Gallardo-Cerda, J; Atala, C; Molina-Montenegro, MA</t>
  </si>
  <si>
    <t>Acuna-Rodriguez, Ian S.; Hansen, Hermann; Gallardo-Cerda, Jorge; Atala, Cristian; Molina-Montenegro, Marco A.</t>
  </si>
  <si>
    <t>Antarctic Extremophiles: Biotechnological Alternative to Crop Productivity in Saline Soils</t>
  </si>
  <si>
    <t>extremophiles; Antarctica; functional symbiosis; crops; food security; salt tolerance</t>
  </si>
  <si>
    <t>GROWTH-PROMOTING RHIZOBACTERIA; PLANT SALT TOLERANCE; FUNGAL ENDOPHYTES; DARK-SEPTATE; PHYSIOLOGICAL PERFORMANCE; SINORHIZOBIUM-MELILOTI; STRESS; DROUGHT; PROLINE; HOMEOSTASIS</t>
  </si>
  <si>
    <t>Salinization of soils is one of the main sources of soil degradation worldwide, particularly in arid and semiarid ecosystems. High salinity results in osmotic stress and it can negatively impact plant grow and survival. Some plant species, however, can tolerate salinity by accumulating osmolytes like proline and maintaining low Na+ concentrations inside the cells. Another mechanism of saline stress tolerance is the association with symbiotic microorganism, an alternative that can be used as a biotechnological tool in susceptible crops. From the immense diversity of plant symbionts, those found in extreme environments such as Antarctica seems to be the ones with most potential since they (and their host) evolved in harsh and stressful conditions. We evaluated the effect of the inoculation with a consortium of plant growth-promoting rhizobacteria (PGPB) and endosymbiotic fungi isolated from an Antarctic plant on saline stress tolerance in different crops. To test this we established 4 treatments: (i) uninoculated plants with no saline stress, (ii) uninoculated plants subjected to saline stress (200 mM NaCl), (iii) plants inoculated with the microorganism consortium with no saline stress, and (iv) inoculated plants subjected to saline stress. First, we assessed the effect of symbiont consortium on survival of four different crops (cayenne, lettuce, onion, and tomato) in order to obtain a more generalized response of this biological interaction. Second, in order to deeply the mechanisms involved in salt tolerance, in lettuce plants we measured the ecophysiological performance (F-v/F-m) and lipid peroxidation to estimate the impact of saline stress on plants. We also measured proline accumulation and NHX1 antiporter gene expression (involved in Na+ detoxification) to search for possible mechanism of stress tolerance. Additionally, root, shoot, and total biomass was also obtained as an indicator of productivity. Overall, plants inoculated with microorganisms from Antarctica increased the fitness related traits in several crops. In fact, three of four crops selected to assess the general response increased its survival under salt conditions compared with those uninoculated plants. On the other hand, saline stress negatively impacted all measured trait, but inoculated plants were significantly less affected. In control osmotic conditions, there were no differences in proline accumulation and lipid peroxidation between inoculation treatments. Interestingly, even in control salinity, F-v/F-m was higher in inoculated plants after 30 and 60 days. Under osmotic stress, F-v/F-m, proline accumulation and NHX1 expression was significantly higher and lipid peroxidation lower in inoculated plants compared to uninoculated individuals. Moreover, inoculated plants exposed to saline stress had a similar final biomass (whole plant) compared to individuals under no stress. We conclude that Antarctic extremophiles can effectively reduce the physiological impact of saline stress in a salt-susceptible crops and also highlight extreme environments such as Antarctica as a key source of microorganism with high biotechnological potential.</t>
  </si>
  <si>
    <t>[Acuna-Rodriguez, Ian S.; Gallardo-Cerda, Jorge; Molina-Montenegro, Marco A.] Univ Talca, Inst Ciencias Biol, Ctr Mol &amp; Funct Ecol CEMFE, Talca, Chile; [Hansen, Hermann] Univ Talca, Fac Ciencias Agr, Talca, Chile; [Atala, Cristian] Pontificia Univ Catolica Valparaiso, Inst Biol, Lab Anat &amp; Ecol Func Plantas AEF, Valparaiso, Chile; [Molina-Montenegro, Marco A.] Univ Catolica Norte, Fac Ciencias Mar, CEAZA, Coquimbo, Chile</t>
  </si>
  <si>
    <t>Universidad de Talca; Universidad de Talca; Pontificia Universidad Catolica de Valparaiso; Universidad Catolica del Norte</t>
  </si>
  <si>
    <t>Molina-Montenegro, MA (corresponding author), Univ Talca, Inst Ciencias Biol, Ctr Mol &amp; Funct Ecol CEMFE, Talca, Chile.;Molina-Montenegro, MA (corresponding author), Univ Catolica Norte, Fac Ciencias Mar, CEAZA, Coquimbo, Chile.</t>
  </si>
  <si>
    <t>marco.molina@utalca.cl</t>
  </si>
  <si>
    <t>Atala, Cristian/0000-0003-1337-9534</t>
  </si>
  <si>
    <t>FONDECYT regular [1181034]</t>
  </si>
  <si>
    <t>FONDECYT regular(Comision Nacional de Investigacion Cientifica y Tecnologica (CONICYT)CONICYT FONDECYT)</t>
  </si>
  <si>
    <t>MM-M was funded by FONDECYT regular 1181034.</t>
  </si>
  <si>
    <t>10.3389/fbioe.2019.00022</t>
  </si>
  <si>
    <t>HM1FO</t>
  </si>
  <si>
    <t>WOS:000459195400001</t>
  </si>
  <si>
    <t>Smith, N; Kessler, WS; Cravatte, S; Sprintall, J; Wijffels, S; Cronin, MF; Sutton, A; Serra, YL; Dewitte, B; Strutton, PG; Hill, K; Sen Gupta, A; Lin, XP; Takahashi, K; Chen, DK; Brunner, S</t>
  </si>
  <si>
    <t>Smith, Neville; Kessler, William S.; Cravatte, Sophie; Sprintall, Janet; Wijffels, Susan; Cronin, Meghan F.; Sutton, Adrienne; Serra, Yolande L.; Dewitte, Boris; Strutton, Peter G.; Hill, Katherine; Sen Gupta, Alex; Lin, Xiaopei; Takahashi, Ken; Chen, Dake; Brunner, Shelby</t>
  </si>
  <si>
    <t>Tropical Pacific Observing System</t>
  </si>
  <si>
    <t>ocean observing; tropical Pacific; TPOS 2020; user requirements; variable requirements; design; tropical moorings</t>
  </si>
  <si>
    <t>MERIDIONAL OVERTURNING CIRCULATION; WESTERN BOUNDARY CURRENTS; EQUATORIAL UNDERCURRENT; SOUTH-PACIFIC; INDONESIAN THROUGHFLOW; DOUBLE-ITCZ; SURFACE SALINITY; MINDANAO CURRENT; OCEAN; ENSO</t>
  </si>
  <si>
    <t>This paper reviews the design of the Tropical Pacific Observing System (TPOS) and its governance and takes a forward look at prospective change. The initial findings of the TPOS 2020 Project embrace new strategic approaches and technologies in a user-driven design and the variable focus of the Framework for Ocean Observing. User requirements arise from climate prediction and research, climate change and the climate record, and coupled modelingand data assimilation more generally. Requirements include focus on the upper ocean and air-sea interactions, sampling of diurnal variations, finer spatial scales and emerging demands related to biogeochemistry and ecosystems. One aim is to sample a diversity of climatic regimes in addition to the equatorial zone. The status and outlook for meeting the requirements of the design are discussed. This is accomplished through integrated and complementary capabilities of networks, including satellites, moorings, profiling floats and autonomous vehicles. Emerging technologies and methods are also discussed. The outlook highlights a few new foci of the design: biogeochemistry and ecosystems, low-latitude western boundary currents and the eastern Pacific. Low latitude western boundary currents are conduits of tropical-subtropical interactions, supplying waters of mid to high latitude origin to the western equatorial Pacific and into the Indonesian Throughflow. They are an essential part of the recharge/discharge of equatorial warm water volume at interannual timescales and play crucial roles in climate variability on regional and global scales. The tropical eastern Pacific, where extreme El Nino events develop, requires tailored approaches owing to the complex of processes at work there involving coastal upwelling, and equatorial cold tongue dynamics, the oxygen minimum zone and the seasonal double Intertropical Convergence Zone. A pilot program building on existing networks is envisaged, complemented by a process study of the East Pacific ITCZ/warmpool/cold tongue/stratus coupled system. The sustainability of TPOS depends on effective and strong collaborative partnerships and governance arrangements. Revisiting regional mechanisms and engaging new partners in the context of a planned and systematic design will ensure a multi-purpose, multi-faceted integrated approach that is sustainable and responsive to changing needs.</t>
  </si>
  <si>
    <t>[Smith, Neville] GODAE OceanView, Canterbury, NSW, Australia; [Kessler, William S.; Cronin, Meghan F.; Sutton, Adrienne] NOAA, Pacific Marine Environm Lab, 7600 Sand Point Way Ne, Seattle, WA 98115 USA; [Cravatte, Sophie; Dewitte, Boris] Univ Toulouse, CNRS, CNES, LEGOS,IRD,UPS, Toulouse, France; [Sprintall, Janet] Univ Calif San Diego, Scripps Inst Oceanog, La Jolla, CA 92093 USA; [Wijffels, Susan] Woods Hole Oceanog Inst, Dept Phys Oceanog, Woods Hole, MA 02543 USA; [Serra, Yolande L.] Univ Washington, Joint Inst Study Atmosphere &amp; Ocean, Seattle, WA 98195 USA; [Dewitte, Boris] Ctr Estudios Avanzados Zonas Aridas, Coquimbo, Chile; [Dewitte, Boris] Univ Catolica Norte, Fac Ciencias Mar, Dept Biol, Coquimbo, Chile; [Dewitte, Boris] Millennium Nucleus Ecol &amp; Sustainable Management, Coquimbo, Chile; [Strutton, Peter G.] Univ Tasmania, Inst Marine &amp; Antarctic Studies, Hobart, Tas, Australia; [Strutton, Peter G.] Univ Tasmania, Australian Res Council Ctr Excellence Climate Ext, Hobart, Tas, Australia; [Hill, Katherine] World Meteorol Org, Global Climate Observing Syst &amp; Global Ocean Obse, Geneva, Switzerland; [Sen Gupta, Alex] Univ New South Wales, Climate Change Res Ctr, Sydney, NSW, Australia; [Sen Gupta, Alex] Univ New South Wales, ARC Ctr Excellence Climate Extremes, Sydney, NSW, Australia; [Lin, Xiaopei] Ocean Univ China, Inst Adv Ocean Studies, Phys Oceanog Lab, Qingdao, Peoples R China; [Lin, Xiaopei] Qingdao Natl Lab Marine Sci &amp; Technol, Qingdao, Peoples R China; [Takahashi, Ken] Serv Nacl Meteorol &amp; Hidrol Peru, Lima, Peru; [Chen, Dake] Second Inst Oceanog, State Key Lab Satellite Ocean Environm Dynam, Hangzhou, Zhejiang, Peoples R China; [Brunner, Shelby] NOAA, Ocean Observing &amp; Monitoring Div, Climate Program Off, Silver Spring, MD USA</t>
  </si>
  <si>
    <t>National Oceanic Atmospheric Admin (NOAA) - USA; Universite de Toulouse; Universite Toulouse III - Paul Sabatier; Centre National de la Recherche Scientifique (CNRS); Institut de Recherche pour le Developpement (IRD); Laboratoire d'Etudes en Geophysique et oceanographie spatiales; University of California System; University of California San Diego; Scripps Institution of Oceanography; Woods Hole Oceanographic Institution; University of Washington; University of Washington Seattle; Universidad Catolica del Norte; University of Tasmania; University of Tasmania; University of New South Wales Sydney; University of New South Wales Sydney; Ocean University of China; Laoshan Laboratory; Servicio Nacional de Meteorologia Hidrologia del Peru (SENAMHI); Ministry of Natural Resources of the People's Republic of China; Second Institute of Oceanography, Ministry of Natural Resources; National Oceanic Atmospheric Admin (NOAA) - USA</t>
  </si>
  <si>
    <t>Smith, N (corresponding author), GODAE OceanView, Canterbury, NSW, Australia.</t>
  </si>
  <si>
    <t>nsmi3118@outlook.com</t>
  </si>
  <si>
    <t>Wijffels, Susan E/I-8215-2012; Dewitte, Boris/S-4909-2019; Sutton, Adrienne/C-7725-2015; Cravatte, Sophie/AAI-4635-2021; Cronin, Meghan F./M-3155-2018; Strutton, Peter/C-4466-2011; Sen Gupta, Alexander/B-7995-2011; Serra, Yolande/I-3457-2015; Dewitte, Boris/F-5132-2015; Takahashi, Ken/G-5321-2010</t>
  </si>
  <si>
    <t>Sutton, Adrienne/0000-0002-7414-7035; Cravatte, Sophie/0000-0002-2439-8952; Cronin, Meghan F./0000-0002-4703-8132; Strutton, Peter/0000-0002-2395-9471; Sen Gupta, Alexander/0000-0001-5226-871X; Wijffels, Susan/0000-0002-4717-0811; Serra, Yolande/0000-0003-3542-1158; Dewitte, Boris/0000-0003-3817-8691; Takahashi, Ken/0000-0003-3670-2939</t>
  </si>
  <si>
    <t>LEFE-GMMC; NOAA's Global Ocean Monitoring and Observing Program [NA15OAR4320071]; NOAA's Ocean Observing and Monitoring Division; TPOS 2020 Distributed Project Office</t>
  </si>
  <si>
    <t>LEFE-GMMC; NOAA's Global Ocean Monitoring and Observing Program; NOAA's Ocean Observing and Monitoring Division; TPOS 2020 Distributed Project Office</t>
  </si>
  <si>
    <t>BD thanks LEFE-GMMC for financial support. JS participation in this study was supported by NOAA's Global Ocean Monitoring and Observing Program through Award NA15OAR4320071. NOAA's Ocean Observing and Monitoring Division has supported NS and WK and the TPOS 2020 Distributed Project Office.</t>
  </si>
  <si>
    <t>FEB 18</t>
  </si>
  <si>
    <t>10.3389/fmars.2019.00031</t>
  </si>
  <si>
    <t>HQ8IR</t>
  </si>
  <si>
    <t>WOS:000462668400001</t>
  </si>
  <si>
    <t>Holl, D; Wille, C; Sachs, T; Schreiber, P; Runkle, BRK; Beckebanze, L; Langer, M; Boike, J; Pfeiffer, EM; Fedorova, I; Bolshianov, DY; Grigoriev, MN; Kutzbach, L</t>
  </si>
  <si>
    <t>Holl, David; Wille, Christian; Sachs, Torsten; Schreiber, Peter; Runkle, Benjamin R. K.; Beckebanze, Lutz; Langer, Moritz; Boike, Julia; Pfeiffer, Eva-Maria; Fedorova, Irina; Bolshianov, Dimitry Y.; Grigoriev, Mikhail N.; Kutzbach, Lars</t>
  </si>
  <si>
    <t>A long-term (2002 to 2017) record of closed-path and open-path eddy covariance CO2 net ecosystem exchange fluxes from the Siberian Arctic</t>
  </si>
  <si>
    <t>LENA RIVER DELTA; METHANE-OXIDIZING BACTERIA; SURFACE-ENERGY BALANCE; POLYGONAL TUNDRA SITE; PERMAFROST CARBON; NORTHERN SIBERIA; CLIMATE-CHANGE; EMISSION; VULNERABILITY; SOILS</t>
  </si>
  <si>
    <t>Ground-based observations of land-atmosphere fluxes are necessary to progressively improve global climate models. Observed data can be used for model evaluation and to develop or tune process models. In arctic permafrost regions, climate-carbon feedbacks are amplified. Therefore, increased efforts to better represent these regions in global climate models have been made in recent years. We present a multi-annual time series of land-atmosphere carbon dioxide fluxes measured in situ with the eddy covariance technique in the Siberian Arctic (72 degrees 22'N, 126 degrees 30'E). The site is part of the international network of eddy covariance flux observation stations (FLUXNET; site ID: Ru-Sam). The data set includes consistently processed fluxes based on concentration measurements of closed-path and open-path gas analyzers. With parallel records from both sensor types, we were able to apply a site-specific correction to open-path fluxes. This correction is necessary due to a deterioration of data, caused by heat generated by the electronics of open-path gas analyzers. Parameterizing this correction for subperiods of distinct sensor setups yielded good agreement between open- and closed-path fluxes. We compiled a long-term (2002 to 2017) carbon dioxide flux time series that we additionally gap-filled with a standardized approach. The data set was uploaded to the Pangaea database and can be accessed through https://doi.org/10.1594/PANGAEA.892751.</t>
  </si>
  <si>
    <t>[Holl, David; Beckebanze, Lutz; Pfeiffer, Eva-Maria; Kutzbach, Lars] Univ Hamburg, Inst Soil Sci, Ctr Earth Syst Res &amp; Sustainabil CEN, Hamburg, Germany; [Wille, Christian; Sachs, Torsten] Deutsch GeoForschungsZentrum GFZ, Helmholtz Zentrum Potsdam, Potsdam, Germany; [Schreiber, Peter; Langer, Moritz; Boike, Julia] Helmholtz Ctr Polar &amp; Marine Res, Alfred Wegener Inst, Potsdam, Germany; [Runkle, Benjamin R. K.] Univ Arkansas, Dept Biol &amp; Agr Engn, Fayetteville, AR 72701 USA; [Fedorova, Irina] St Petersburg State Univ, Inst Earth Sci, St Petersburg, Russia; [Bolshianov, Dimitry Y.] Arctic &amp; Antarctic Res Inst, Russian Fed Serv Hydrometeorol &amp; Environm Monitor, St Petersburg, Russia; [Grigoriev, Mikhail N.] Russian Acad Sci, Siberian Branch, Melnikov Permafrost Inst, Yakutsk, Russia; [Boike, Julia] Humboldt Univ, Geog Dept, Berlin, Germany</t>
  </si>
  <si>
    <t>University of Hamburg; Helmholtz Association; Helmholtz-Center Potsdam GFZ German Research Center for Geosciences; Helmholtz Association; Alfred Wegener Institute, Helmholtz Centre for Polar &amp; Marine Research; University of Arkansas System; University of Arkansas Fayetteville; Saint Petersburg State University; Arctic &amp; Antarctic Research Institute; Russian Academy of Sciences; Melnikov Permafrost Institute, Siberian Branch of the RAS; Humboldt University of Berlin</t>
  </si>
  <si>
    <t>Holl, D (corresponding author), Univ Hamburg, Inst Soil Sci, Ctr Earth Syst Res &amp; Sustainabil CEN, Hamburg, Germany.</t>
  </si>
  <si>
    <t>david.holl@uni-hamburg.de</t>
  </si>
  <si>
    <t>Holl, David/D-9624-2018; Sachs, Torsten/P-8840-2015; Boike, Julia/JZT-8129-2024; Runkle, B. R. K./AAC-3404-2020; Runkle, B. R. K./ABG-5884-2021; Wille, Christian/J-3657-2013; Boike, Julia/R-4766-2016; Kutzbach, Lars/L-5765-2015; Beckebanze, Lutz/HPG-3637-2023; Fedorova, Irina/N-3436-2013</t>
  </si>
  <si>
    <t>Holl, David/0000-0002-9269-7030; Boike, Julia/0000-0002-5875-2112; Runkle, B. R. K./0000-0002-2583-1199; Runkle, B. R. K./0000-0002-2583-1199; Wille, Christian/0000-0003-0930-6527; Boike, Julia/0000-0002-5875-2112; Kutzbach, Lars/0000-0003-2631-2742; Beckebanze, Lutz/0000-0001-5085-6809; Fedorova, Irina/0000-0001-5370-427X; Langer, Moritz/0000-0002-2704-3655; Sachs, Torsten/0000-0002-9959-4771</t>
  </si>
  <si>
    <t>Cluster of Excellence CliSAP, Universitat Hamburg through the German Science Foundation (DFG) [EXC177]; European Commission [282700]; German Ministry of Education and Research (BMBF) [03G0836A, 03F0764A]</t>
  </si>
  <si>
    <t>Cluster of Excellence CliSAP, Universitat Hamburg through the German Science Foundation (DFG)(German Research Foundation (DFG)); European Commission(European Union (EU)European Commission Joint Research Centre); German Ministry of Education and Research (BMBF)(Federal Ministry of Education &amp; Research (BMBF))</t>
  </si>
  <si>
    <t>Without the dedicated work of many scientists, logistics experts and engineers over the years, we would not have been able to present this long-term eddy covariance NEE data set. We want to thank Niko Bornemann, Tim Eckhardt, Mauel Helbig, Lars Heling, Oliver Kaufmann, Zoe Rehder, Norman Rossger, Norman Ruggen, Gunter Stoof and Waldemar Schneider for their commitment, diligence and ingenuity. We thank Jakob Sievers for providing us with a starting point for the Matlab implementation of the Kormann and Meixner (2001) footprint model and Norman Roger for sharing his analysis of the long-term meteorological data from Tiksi with us. This work was supported through the Cluster of Excellence CliSAP (EXC177), Universitat Hamburg, funded through the German Science Foundation (DFG), by the European Commission through the project PAGE21 (FP7-ENV-2011, 282700), and by the German Ministry of Education and Research (BMBF) through the projects CarboPerm (03G0836A) and KoPf (03F0764A).</t>
  </si>
  <si>
    <t>10.5194/essd-11-221-2019</t>
  </si>
  <si>
    <t>HL8XR</t>
  </si>
  <si>
    <t>WOS:000459026400001</t>
  </si>
  <si>
    <t>Mathurin, J; Dartois, E; Pino, T; Engrand, C; Duprat, J; Deniset-Besseau, A; Borondics, F; Sandt, C; Dazzi, A</t>
  </si>
  <si>
    <t>Mathurin, Jeremie; Dartois, Emmanuel; Pino, Thomas; Engrand, Cecile; Duprat, Jean; Deniset-Besseau, Ariane; Borondics, Ferenc; Sandt, Christophe; Dazzi, Alexandre</t>
  </si>
  <si>
    <t>Nanometre-scale infrared chemical imaging of organic matter in ultra-carbonaceous Antarctic micrometeorites (UCAMMs)</t>
  </si>
  <si>
    <t>ASTRONOMY &amp; ASTROPHYSICS</t>
  </si>
  <si>
    <t>astrochemistry; comets: general; meteorites, meteors, meteoroids; techniques: imaging spectroscopy; methods: laboratory: solid state; interplanetary medium</t>
  </si>
  <si>
    <t>SPECTROSCOPY; SNOW</t>
  </si>
  <si>
    <t>Aims. The composition of comets and asteroids sheds light on the formation and early evolution of the solar system. The study of micrometeorites containing large concentrations of carbonaceous material (i.e. ultra-carbonaceous antarctic micrometeorites, UCAMMs) allows for unique information on the association of minerals and organics at surface of icy objects (comets) to be obtained. Methods. In this work we map the organic matter of UCAMMs collected in the Antarctic snow, at sub-wavelength spatial scales using the Atomic Force Microscope InfraRed (AFMIR) technique. The sample preparation did not involve any chemical pretreatment to extract organic matter. The AFMIR measurements were performed on a limited spectral coverage (1900-1350 cm(-1)) allowing chemical functional groups to be imaged at spatial scales relevant to the study of micrometeorites. Results. The AFMIR images reveal the variability of the functional groups at very small scales and the intimate association of carbon and oxygen-bearing chemical bonds. We demonstrate the possibility to potentially separate the olefinic and aromatic C=C bonding in the subcomponents of the UCAMM fragment. These variations probably originate in the early mixing of the different reservoirs of organic matter constituting these dust particles. The measurements demonstrate the potential for analysing such complex organic-matter - mineral association at scales below the diffraction limit. The development of such studies and extension to the full infrared range spectral coverage will drive a new view on the vibrational infrared analysis of interplanetary material.</t>
  </si>
  <si>
    <t>[Mathurin, Jeremie; Deniset-Besseau, Ariane; Dazzi, Alexandre] Univ Paris Saclay, Univ Paris Sud, CNRS, Lab Chim Phys, F-91405 Orsay, France; [Dartois, Emmanuel; Pino, Thomas] Univ Paris Saclay, Univ Paris Sud, CNRS, Inst Sci Mol Orsay, F-91405 Orsay, France; [Engrand, Cecile; Duprat, Jean] Univ Paris Saclay, Univ Paris Sud, CNRS, CSNSM,IN2P3, F-91405 Orsay, France; [Borondics, Ferenc; Sandt, Christophe] Synchrotron Soleil, Orme Merisiers, BP 48 St Aubin, F-91192 Gif Sur Yvette, France</t>
  </si>
  <si>
    <t>Universite Paris Cite; Centre National de la Recherche Scientifique (CNRS); Universite Paris Saclay; Centre National de la Recherche Scientifique (CNRS); Universite Paris Saclay; Universite Paris Cite; Universite Paris Cite; Universite Paris Saclay; Centre National de la Recherche Scientifique (CNRS); CNRS - National Institute of Nuclear and Particle Physics (IN2P3); SOLEIL Synchrotron</t>
  </si>
  <si>
    <t>Mathurin, J (corresponding author), Univ Paris Saclay, Univ Paris Sud, CNRS, Lab Chim Phys, F-91405 Orsay, France.</t>
  </si>
  <si>
    <t>jeremie.mathurin@u-psud.fr</t>
  </si>
  <si>
    <t>Sandt, Christophe/ABE-6818-2020; Soleil, SMIS/I-3166-2014; Borondics, Ferenc/A-7616-2008</t>
  </si>
  <si>
    <t>Sandt, Christophe/0000-0002-6432-2004; Borondics, Ferenc/0000-0001-9975-4301; Dartois, Emmanuel/0000-0003-1197-7143</t>
  </si>
  <si>
    <t>French Agence Nationale de la Recherche (COMETOR) [ANR-18-CE31-0011]; INSU (PNP, PCMI); IN2P3; CNES; DIM-ACAV (Region Ile de France); CNRS; Defi Origines from the MITI (CNRS); Universite Paris-Sud; French and Italian polar institute IPEV; French and Italian polar institute PNRA; Agence Nationale de la Recherche (ANR) [ANR-18-CE31-0011] Funding Source: Agence Nationale de la Recherche (ANR)</t>
  </si>
  <si>
    <t>French Agence Nationale de la Recherche (COMETOR)(Agence Nationale de la Recherche (ANR)); INSU (PNP, PCMI); IN2P3; CNES(Centre National D'etudes Spatiales); DIM-ACAV (Region Ile de France)(Region Ile-de-France); CNRS(Centre National de la Recherche Scientifique (CNRS)); Defi Origines from the MITI (CNRS); Universite Paris-Sud; French and Italian polar institute IPEV; French and Italian polar institute PNRA; Agence Nationale de la Recherche (ANR)(Agence Nationale de la Recherche (ANR))</t>
  </si>
  <si>
    <t>Experiments were performed on the NanoIR 2-s microscope installed on the SMIS3 beamline, and using the chemistry support lab at SOLEIL Synchrotron, France. This work was supported by the French Agence Nationale de la Recherche (COMETOR, ANR-18-CE31-0011) as well as INSU (PNP, PCMI), IN2P3, CNES, DIM-ACAV (Region Ile de France), CNRS, the Defi Origines from the MITI (CNRS) and Universite Paris-Sud. This work is part of the JWST emblematic project from the LABEX-P2IO. We are grateful to the French and Italian polar institutes IPEV and PNRA, for their financial and logistic support of the micrometeorites collection at the vicinity of the CONCORDIA station (Dome C).</t>
  </si>
  <si>
    <t>EDP SCIENCES S A</t>
  </si>
  <si>
    <t>LES ULIS CEDEX A</t>
  </si>
  <si>
    <t>17, AVE DU HOGGAR, PA COURTABOEUF, BP 112, F-91944 LES ULIS CEDEX A, FRANCE</t>
  </si>
  <si>
    <t>0004-6361</t>
  </si>
  <si>
    <t>1432-0746</t>
  </si>
  <si>
    <t>ASTRON ASTROPHYS</t>
  </si>
  <si>
    <t>Astron. Astrophys.</t>
  </si>
  <si>
    <t>A160</t>
  </si>
  <si>
    <t>10.1051/0004-6361/201833957</t>
  </si>
  <si>
    <t>HL6GN</t>
  </si>
  <si>
    <t>WOS:000458831900001</t>
  </si>
  <si>
    <t>Brunt, KM; Neumann, TA; Larsen, CF</t>
  </si>
  <si>
    <t>Brunt, Kelly M.; Neumann, Thomas A.; Larsen, Christopher F.</t>
  </si>
  <si>
    <t>Assessment of altimetry using ground-based GPS data from the 88S Traverse, Antarctica, in support of ICESat-2</t>
  </si>
  <si>
    <t>GREENLAND ICE-SHEET; MASS-BALANCE; USA</t>
  </si>
  <si>
    <t>We conducted a 750 km kinematic GPS survey, referred to as the 88S Traverse, based out of South Pole Station, Antarctica, between December 2017 and January 2018. This ground-based survey was designed to validate space-borne altimetry and airborne altimetry developed at NASA. The 88S Traverse intersects 20% of the ICESat-2 satellite orbits on a route that has been flown by two different Operation IceBridge airborne laser altimeters: the Airborne Topographic Mapper (ATM; 26 October 2014) and the University of Alaska Fairbanks (UAF) Lidar (30 November and 3 December 2017). Here we present an overview of the ground-based GPS data quality and a quantitative assessment of the airborne laser altimetry over a flat section of the ice sheet interior. Results indicate that the GPS data are internally consistent (1.1 +/- 4.1 cm). Relative to the ground-based 88S Traverse data, the elevation biases for ATM and the UAF lidar range from -9.5 to 3.6 cm, while surface measurement precisions are equal to or better than 14.1 cm. These results suggest that the ground-based GPS data and airborne altimetry data are appropriate for the validation of ICESat-2 surface elevation data.</t>
  </si>
  <si>
    <t>[Brunt, Kelly M.] Univ Maryland, ESSIC, College Pk, MD 20742 USA; [Brunt, Kelly M.; Neumann, Thomas A.] NASA, Goddard Space Flight Ctr, Greenbelt, MD 20771 USA; [Larsen, Christopher F.] Univ Alaska, Inst Geophys, Fairbanks, AK USA</t>
  </si>
  <si>
    <t>University System of Maryland; University of Maryland College Park; National Aeronautics &amp; Space Administration (NASA); NASA Goddard Space Flight Center; University of Alaska System; University of Alaska Fairbanks</t>
  </si>
  <si>
    <t>Brunt, KM (corresponding author), Univ Maryland, ESSIC, College Pk, MD 20742 USA.;Brunt, KM (corresponding author), NASA, Goddard Space Flight Ctr, Greenbelt, MD 20771 USA.</t>
  </si>
  <si>
    <t>kelly.m.brunt@nasa.gov</t>
  </si>
  <si>
    <t>Neumann, Thomas/JLL-4672-2023</t>
  </si>
  <si>
    <t>Neumann, Thomas/0000-0002-6926-937X</t>
  </si>
  <si>
    <t>NASA ICESat-2 Project Science Office; National Science Foundation [ANT-1043681]</t>
  </si>
  <si>
    <t>NASA ICESat-2 Project Science Office; National Science Foundation(National Science Foundation (NSF))</t>
  </si>
  <si>
    <t>We thank the NASA ICESat-2 Project Science Office for funding the field component and data analysis associated with this project. We thank the National Science Foundation, Office of Polar Programs for logistical support of the field component of this project. We thank Operation IceBridge for the data collection of the ATM and UAF lidar datasets. We thank our deep-field mechanic and mountaineer associated with the 88S Traverse (Chad Seay and Forrest McCarthy) for ensuring that we safely completed the full Antarctic ground survey. We thank the many science support staff of the US Antarctic Program that helped make the field component of this project possible. We thank the National Snow and Ice Data Center (NSIDC) for IceBridge data distribution. Finally, we thank our editor (Kenny Matsuoka) and the two anonymous reviewers for constructive comments on earlier drafts of this paper. WorldView-2 imagery was provided by the Polar Geospatial Center at the University of Minnesota, which is supported by grant ANT-1043681 from the National Science Foundation.</t>
  </si>
  <si>
    <t>10.5194/tc-13-579-2019</t>
  </si>
  <si>
    <t>HL8YV</t>
  </si>
  <si>
    <t>WOS:000459029700002</t>
  </si>
  <si>
    <t>Martin, DF; Cornford, SL; Payne, AJ</t>
  </si>
  <si>
    <t>Martin, Daniel F.; Cornford, Stephen L.; Payne, Antony J.</t>
  </si>
  <si>
    <t>Millennial-Scale Vulnerability of the Antarctic Ice Sheet to Regional Ice Shelf Collapse</t>
  </si>
  <si>
    <t>THWAITES GLACIER; WEST ANTARCTICA; GROUNDING-LINE; RETREAT; SURFACE; BED</t>
  </si>
  <si>
    <t>The Antarctic Ice Sheet (AIS) remains the largest uncertainty in projections of future sea level rise. A likely climate-driven vulnerability of the AIS is thinning of floating ice shelves resulting from surface-melt-driven hydrofracture or incursion of relatively warm water into subshelf ocean cavities. The resulting melting, weakening, and potential ice shelf collapse reduces shelf buttressing effects. Upstream ice flow accelerates, causing thinning, grounding-line retreat, and potential ice sheet collapse. While high-resolution projections have been performed for localized Antarctic regions, full-continent simulations have typically been limited to low-resolution models. Here we quantify the vulnerability of the entire present-day AIS to regional ice shelf collapse on millennial timescales treating relevant ice flow dynamics at the necessary similar to 1-km resolution. Collapse of any of the ice shelves dynamically connected to theWest Antarctic Ice Sheet (WAIS) is sufficient to trigger ice sheet collapse in marine-grounded portions of the WAIS. Vulnerability elsewhere appears limited to localized responses. Plain Language Summary The biggest uncertainty in near-future sea level rise (SLR) comes from the Antarctic Ice Sheet. Antarctic ice flows in relatively fast-moving ice streams. At the ocean, ice flows into enormous floating ice shelves that push back on their feeder ice streams, buttressing them and slowing their flow. Melting and loss of ice shelves due to climate changes can result in faster-flowing, thinning, and retreating ice leading to accelerated rates of global SLR. To learn where Antarctica is vulnerable to ice shelf loss, we divided it into 14 sectors, applied extreme melting to each sector's floating ice shelves in turn, then ran our ice flow model 1,000 years into the future for each case. We found three levels of vulnerability. The greatest vulnerability came from attacking any of the three ice shelves connected to West Antarctica, where much of the ice sits on bedrock lying below sea level. Those dramatic responses contributed around 2 m of SLR. The second level came from four other sectors, each with a contribution between 0.5 and 1 m. The remaining sectors produced little to no contribution. We examined combinations of sectors, determining that sectors behave independently of each other for at least a century.</t>
  </si>
  <si>
    <t>[Martin, Daniel F.] Lawrence Berkeley Natl Lab, Computat Res Div, Berkeley, CA 94720 USA; [Cornford, Stephen L.] Swansea Univ, Coll Sci, Dept Geog, Swansea, W Glam, Wales; [Cornford, Stephen L.; Payne, Antony J.] Univ Bristol, Ctr Polar Observat &amp; Modelling, Sch Geog Sci, Bristol, Avon, England</t>
  </si>
  <si>
    <t>United States Department of Energy (DOE); Lawrence Berkeley National Laboratory; Swansea University; University of Bristol</t>
  </si>
  <si>
    <t>Martin, DF (corresponding author), Lawrence Berkeley Natl Lab, Computat Res Div, Berkeley, CA 94720 USA.</t>
  </si>
  <si>
    <t>DFMartin@lbl.gov</t>
  </si>
  <si>
    <t>payne, antony/A-8916-2008</t>
  </si>
  <si>
    <t>payne, antony/0000-0001-8825-8425; Martin, Daniel/0000-0003-4488-2538; Cornford, Stephen/0000-0003-1844-274X</t>
  </si>
  <si>
    <t>Office of Science, Offices of Advanced Scientific Computing Research (ASCR) and Biological and Environmental Research (BER), of the U.S. Department of Energy as a part of the ProSPect SciDAC Partnership [DE-AC02-05CH11231]; Office of Science of the U.S. Department of Energy [DE-AC02-05CH11231]; NERC [NE/T009470/1, NE/J005738/1, NE/I010920/1, cpom30001, NE/I010874/1] Funding Source: UKRI</t>
  </si>
  <si>
    <t>Office of Science, Offices of Advanced Scientific Computing Research (ASCR) and Biological and Environmental Research (BER), of the U.S. Department of Energy as a part of the ProSPect SciDAC Partnership; Office of Science of the U.S. Department of Energy(United States Department of Energy (DOE)); NERC(UK Research &amp; Innovation (UKRI)Natural Environment Research Council (NERC))</t>
  </si>
  <si>
    <t>The authors gratefully acknowledge input from Stephen Price, Matthew Hoffman, and Esmond Ng. We also thank the two anonymous reviewers, whose thoughtful suggestions improved this work. Work at LBL was supported by the Director, Office of Science, Offices of Advanced Scientific Computing Research (ASCR) and Biological and Environmental Research (BER), of the U.S. Department of Energy under contract No. DE-AC02-05CH11231, as a part of the ProSPect SciDAC Partnership. This research used resources of the National Energy Research Scientific Computing Center, a DOE Office of Science User Facility supported by the Office of Science of the U.S. Department of Energy under contract No. DE-AC02-05CH11231.</t>
  </si>
  <si>
    <t>FEB 16</t>
  </si>
  <si>
    <t>10.1029/2018GL081229</t>
  </si>
  <si>
    <t>HQ0GX</t>
  </si>
  <si>
    <t>WOS:000462072800039</t>
  </si>
  <si>
    <t>Zanchettin, D; Timmreck, C; Toohey, M; Jungclaus, JH; Bittner, M; Lorenz, SJ; Rubino, A</t>
  </si>
  <si>
    <t>Zanchettin, Davide; Timmreck, Claudia; Toohey, Matthew; Jungclaus, Johann H.; Bittner, Matthias; Lorenz, Stephan J.; Rubino, Angelo</t>
  </si>
  <si>
    <t>Clarifying the Relative Role of Forcing Uncertainties and Initial-Condition Unknowns in Spreading the Climate Response to Volcanic Eruptions</t>
  </si>
  <si>
    <t>EXPERIMENTAL-DESIGN; VARIABILITY; AEROSOL; IMPACT; PROJECT; MODEL</t>
  </si>
  <si>
    <t>Radiative forcing from volcanic aerosol impacts surface temperatures; however, the background climate state also affects the response. A key question thus concerns whether constraining forcing estimates is more important than constraining initial conditions for accurate simulation and attribution of posteruption climate anomalies. Here we test whether different realistic volcanic forcing magnitudes for the 1815 Tambora eruption yield distinguishable ensemble surface temperature responses. We perform a cluster analysis on a superensemble of climate simulations including three 30-member ensembles using the same set of initial conditions but different volcanic forcings based on uncertainty estimates. Results clarify how forcing uncertainties can overwhelm initial-condition spread in boreal summer due to strong direct radiative impact, while the effect of initial conditions predominate in winter, when dynamics contribute to large ensemble spread. In our setup, current uncertainties affecting reconstruction-simulation comparisons prevent conclusions about the magnitude of the Tambora eruption and its relation to the year without summer. Plain Language Summary Strong volcanic eruptions are a major natural forcing of climate, and there is increasing awareness of their importance for understanding and prediction of climate. Much of our current understanding is based on past eruptions for which there is no direct observation and that are therefore subject to substantial uncertainties regarding the eruption characteristics, the associated volcanic forcing, and the climatic response. With these premises, our study tackles the question of whether, for a past or analogously future eruption, it is more important to constrain the uncertainty in the volcanic forcing it generates rather than the initial climate conditions upon which it occurs, in order to obtain robust information about the associated climate responses. We use the 1815 eruption of Mount Tambora as a test case. We demonstrate that the climatic effects of initial condition uncertainties can overwhelm those of forcing uncertainties especially in winter and at the regional scale. We show how the European year without a summer seen in climate reconstructions is compatible with very different combinations of forcing magnitude and initial conditions.</t>
  </si>
  <si>
    <t>[Zanchettin, Davide; Rubino, Angelo] Univ Ca Foscari Venice, Dept Environm Sci Informat &amp; Stat, Venice, Italy; [Timmreck, Claudia; Jungclaus, Johann H.; Bittner, Matthias; Lorenz, Stephan J.] Max Planck Inst Meteorol, Hamburg, Germany; [Toohey, Matthew] GEOMAR Helmholtz Ctr Ocean Res, Kiel, Germany</t>
  </si>
  <si>
    <t>Universita Ca Foscari Venezia; Max Planck Society; Helmholtz Association; GEOMAR Helmholtz Center for Ocean Research Kiel</t>
  </si>
  <si>
    <t>Zanchettin, D (corresponding author), Univ Ca Foscari Venice, Dept Environm Sci Informat &amp; Stat, Venice, Italy.</t>
  </si>
  <si>
    <t>davidoff@unive.it</t>
  </si>
  <si>
    <t>Toohey, Matthew/AAL-1896-2021</t>
  </si>
  <si>
    <t>Toohey, Matthew/0000-0002-7070-405X; Bittner, Matthias/0000-0002-7368-9764; Timmreck, Claudia/0000-0001-5355-0426</t>
  </si>
  <si>
    <t>DAIS-IRIDEproject (VolClim); German federal Ministry of Education (BMBF) [FKZ:01LP1517B]; European Union [FP7-ENV.2013.6.1-2]; JPI-Belmont Forum's project PaCMEDy-Paleo Constraints on Monsoon Evolution and Dynamics [BMBF FKZ: 01LP1607B]; Deutsche Forschungsgemeinschaft (DFG) [TO 967/1-1]</t>
  </si>
  <si>
    <t>DAIS-IRIDEproject (VolClim); German federal Ministry of Education (BMBF)(Federal Ministry of Education &amp; Research (BMBF)); European Union(European Union (EU)); JPI-Belmont Forum's project PaCMEDy-Paleo Constraints on Monsoon Evolution and Dynamics; Deutsche Forschungsgemeinschaft (DFG)(German Research Foundation (DFG))</t>
  </si>
  <si>
    <t>Computations were performed at the German Climate Computer Center (DKRZ). D. Z. acknowledges support by the DAIS-IRIDEproject (VolClim). C. T. acknowledges support from the research programme MiKlip (FKZ:01LP1517B) of the German federal Ministry of Education (BMBF) and the European Union project StratoClim (FP7-ENV.2013.6.1-2). J. J. acknowledges support from the JPI-Belmont Forum's project PaCMEDy-Paleo Constraints on Monsoon Evolution and Dynamics (BMBF FKZ: 01LP1607B). M. T. acknowledges support by the Deutsche Forschungsgemeinschaft (DFG) in the framework of the priority programme Antarctic Research with comparative investigations in Arctic ice areas (grant TO 967/1-1). The spatially integrated data used in this study are provided as supporting information.</t>
  </si>
  <si>
    <t>10.1029/2018GL081018</t>
  </si>
  <si>
    <t>WOS:000462072800054</t>
  </si>
  <si>
    <t>Zhang, ZY; Gong, DY; Mao, R; Qiao, L; Kim, SJ; Liu, SC</t>
  </si>
  <si>
    <t>Zhang, Ziyin; Gong, Daoyi; Mao, Rui; Qiao, Lin; Kim, Seong-Joong; Liu, Shawchen</t>
  </si>
  <si>
    <t>Possible Influence of the Antarctic Oscillation on Haze Pollution in North China</t>
  </si>
  <si>
    <t>AAO; air pollution; haze; North China; Indian Ocean</t>
  </si>
  <si>
    <t>SOUTHERN ANNULAR MODE; REGIONAL AIR-QUALITY; METEOROLOGICAL CONDITIONS; ATMOSPHERIC CIRCULATIONS; WINTER PRECIPITATION; EASTERN CHINA; VISIBILITY; IMPACT; AEROSOL; CLIMATE</t>
  </si>
  <si>
    <t>In this study, the possible influence of the Antarctic oscillation (AAO) on winter haze pollution (indicated by atmospheric visibility after rain, fog, dust, snowstorms, etc. are removed) in North China (NC) was investigated. The results show that the mean winter visibility (December-January-February visibility) throughout most of eastern China is negatively correlated with the preceding AAO (August-September-October (ASO)-AAO), especially in NC. The interannual correlation coefficient between DJF-VIS in NC and the ASO-AAO is -0.52, which is significant at the 99% level. The negative correlation suggests that an enhancing (weakening) ASO-AAO could be conducive to increases (decreases) of haze pollution in NC in boreal winter. The responses of local and regional meteorological conditions to the ASO-AAO support the relationship between the ASO-AAO and winter air pollution in NC. A preliminary mechanism analysis shows that a positive ASO-AAO may induce a sea surface temperature warming tendency in the Northwestern Southern Indian Ocean. This warming then causes a wave train-like pattern in the upper troposphere along the jet stream and an anomalous zonal cell that weakens the regional Hadley circulation from the Maritime continents to East Asia. All of these factors are favorable to the formation of anomalous southerly and haze pollution in NC.</t>
  </si>
  <si>
    <t>[Zhang, Ziyin] China Meteorol Adm, Inst Urban Meteorol, Beijing, Peoples R China; [Zhang, Ziyin; Qiao, Lin] China Meteorol Adm, Environm Meteorol Forecast Ctr Beijing Tianjin He, Beijing, Peoples R China; [Gong, Daoyi; Mao, Rui] Beijing Normal Univ, State Key Lab Earth Surface Proc &amp; Resource Ecol, Beijing, Peoples R China; [Kim, Seong-Joong] Korea Polar Res Inst, Incheon, South Korea; [Liu, Shawchen] Jinan Univ, Inst Environm &amp; Climate Res, Guangzhou, Guangdong, Peoples R China</t>
  </si>
  <si>
    <t>China Meteorological Administration; China Meteorological Administration; Beijing Normal University; Korea Polar Research Institute (KOPRI); Jinan University</t>
  </si>
  <si>
    <t>Zhang, ZY (corresponding author), China Meteorol Adm, Inst Urban Meteorol, Beijing, Peoples R China.;Zhang, ZY (corresponding author), China Meteorol Adm, Environm Meteorol Forecast Ctr Beijing Tianjin He, Beijing, Peoples R China.</t>
  </si>
  <si>
    <t>zzy_ahgeo@163.com</t>
  </si>
  <si>
    <t>liu, shaw chen/JNS-1330-2023</t>
  </si>
  <si>
    <t>National Natural Science Foundation of China [91644223, 41621061]; National Key Research and Development Program of China [2016YFC0203300]; Beijing Municipal Natural Science Foundation [8161004]; Korea Polar Research Institute [PE19010]</t>
  </si>
  <si>
    <t>National Natural Science Foundation of China(National Natural Science Foundation of China (NSFC)); National Key Research and Development Program of China; Beijing Municipal Natural Science Foundation(Beijing Natural Science Foundation); Korea Polar Research Institute(Korea Polar Research Institute of Marine Research Placement (KOPRI))</t>
  </si>
  <si>
    <t>This study was supported by the National Natural Science Foundation of China (Grants 91644223 and 41621061), the National Key Research and Development Program of China (Grant 2016YFC0203300), the Beijing Municipal Natural Science Foundation (Grant 8161004), and by project PE19010 of the Korea Polar Research Institute. The hourly and daily visibility, relatively humidity, and surface wind data in the synoptic meteorological stations around China were derived from the National Meteorological Information Center of China (http://data.cma.cn/); the monthly ERA-Interim reanalysis data were derived from the European Centre for Medium-Range Weather Forecasts (https://apps.ecmwf.int/datasets/data/interim-fullmoda/levtype=sfc/and https://apps.ecmwf.int/datasets/data/interim-fullmoda/levtype=pl/); the Extended Reconstructed Sea Surface Temperature (ERSST) v5 were derived from the National Centers for Environmental Information of NOAA (https://www.ncdc.noaa.gov/data-access/marineocean-data/extended-reconstructed-sea-surface-temperatureersst-v5).</t>
  </si>
  <si>
    <t>10.1029/2018JD029239</t>
  </si>
  <si>
    <t>HM3ME</t>
  </si>
  <si>
    <t>WOS:000459377000009</t>
  </si>
  <si>
    <t>Souverijns, N; Gossart, A; Demuzere, M; Lenaerts, JTM; Medley, B; Gorodetskaya, IV; Vanden Broucke, S; van Lipzig, NPM</t>
  </si>
  <si>
    <t>Souverijns, N.; Gossart, A.; Demuzere, M.; Lenaerts, J. T. M.; Medley, B.; Gorodetskaya, I. V.; Vanden Broucke, S.; van Lipzig, N. P. M.</t>
  </si>
  <si>
    <t>A New Regional Climate Model for POLAR-CORDEX: Evaluation of a 30-Year Hindcast with COSMO-CLM2 Over Antarctica</t>
  </si>
  <si>
    <t>Antarctica; regional climate model; evaluation; POLAR-CORDEX</t>
  </si>
  <si>
    <t>SURFACE MASS-BALANCE; DRONNING MAUD LAND; ATMOSPHERIC BOUNDARY-LAYER; ICE-SHEET; KATABATIC WINDS; DOME-C; SNOW ACCUMULATION; EAST ANTARCTICA; PRECIPITATION; TEMPERATURE</t>
  </si>
  <si>
    <t>Continent-wide climate information over the Antarctic Ice Sheet (AIS) is important to obtain accurate information of present climate and reduce uncertainties of the ice sheet mass balance response and resulting global sea level rise to future climate change. In this study, the COSMO-CLM2 Regional Climate Model is applied over the AIS and adapted for the specific meteorological and climatological conditions of the region. A 30-year hindcast was performed and evaluated against observational records consisting of long-term ground-based meteorological observations, automatic weather stations, radiosoundings, satellite records, stake measurements and ice cores. Reasonable agreement regarding the surface and upper-air climate is achieved by the COSMO-CLM2 model, comparable to the performance of other state-of-the-art climate models over the AIS. Meteorological variability of the surface climate is adequately simulated, and biases in the radiation and surface mass balance are small. The presented model therefore contributes as a new member to the COordinated Regional Downscaling EXperiment project over the AIS (POLAR-CORDEX) and the CORDEX-CORE initiative.</t>
  </si>
  <si>
    <t>[Souverijns, N.; Gossart, A.; Vanden Broucke, S.; van Lipzig, N. P. M.] Katholieke Univ Leuven, Dept Earth &amp; Environm Sci, Leuven, Belgium; [Demuzere, M.] Univ Ghent, Dept Environm, Ghent, Belgium; [Lenaerts, J. T. M.] Univ Colorado Boulder, Dept Atmospher &amp; Ocean Sci, Boulder, CO USA; [Medley, B.] NASA, Goddard Space Flight Ctr, Cryospher Sci Lab, Greenbelt, MD USA; [Gorodetskaya, I. V.] Univ Aveiro, Dept Phys, Ctr Environm &amp; Marine Sci, Aveiro, Portugal</t>
  </si>
  <si>
    <t>KU Leuven; Ghent University; University of Colorado System; University of Colorado Boulder; National Aeronautics &amp; Space Administration (NASA); NASA Goddard Space Flight Center; Universidade de Aveiro</t>
  </si>
  <si>
    <t>Souverijns, N (corresponding author), Katholieke Univ Leuven, Dept Earth &amp; Environm Sci, Leuven, Belgium.</t>
  </si>
  <si>
    <t>niels.souverijns@kuleuven.be</t>
  </si>
  <si>
    <t>van Lipzig, Nicole/ABF-2964-2021; Gorodetskaya, Irina V./K-1987-2015; Demuzere, Matthias/HOF-7046-2023; Gossart, Alexandra/AAK-8903-2020; Lenaerts, Jan/D-9423-2012; Demuzere, Matthias/AFE-8260-2022; Souverijns, Niels/AAB-2142-2019</t>
  </si>
  <si>
    <t>van Lipzig, Nicole/0000-0003-2899-4046; Demuzere, Matthias/0000-0003-3237-4077; Gossart, Alexandra/0000-0002-1927-2685; Lenaerts, Jan/0000-0003-4309-4011; Demuzere, Matthias/0000-0003-3237-4077; Souverijns, Niels/0000-0003-4695-9754; Vanden Broucke, Sam/0000-0002-2020-6247</t>
  </si>
  <si>
    <t>Belgian Science Policy Office (BELSPO) [BR/143/A2/AEROCLOUD]; Research Foundation Flanders (FWO) [G0C2215N]; Research Foundation-Flanders (FWO); Flemish Government-Department EWI; NSF [ANT-1543305]</t>
  </si>
  <si>
    <t>Belgian Science Policy Office (BELSPO)(Belgian Federal Science Policy Office); Research Foundation Flanders (FWO)(FWO); Research Foundation-Flanders (FWO)(FWO); Flemish Government-Department EWI; NSF(National Science Foundation (NSF))</t>
  </si>
  <si>
    <t>This work was supported by the Belgian Science Policy Office (BELSPO; grant BR/143/A2/AEROCLOUD) and the Research Foundation Flanders (FWO; grant G0C2215N). COSMO-CLM is the community model of the German regional climate research jointly further developed by the CLM-Community. The computational resources and services used in this work were provided by the VSC (Flemish Supercomputer Center), funded by the Research Foundation-Flanders (FWO) and the Flemish Government-Department EWI. Martijn Oldenhof and Jan Ooghe (KU Leuven) are acknowledged for their support in the installation of the COSMO-CLM2 model. Leonardus van Kampenhout (Institute for Marine and Atmospheric Research Utrecht) is thanked for his advice in the application of the Community Land Model. We thankWim Boot, Carleen Reijmer, and Michiel van den Broeke (Institute for Marine and Atmospheric Research Utrecht) for the development of the automatic weather stations, technical support, and raw data processing. Part of the observational data were obtained from MeteoClimatological Observatory at Mario Zucchelli Station and Victoria Land of PNRA (http://www.climantartide.it) and the Australian Antarctic Division Glaciology Program. The authors appreciate the support of the University ofWisconsin-Madison automatic weather station Program for the data set, data display, and information, NSF grant ANT-1543305. The COSMO-CLM2 monthly output of the key variables described in the paper is open-access available (https://doi.org/10.5281/zenodo.2539147).</t>
  </si>
  <si>
    <t>10.1029/2018JD028862</t>
  </si>
  <si>
    <t>WOS:000459377000015</t>
  </si>
  <si>
    <t>Silber, I; Verlinde, J; Cadeddu, M; Flynn, CJ; Vogelmann, AM; Eloranta, EW</t>
  </si>
  <si>
    <t>Silber, Israel; Verlinde, Johannes; Cadeddu, Maria; Flynn, Connor J.; Vogelmann, Andrew M.; Eloranta, Edwin W.</t>
  </si>
  <si>
    <t>Antarctic Cloud Macrophysical, Thermodynamic Phase, and Atmospheric Inversion Coupling Properties at McMurdo StationPart II: Radiative Impact During Different Synoptic Regimes</t>
  </si>
  <si>
    <t>Antarctic clouds; mixed-phase clouds; cloud radiative forcing; radiatively cloudy net LW; self-organizing map; AWARE</t>
  </si>
  <si>
    <t>ROSS ICE SHELF; PRECIPITABLE WATER-VAPOR; WEST ANTARCTICA; MESOSCALE CYCLOGENESIS; SEA-ICE; CLIMATE; SURFACE; TEMPERATURE; LIQUID; MODEL</t>
  </si>
  <si>
    <t>Different cloud types are generated over Antarctica as a result of various synoptic conditions. The cloud characteristics affect their impact on the surface energy budget. In this study, the dominating synoptic regimes over Antarctica (centered on the Ross Ice Shelf) are classified using self-organizing map analysis, applied over long-term ERA-Interim 700-hPa geopotential height data. The corresponding cloud properties over McMurdo Station (measured as part of the AWARE campaign) are described and discussed with respect to the synoptic settings and sea-ice extent conditions. Cloud radiative forcing calculations are performed as well, and a particular focus is given to the net longwave radiatively cloudy/opaque (RO) regime. These results are compared with measurements performed at the West Antarctic Ice Sheet (WAIS) Divide to examine their variability and applicability to other Antarctic locations. It is found that the McMurdo cloud properties are strongly affected by the regional flow patterns and mesoscale cyclonic activity, which often moderates the larger-scale synoptic regime influence. In contrast, the WAIS clouds are more susceptible to the varying synoptic settings. It is suggested that the positive trend in the (frequent) cyclonic activity near the Antarctic coastal regions makes ice clouds an increasingly prominent contributor for the RO cases, especially during freezeup and maximum sea-ice conditions.</t>
  </si>
  <si>
    <t>[Silber, Israel; Verlinde, Johannes] Penn State Univ, Dept Meteorol &amp; Atmospher Sci, University Pk, PA 16802 USA; [Cadeddu, Maria] Argonne Natl Lab, 9700 S Cass Ave, Argonne, IL 60439 USA; [Flynn, Connor J.] Pacific Northwest Natl Lab, Richland, WA USA; [Vogelmann, Andrew M.] Brookhaven Natl Lab, Upton, NY 11973 USA; [Eloranta, Edwin W.] Univ Wisconsin, Space Sci &amp; Engn Ctr, Madison, WI USA</t>
  </si>
  <si>
    <t>Pennsylvania Commonwealth System of Higher Education (PCSHE); Pennsylvania State University; Pennsylvania State University - University Park; United States Department of Energy (DOE); Argonne National Laboratory; United States Department of Energy (DOE); Pacific Northwest National Laboratory; United States Department of Energy (DOE); Brookhaven National Laboratory; University of Wisconsin System; University of Wisconsin Madison</t>
  </si>
  <si>
    <t>Silber, I (corresponding author), Penn State Univ, Dept Meteorol &amp; Atmospher Sci, University Pk, PA 16802 USA.</t>
  </si>
  <si>
    <t>israel0silber@gmail.com</t>
  </si>
  <si>
    <t>/H-8351-2017; Vogelmann, Andrew/M-8779-2014</t>
  </si>
  <si>
    <t>/0000-0002-9121-3110; Silber, Israel/0000-0001-6588-2145; Cadeddu, Maria/0000-0002-6430-0585; Vogelmann, Andrew/0000-0003-1918-5423</t>
  </si>
  <si>
    <t>DOE ARM Climate Research Facility Program; NSF Division of Polar Program; National Science Foundation [PLR-1443495]; DOE [DE-SC0017981, DE-SC0012704]</t>
  </si>
  <si>
    <t>DOE ARM Climate Research Facility Program; NSF Division of Polar Program; National Science Foundation(National Science Foundation (NSF)); DOE(United States Department of Energy (DOE))</t>
  </si>
  <si>
    <t>AWARE is supported by the DOE ARM Climate Research Facility and NSF Division of Polar Programs. The data used in this study are available in the ARM data archive (http://www.archive.arm.gov). Ten-second resolution HSRL data can be obtained from the University of WisconsinMadison HSRL Lidar Group (http://lidar.ssec.wisc.edu). The MPL LCBH data product is available as a PI data product in the ARM data archive (https://www.osti.gov/servlets/purl/1438194). ERA-Interim reanalysis data are accessible via the ECMWF database (https://www.ecmwf.int/en/forecasts/datasets/archive-datasets/reanalysisdatasets/era-interim). Sea-ice extent time series can be viewed and downloaded via the National Snow &amp; Ice Data Center website (https://nsidc.org/data/seaice_index/archives). The data plotted in Figures 5, 6c-6j, 7, and 8 are given in the supporting information. The authors wish to thank Steven Feldstein, Eugene Clothiaux, and Nathaniel Johnson for the fruitful discussions and Lucien Simpfendoerfer for assistance with the RRTM. Chuck Long provided valuable guidance in calculating the downwelling LW radiation. The authors also thank the three anonymous reviewers for their insightful comments and help in improving the manuscript. I. S. and J. V. are supported by the National Science Foundation Grant PLR-1443495 and by the DOE Grant DE-SC0017981. A. M. V. is supported by DOE under contract DE-SC0012704.</t>
  </si>
  <si>
    <t>10.1029/2018JD029471</t>
  </si>
  <si>
    <t>WOS:000459377000030</t>
  </si>
  <si>
    <t>Sniderman, JMK; Hellstrom, J; Woodhead, JD; Drysdale, RN; Bajo, P; Archer, M; Hatcher, L</t>
  </si>
  <si>
    <t>Sniderman, J. M. K.; Hellstrom, J.; Woodhead, J. D.; Drysdale, R. N.; Bajo, P.; Archer, M.; Hatcher, L.</t>
  </si>
  <si>
    <t>Vegetation and Climate Change in Southwestern Australia During the Last Glacial Maximum</t>
  </si>
  <si>
    <t>LATE QUATERNARY VEGETATION; NEW-SOUTH-WALES; LATE PLEISTOCENE VEGETATION; EPICA DOME C; NEW-ZEALAND; PALYNOLOGICAL EVIDENCE; ANTARCTIC TEMPERATURE; HOLOCENE VEGETATION; WESTERN-AUSTRALIA; FRASER ISLAND</t>
  </si>
  <si>
    <t>The nature and duration of the Last Glacial Maximum (LGM) in Australia are poorly understood, with little regional agreement on the timing and direction of LGM climate changes. One reason for this is that Australian Late Pleistocene terrestrial sediments typically are both sparse and inorganic, inhibiting the development of detailed radiocarbon chronologies. To address this problem, we extracted fossil pollen from radiometrically dated stalagmites collected in southwest Western Australia. Our pollen record, supported by 30 U-Th dates, reveals the vegetation response to Late Pleistocene climates between similar to 34 and 14 ka, through the body of the LGM. Before similar to 28 ka, sclerophyll forests were more open than today, but at similar to 28 ka forest cover was essentially eliminated, and treeless conditions were maintained until progressive reforestation at similar to 17.5 ka. This similar to 10-ka-long full glacial episode correlates with other mid-high latitude Southern Hemisphere records, suggesting that LGM environmental changes were closely coordinated across the hemisphere.</t>
  </si>
  <si>
    <t>[Sniderman, J. M. K.; Hellstrom, J.; Woodhead, J. D.; Bajo, P.] Univ Melbourne, Sch Earth Sci, Melbourne, Vic, Australia; [Drysdale, R. N.; Bajo, P.] Univ Melbourne, Sch Geog, Melbourne, Vic, Australia; [Archer, M.] Univ New South Wales, Sch Biol Earth &amp; Environm Sci, Kensington, NSW, Australia; [Hatcher, L.] CaveWorks, Margaret River, WA, Australia</t>
  </si>
  <si>
    <t>University of Melbourne; Melbourne Bioinformatics; Melbourne Genomics Health Alliance; University of Melbourne; University of New South Wales Sydney</t>
  </si>
  <si>
    <t>Sniderman, JMK (corresponding author), Univ Melbourne, Sch Earth Sci, Melbourne, Vic, Australia.</t>
  </si>
  <si>
    <t>kale.sniderman@unimelb.edu.au</t>
  </si>
  <si>
    <t>Drysdale, Russell/AAH-9376-2019; Hellstrom, John C/B-1770-2008; Woodhead, Jon/C-2227-2012</t>
  </si>
  <si>
    <t>Sniderman, Kale/0000-0002-3963-4049; Hellstrom, John/0000-0001-9427-3525; Woodhead, Jon/0000-0002-7614-0136; Archer, Michael/0000-0002-0304-4039; Drysdale, Russell/0000-0001-7867-031X</t>
  </si>
  <si>
    <t>Australian Research Council [FL160100028, FT 130100801]</t>
  </si>
  <si>
    <t>The authors declare no conflict of interest. We thank Mark Delane of the Margaret River Busselton Tourism Association, for facilitating ongoing access to Mammoth Cave; Nick Porch for helpful discussions; Matthias Moros and Patrick DeDeckker for MD03-2611 geochemical data; and Marcus Vandergoes for Galway Tarn pollen data. Data supporting the conclusions of this paper are entirely contained within the paper, references, and supporting information. This research was supported by Australian Research Council grant FL160100028 to J. D. W. and FT 130100801 to J. H.</t>
  </si>
  <si>
    <t>10.1029/2018GL080832</t>
  </si>
  <si>
    <t>WOS:000462072800065</t>
  </si>
  <si>
    <t>Moffat-Griffin, T</t>
  </si>
  <si>
    <t>Moffat-Griffin, T.</t>
  </si>
  <si>
    <t>An Introduction to Atmospheric Gravity Wave Science in the Polar Regions and First Results From ANGWIN</t>
  </si>
  <si>
    <t>gravity waves; ANGWIN</t>
  </si>
  <si>
    <t>ANTARCTICA</t>
  </si>
  <si>
    <t>[Moffat-Griffin, T.] British Antarctic Survey, Cambridge, England</t>
  </si>
  <si>
    <t>Moffat-Griffin, T (corresponding author), British Antarctic Survey, Cambridge, England.</t>
  </si>
  <si>
    <t>tmof@bas.ac.uk</t>
  </si>
  <si>
    <t>NERC [bas0100032] Funding Source: UKRI</t>
  </si>
  <si>
    <t>10.1029/2019JD030247</t>
  </si>
  <si>
    <t>WOS:000459377000001</t>
  </si>
  <si>
    <t>Caruso, T; Hogg, ID; Nielsen, UN; Bottos, EM; Lee, CK; Hopkins, DW; Cary, SC; Barrett, JE; Green, TGA; Storey, BC; Wall, DH; Adams, BJ</t>
  </si>
  <si>
    <t>Caruso, Tancredi; Hogg, Ian D.; Nielsen, Uffe N.; Bottos, Eric M.; Lee, Charles K.; Hopkins, David W.; Cary, S. Craig; Barrett, John E.; Green, T. G. Allan; Storey, Bryan C.; Wall, Diana H.; Adams, Byron J.</t>
  </si>
  <si>
    <t>Nematodes in a polar desert reveal the relative role of biotic interactions in the coexistence of soil animals</t>
  </si>
  <si>
    <t>COMMUNICATIONS BIOLOGY</t>
  </si>
  <si>
    <t>MCMURDO DRY VALLEYS; SPATIAL STRUCTURE; ANTARCTIC SOIL; VICTORIA LAND; DIVERSITY; PATTERNS; COMMUNITIES; MAINTENANCE; FRAMEWORK; IDENTIFY</t>
  </si>
  <si>
    <t>Abiotic factors are major determinants of soil animal distributions and their dominant role is pronounced in extreme ecosystems, with biotic interactions seemingly playing a minor role. We modelled co-occurrence and distribution of the three nematode species that dominate the soil food web of the McMurdo Dry Valleys (Antarctica). Abiotic factors, other biotic groups, and autocorrelation all contributed to structuring nematode species distributions. However, after removing their effects, we found that the presence of the most abundant nematode species greatly, and negatively, affected the probability of detecting one of the other two species. We observed similar patterns in relative abundances for two out of three pairs of species. Harsh abiotic conditions alone are insufficient to explain contemporary nematode distributions whereas the role of negative biotic interactions has been largely underestimated in soil. The future challenge is to understand how the effects of global change on biotic interactions will alter species coexistence.</t>
  </si>
  <si>
    <t>[Caruso, Tancredi] Queens Univ Belfast, Med Biol Ctr, Sch Biol Sci, 97 Lisburn Rd, Belfast BT9 7BL, Antrim, North Ireland; [Caruso, Tancredi] Queens Univ Belfast, Med Biol Ctr, Inst Global Food Secur, 97 Lisburn Rd, Belfast BT9 7BL, Antrim, North Ireland; [Hogg, Ian D.; Lee, Charles K.; Cary, S. Craig; Green, T. G. Allan] Univ Waikato, Int Ctr Terr Antarctic Res, Hamilton 3240, New Zealand; [Hogg, Ian D.] Polar Knowledge Canada, Canadian High Arctic Res Stn, 1 Uvajuk Rd, Cambridge Bay, NU X0B 0C0, Canada; [Nielsen, Uffe N.] Western Sydney Univ, Hawkesbury Inst Environm, Penrith, NSW 2751, Australia; [Bottos, Eric M.] Thompson Rivers Univ, Dept Biol Sci, Kamloops, BC V2C 3A6, Canada; [Hopkins, David W.] SRUC Scotlands Rural Coll, West Mains Rd, Edinburgh EH9 3JG, Midlothian, Scotland; [Barrett, John E.] Virginia Tech, Dept Biol Sci, Blacksburg, VA 24061 USA; [Storey, Bryan C.] Univ Canterbury, Gateway Antarctica, Christchurch 8140, New Zealand; [Wall, Diana H.] Colorado State Univ, Dept Biol, Ft Collins, CO 80523 USA; [Adams, Byron J.] Brigham Young Univ, Dept Biol, Evolutionary Ecol Labs, Provo, UT 84602 USA; [Adams, Byron J.] Brigham Young Univ, Monte L Bean Museum, Provo, UT 84602 USA</t>
  </si>
  <si>
    <t>Queens University Belfast; Queens University Belfast; University of Waikato; Western Sydney University; Scotland's Rural College; Virginia Polytechnic Institute &amp; State University; University of Canterbury; Colorado State University; Brigham Young University; Brigham Young University</t>
  </si>
  <si>
    <t>Caruso, T (corresponding author), Queens Univ Belfast, Med Biol Ctr, Sch Biol Sci, 97 Lisburn Rd, Belfast BT9 7BL, Antrim, North Ireland.;Caruso, T (corresponding author), Queens Univ Belfast, Med Biol Ctr, Inst Global Food Secur, 97 Lisburn Rd, Belfast BT9 7BL, Antrim, North Ireland.</t>
  </si>
  <si>
    <t>t.caruso@qub.ac.uk</t>
  </si>
  <si>
    <t>Lee, Charles/AAC-9417-2019; Caruso, Tancredi/H-1103-2012; lee, charles/AAW-6627-2021; Hogg, Ian D./HNS-7393-2023; Wall, Diana H/F-5491-2011; Adams, Byron/C-3808-2009; Barrett, John/D-5851-2016</t>
  </si>
  <si>
    <t>Lee, Charles/0000-0002-6562-4733; lee, charles/0000-0001-6906-4895; Hogg, Ian D./0000-0002-6685-0089; Cary, Stephen/0000-0002-2876-2387; Caruso, Tancredi/0000-0002-3607-9609; Adams, Byron/0000-0002-7815-3352; Hopkins, David/0000-0003-0953-8643; Barrett, John/0000-0002-7610-0505</t>
  </si>
  <si>
    <t>New Zealand Foundation for Research, Science and Technology [UOWX0710]; New Zealand Marsden Fund [UOW1003]; New Zealand Ministry of Business, Innovation and Employment [UOWX1401]; United States National Science Foundation [ANT-0944556, ANT-0944560, LTER OPP 115245]; FP7 Marie Curie Actions (SENSE: Structure and Ecological Niche in the Soil Environment) [EC FP7 -631399 -SENSE]; New Zealand Ministry of Business, Innovation &amp; Employment (MBIE) [UOWX1401] Funding Source: New Zealand Ministry of Business, Innovation &amp; Employment (MBIE)</t>
  </si>
  <si>
    <t>New Zealand Foundation for Research, Science and Technology(New Zealand Foundation for Research, Science and Technology); New Zealand Marsden Fund(Royal Society of New ZealandMarsden Fund (NZ)); New Zealand Ministry of Business, Innovation and Employment(New Zealand Ministry of Business, Innovation and Employment (MBIE)); United States National Science Foundation(National Science Foundation (NSF)); FP7 Marie Curie Actions (SENSE: Structure and Ecological Niche in the Soil Environment); New Zealand Ministry of Business, Innovation &amp; Employment (MBIE)</t>
  </si>
  <si>
    <t>This research was supported by grants from the New Zealand Foundation for Research, Science and Technology (UOWX0710) to S.C.C. and T.G. A.G.;the New Zealand Marsden Fund to C.K.L. (UOW1003); the New Zealand Ministry of Business, Innovation and Employment to S.C.C., C.K.L., I.D.H. and B.C.S. (UOWX1401); and the United States National Science Foundation (ANT-0944556, ANT-0944560 to S.C.C. and LTER OPP 115245 to B.J.A., J.E.B. and D.H.W.); FP7 Marie Curie Actions (SENSE: Structure and Ecological Niche in the Soil Environment; EC FP7 -631399 -SENSE) to T.C. We acknowledge contributions from all participants of nzTABS field expeditions, including J.C. Banks, L. Brabyn, C.M. Beard, M.J. Bentley, N. Carson, C. Colesie, Y. Cook, D.A. Cowan, N.J. Demetras, R. Gademann, I. Jones, K. Joy, D.C. Laughlin, I. R. McDonald, J.R. Quilez, A. de los Rios, P. Ross, U. Ruprecht, L. Sancho, R. Seppelt, T. Smith, A.D. Sparrow, M. I. Stevens, G.A. Stichbury, G. Tiao, and many others (in alphabetical order). We thank Antarctica New Zealand and the United States Antarctic Program for logistics support. Bishwo Adhikari, Karen Seaver, Zach Sylvain, and Breana Simmons provided field and lab assistance.</t>
  </si>
  <si>
    <t>2399-3642</t>
  </si>
  <si>
    <t>COMMUN BIOL</t>
  </si>
  <si>
    <t>Commun. Biol.</t>
  </si>
  <si>
    <t>FEB 15</t>
  </si>
  <si>
    <t>10.1038/s42003-018-0260-y</t>
  </si>
  <si>
    <t>HO7UH</t>
  </si>
  <si>
    <t>WOS:000461154900003</t>
  </si>
  <si>
    <t>Bierma, JC; Roskamp, K; Ledray, A; Kiss, AJ; Cheng, CHC; Martin, RW</t>
  </si>
  <si>
    <t>Bierma, Jan C.; Roskamp, Kyle; Ledray, Aaron; Kiss, Andor J.; Cheng, C. -H. Christina; Martin, Rachel W.</t>
  </si>
  <si>
    <t>Uncovering the Role of Surface Residues and Buffer Composition in Liquid-Liquid Phase Separation of Eye Lens Crystallins from an Antarctic Toothfish</t>
  </si>
  <si>
    <t>BIOPHYSICAL JOURNAL</t>
  </si>
  <si>
    <t>63rd Annual Meeting of the Biophysical-Society</t>
  </si>
  <si>
    <t>MAR 02-06, 2019</t>
  </si>
  <si>
    <t>Baltimore, MD</t>
  </si>
  <si>
    <t>[Bierma, Jan C.; Roskamp, Kyle; Ledray, Aaron; Martin, Rachel W.] UC Irvine, Irvine, CA USA; [Kiss, Andor J.] Miami Univ, Oxford, OH 45056 USA; [Cheng, C. -H. Christina] Univ Illinios Urbana Champaign, Urbana, IL USA</t>
  </si>
  <si>
    <t>University of California System; University of California Irvine; University System of Ohio; Miami University</t>
  </si>
  <si>
    <t>Kiss, Andor J/E-9863-2016</t>
  </si>
  <si>
    <t>Kiss, Andor J/0000-0002-7508-0485</t>
  </si>
  <si>
    <t>CELL PRESS</t>
  </si>
  <si>
    <t>50 HAMPSHIRE ST, FLOOR 5, CAMBRIDGE, MA 02139 USA</t>
  </si>
  <si>
    <t>0006-3495</t>
  </si>
  <si>
    <t>1542-0086</t>
  </si>
  <si>
    <t>BIOPHYS J</t>
  </si>
  <si>
    <t>Biophys. J.</t>
  </si>
  <si>
    <t>2248-Plat</t>
  </si>
  <si>
    <t>454A</t>
  </si>
  <si>
    <t>10.1016/j.bpj.2018.11.2450</t>
  </si>
  <si>
    <t>Biophysics</t>
  </si>
  <si>
    <t>HO2XG</t>
  </si>
  <si>
    <t>WOS:000460779802283</t>
  </si>
  <si>
    <t>Hughes, KA; Convey, P; Pertierra, LR; Vega, GC; Aragón, P; Olalla-Tárraga, MA</t>
  </si>
  <si>
    <t>Hughes, Kevin A.; Convey, Peter; Pertierra, Luis R.; Vega, Greta C.; Aragon, Pedro; Olalla-Tarraga, Miguel A.</t>
  </si>
  <si>
    <t>Human-mediated dispersal of terrestrial species between Antarctic biogeographic regions: A preliminary risk assessment</t>
  </si>
  <si>
    <t>JOURNAL OF ENVIRONMENTAL MANAGEMENT</t>
  </si>
  <si>
    <t>Non-native; Biological homogenisation; Genetic homogenisation; Inter-regional transfer; Human footprint; Conservation</t>
  </si>
  <si>
    <t>KING GEORGE ISLAND; POA-ANNUA; BIOLOGICAL INVASIONS; SPATIAL-DISTRIBUTION; ERETMOPTERA-MURPHYI; BIOTIC INTERACTIONS; SOUTHERN-OCEAN; VICTORIA LAND; LIFE-HISTORY; DIVERSITY</t>
  </si>
  <si>
    <t>The distribution of terrestrial biodiversity within Antarctica is complex, with 16 distinct biogeographic regions (Antarctic Conservation Biogeographic Regions) currently recognised within the Antarctic continent, Peninsula and Scotia Arc archipelagos of the Antarctic Treaty area. Much of this diversity is endemic not only to Antarctica as a whole, but to specific regions within it. Further complexity is added by inclusion of the biodiversity found on the islands located in the Southern Ocean north of the Treaty area. Within Antarctica, scientific, logistic and tourism activities may inadvertently move organisms over potentially long distances, far beyond natural dispersal ranges. Such translocation can disrupt natural species distribution patterns and biogeography through: (1) movement of spatially restricted indigenous species to other areas of Antarctica; (2) movement of distinct populations of more generally distributed species from one area of Antarctica to another, leading to genetic homogenisation and loss of assumed local patterns of adaptation; and (3) further dispersal of introduced non-native species from one area of Antarctica to another. Species can be moved between regions in association with people and cargo, by ship, aircraft and overland travel. Movement of cargo and personnel by ship between stations located in different biogeographic regions is likely to present one of the greatest risks, particularly as coastal stations may experience similar climatic conditions, making establishment more likely. Recognising that reducing the risk of inter-regional transfer of species is a priority issue for the Antarctic Treaty Consultative Meeting, we make practical recommendations aimed at reducing this risk, including the implementation of appropriate biosecurity procedures.</t>
  </si>
  <si>
    <t>[Hughes, Kevin A.; Convey, Peter] British Antarctic Survey, Nat Environm Res Council, Madingley Rd, Cambridge CB3 0ET, England; [Pertierra, Luis R.; Aragon, Pedro] CSIC, Museo Nacl Ciencias Nat, Dept Biogeog &amp; Global Change, Calle Jose Gutierrez Abascal 2, E-28006 Madrid, Spain; [Vega, Greta C.; Olalla-Tarraga, Miguel A.] Rey Juan Carlos Univ, Dept Biol &amp; Geol, Phys &amp; Inorgan Chem, Calle Tulipan S-N, Mostoles 28933, Madrid, Spain</t>
  </si>
  <si>
    <t>UK Research &amp; Innovation (UKRI); Natural Environment Research Council (NERC); NERC British Antarctic Survey; Consejo Superior de Investigaciones Cientificas (CSIC); CSIC - Museo Nacional de Ciencias Naturales (MNCN); Universidad Rey Juan Carlos</t>
  </si>
  <si>
    <t>Hughes, KA (corresponding author), British Antarctic Survey, Nat Environm Res Council, Madingley Rd, Cambridge CB3 0ET, England.</t>
  </si>
  <si>
    <t>kehu@bas.ac.uk</t>
  </si>
  <si>
    <t>Carrete Vega, Greta/E-8666-2016; Pertierra, Luis R./K-3727-2017; Hughes, Kevin/JVZ-0793-2024; Aragón, Pedro/B-2598-2009; Olalla-Tárraga, Miguel Ángel/ABE-7880-2020; Convey, Peter/AAV-5728-2020</t>
  </si>
  <si>
    <t>Pertierra, Luis R./0000-0002-2232-428X; Aragón, Pedro/0000-0002-6849-7274; Olalla-Tárraga, Miguel Ángel/0000-0001-5346-4528; Convey, Peter/0000-0001-8497-9903</t>
  </si>
  <si>
    <t>ALIENANT project - Spanish MINECO [CTM2013-47381-P]; Natural Environment Research Council; 'Ramon y Cajal' Program (Spanish MINECO) [RYC-2011-07670]; [CGL2014-56416-P]; NERC [bas010011, bas0100036] Funding Source: UKRI</t>
  </si>
  <si>
    <t>ALIENANT project - Spanish MINECO; Natural Environment Research Council(UK Research &amp; Innovation (UKRI)Natural Environment Research Council (NERC)); 'Ramon y Cajal' Program (Spanish MINECO); ; NERC(UK Research &amp; Innovation (UKRI)Natural Environment Research Council (NERC))</t>
  </si>
  <si>
    <t>This paper contributes to the British Antarctic Survey (BAS) Polar Science for Planet Earth 'Biodiversity, Evolution and Adaptation' programme, the BAS Environment Office Long Term Monitoring and Survey project (EO-LTMS) and the 'State of the Antarctic Ecosystem' research programme (AntEco) of the Scientific Committee on Antarctic Research (SCAR). This study also contributes to the ALIENANT project (CTM2013-47381-P) granted by Spanish MINECO to M.A. Olalla-Tarraga. K.A. Hughes and Peter Convey are supported by Natural Environment Research Council core funding to BAS. L.R. Pertierra is supported by a contract associated to the project NICHEAPPS (CGL2014-56416-P) granted to P. Aragon. P. Aragon was funded by the 'Ramon y Cajal' Program (Spanish MINECO, RYC-2011-07670). Laura Gerrish and Peter Fretwell are thanked for map preparation and John Hall, Michael Dinn and Rodney Arnold for information on logistics and operational activities in Antarctica. We would also like to thank two anonymous reviews for insightful comments that helped improve this work.</t>
  </si>
  <si>
    <t>0301-4797</t>
  </si>
  <si>
    <t>1095-8630</t>
  </si>
  <si>
    <t>J ENVIRON MANAGE</t>
  </si>
  <si>
    <t>J. Environ. Manage.</t>
  </si>
  <si>
    <t>10.1016/j.jenvman.2018.10.095</t>
  </si>
  <si>
    <t>HN0AD</t>
  </si>
  <si>
    <t>WOS:000459845200009</t>
  </si>
  <si>
    <t>Obara, S; Hamanaka, R; El-Sayed, AG</t>
  </si>
  <si>
    <t>Obara, Shin'ya; Hamanaka, Ryo; El-Sayed, Abeer Galal</t>
  </si>
  <si>
    <t>Design methods for microgrids to address seasonal energy availability - A case study of proposed Showa Antarctic Station retrofits</t>
  </si>
  <si>
    <t>Seasonal energy shift; Hydrogen supply chain; Microgrid; Operation planning; Showa Station</t>
  </si>
  <si>
    <t>HYDROGEN SUPPLY CHAIN; STORAGE-SYSTEM; SMART GRIDS; OPTIMIZATION; DEMAND; GENERATION; LIQUID</t>
  </si>
  <si>
    <t>The system-wide efficiency of a microgrid can be hampered by seasonal supply-demand gaps in energy resources. To address seasonal fluctuations in the availability of renewable resources that reduce the efficiency of fossil fuel generation, this study reports on the optimization of a microgrid that accommodates seasonal shifts in supply and demand with energy storage solutions using the hydrogen carriers of methyl cyclohexane (MCH), ammonia, or compressed hydrogen. This design method is then applied to a proposed retrofit of the microgrid at Japan's Showa Antarctic Station. This retrofit is modeled with MCH and NH3 used as seasonal hydrogen storage media, suggesting that these hydrogen carriers can store renewable energy at efficiencies of 29.0% and 31.0%, respectively. The methods developed in this article can be applied to develop comprehensive analyses of the advantages and disadvantages of long-term energy storage solutions using a variety of hydrogen carriers in microgrids.</t>
  </si>
  <si>
    <t>[Obara, Shin'ya] Kitami Inst Technol, Dept Elect &amp; Elect Engn, Power Engn Lab, Koen Cho 165, Kitami, Hokkaido 0908507, Japan; [Hamanaka, Ryo] Hokkaido Railway Co, Chyou Ku, 1-1 Kita 11,Nlishi 15, Sapporo, Hokkaido 0600011, Japan; [El-Sayed, Abeer Galal] El Fayoum Univ, Fac Engn, Dept Elect Engn, Al Fayyum, Egypt</t>
  </si>
  <si>
    <t>Kitami Institute of Technology; Egyptian Knowledge Bank (EKB); Fayoum University</t>
  </si>
  <si>
    <t>Obara, S (corresponding author), Kitami Inst Technol, Dept Elect &amp; Elect Engn, Power Engn Lab, Koen Cho 165, Kitami, Hokkaido 0908507, Japan.</t>
  </si>
  <si>
    <t>obara@mail.kitami-it.ac.jp; m1552300142@std.kitami-it.ac.jp; ags02@fayoum.edu.eg</t>
  </si>
  <si>
    <t>/P-2554-2019</t>
  </si>
  <si>
    <t>/0000-0003-0481-8478</t>
  </si>
  <si>
    <t>JSPS KAKENHI [JP16H04641, JP16K06981]</t>
  </si>
  <si>
    <t>This study was supported by JSPS KAKENHI Grant Numbers JP16H04641 and JP16K06981.</t>
  </si>
  <si>
    <t>10.1016/j.apenergy.2018.12.031</t>
  </si>
  <si>
    <t>HL4SD</t>
  </si>
  <si>
    <t>WOS:000458712500056</t>
  </si>
  <si>
    <t>TURKEY PLUNGES INTO ANTARCTIC WATERS</t>
  </si>
  <si>
    <t>HL6VL</t>
  </si>
  <si>
    <t>WOS:000458874100044</t>
  </si>
  <si>
    <t>Small, D; Bentley, MJ; Jones, RS; Pittard, ML; Whitehouse, PL</t>
  </si>
  <si>
    <t>Small, David; Bentley, Michael J.; Jones, R. Selwyn; Pittard, Mark L.; Whitehouse, Pippa L.</t>
  </si>
  <si>
    <t>Antarctic ice sheet palaeo-thinning rates from vertical transects of cosmogenic exposure ages</t>
  </si>
  <si>
    <t>Holocene; Glaciology; Antarctica; Cosmogenic isotopes; Ice sheet thinning; Model-data comparison</t>
  </si>
  <si>
    <t>PINE ISLAND GLACIER; RELATIVE SEA-LEVEL; GROUNDING-LINE RETREAT; LARGE ENSEMBLE ANALYSIS; WEST ANTARCTICA; DEGLACIAL HISTORY; ROSS SEA; HOLOCENE DEGLACIATION; PENSACOLA MOUNTAINS; LAST DEGLACIATION</t>
  </si>
  <si>
    <t>Constraining Antarctic ice sheet evolution provides a way to validate numerical ice sheet models that aid predictions of sea-level rise. In this paper we collate cosmogenic exposure ages from exposed nunataks in Antarctica that have been used, or have the potential to be used, to constrain rates of thinning of the Antarctic Ice Sheets since the Last Glacial Maximum. We undertake quality control of the data and adopt a Bayesian approach to outlier detection. Past thinning rates are modelled by Monte Carlo linear regression analysis. We present thinning rates from 23 sites across Antarctica. The resulting data set is the first Antarctic-wide collation of past ice sheet thinning rates and provides an empirical starting point for future model-data comparisons. Palaeo-thinning rates are spatially variable with high rates appearing to correlate to areas of contemporary rapid changes. On centennial timescales past thinning rates are comparable to modern day observations implying that modern day thinning has the potential to persist for centuries in numerous parts of Antarctica. The onset of abrupt thinning from all sites post-dates Meltwater Pulse 1A suggesting that its source region(s) are distal to areas where exposure age constraints on ice surface geometry exist. (C) 2019 Elsevier Ltd. All rights reserved.</t>
  </si>
  <si>
    <t>[Small, David; Bentley, Michael J.; Jones, R. Selwyn; Pittard, Mark L.; Whitehouse, Pippa L.] Univ Durham, Dept Geog, Durham DH1 3LE, England</t>
  </si>
  <si>
    <t>Durham University</t>
  </si>
  <si>
    <t>Small, D (corresponding author), Univ Durham, Dept Geog, Durham DH1 3LE, England.</t>
  </si>
  <si>
    <t>david.p.small@durham.ac.uk</t>
  </si>
  <si>
    <t>Bentley, Michael J/F-7386-2011; Jones, Richard Selwyn/AAJ-3949-2021</t>
  </si>
  <si>
    <t>Bentley, Michael J/0000-0002-2048-0019; Jones, Richard Selwyn/0000-0003-2988-0999; Small, David/0000-0001-8381-2060; Pittard, Mark/0000-0002-9026-7571; Whitehouse, Pippa/0000-0002-9092-3444</t>
  </si>
  <si>
    <t>NERC [NE/J008176/1, NE/F014260/1, NE/K003674/1]; Durham University [609412]; European Union [609412]; NERC [NE/K003674/1, NE/J008176/1, NE/F014260/1, NE/J005673/1] Funding Source: UKRI</t>
  </si>
  <si>
    <t>NERC(UK Research &amp; Innovation (UKRI)Natural Environment Research Council (NERC)); Durham University; European Union(European Union (EU)); NERC(UK Research &amp; Innovation (UKRI)Natural Environment Research Council (NERC))</t>
  </si>
  <si>
    <t>We would like to gratefully acknowledge the ICE-D Antarctica Database and specifically acknowledge Greg Balco for creating an invaluable resource to facilitate comparison of data from across the continent. We would also like to acknowledge all workers, scientific and logistic, whose considerable efforts have provided the cosmogenic exposure age data used in this contribution. MJB acknowledges support from NERC grants NE/J008176/1, NE/F014260/1 NE/K003674/1. PLW and MLP were supported by NERC grant NE/K003674/1. RSJ is supported by a Junior Research Fellowship COFUNDed between Durham University and the European Union under grant agreement number 609412. All data and code used in this submission is available from the authors on reasonable request.</t>
  </si>
  <si>
    <t>10.1016/j.quascirev.2018.12.024</t>
  </si>
  <si>
    <t>HK8GK</t>
  </si>
  <si>
    <t>WOS:000458227200006</t>
  </si>
  <si>
    <t>Yokoyama, Y; Hirabayashi, S; Goto, K; Okuno, J; Sproson, AD; Haraguchi, T; Ratnayake, N; Miyairi, Y</t>
  </si>
  <si>
    <t>Yokoyama, Yusuke; Hirabayashi, Shoko; Goto, Kazuhisa; Okuno, Jun'ichi; Sproson, Adam D.; Haraguchi, Tsuyoshi; Ratnayake, Nalin; Miyairi, Yosuke</t>
  </si>
  <si>
    <t>Holocene Indian Ocean sea level, Antarctic melting history and past Tsunami deposits inferred using sea level reconstructions from the Sri Lankan, Southeastern Indian and Maldivian coasts</t>
  </si>
  <si>
    <t>LAST GLACIAL MAXIMUM; ICE-AGE EARTH; ENVIRONMENTAL-CHANGES; LAKE; FLUCTUATIONS; SOUTHWEST; PENINSULA; VISCOSITY; VOLUMES; MARINE</t>
  </si>
  <si>
    <t>Holocene sea level change in the northern Indian Ocean was studied using geochemical and geophysical approaches. Molluscs were sub-sampled for radiocarbon dating from sediment cores retrieved from a south Sri Lankan coastal lagoon. They were then combined with previously published sediment core radiocarbon ages from the same lagoon. We observe a similar to 20-fold reduction in sedimentation rates at around 4 ka, attributed to a decrease in the rate of sea level rise. Previously reported radiocarbon ages based on total organic matter in the lagoon show remarkable agreement with our new dates suggesting stable and homogeneous sedimentation during the last 8 ka. Comparison of down core age trends of both data sets reveal that sediments are older than coeval molluscs, except for the horizons adjacent to the paleo Tsunami layers, indicating fresh and younger sediments are provided during Tsunami events, which could become a new proxy for identifying paleo Tsunamis. Compilation of previously reported sea level indicators from Sri Lanka, Southeastern. India and the Maldives, together with predicted sea level obtained from a glacio-hydro-isostatic adjustment model (GIA), suggest that 3-4 m of global sea level equivalent ice sheet melting occurred during the Mid Holocene due to the retreat of the Antarctic and/or Greenland ice sheets. Previous works suggests late Holocene (ca. 4 ka) climate anomalies in both the low and high latitudes. We suggest the low latitude climate anomaly, transmitted via atmosphere to the high latitude during the late Holocene, seems to have induced changes in polar ice sheets. (C) 2018 Elsevier Ltd. All rights reserved.</t>
  </si>
  <si>
    <t>[Yokoyama, Yusuke; Sproson, Adam D.; Miyairi, Yosuke] Univ Tokyo, Atmosphere &amp; Ocean Res Inst, 5-1-5 Kashiwanoha, Kashiwa, Chiba 2778564, Japan; [Yokoyama, Yusuke] Univ Tokyo, Grad Sch Sci, Dept Earth &amp; Planetary Sci, Kashiwa, Chiba, Japan; [Yokoyama, Yusuke] Univ Tokyo, Grad Program Environm Sci, Dept Multidisciplinary Sci, Kashiwa, Chiba, Japan; [Yokoyama, Yusuke] Japan Agcy Marine Earth Sci &amp; Technol, Dept Biogeochem, Yokosuka, Kanagawa 2370061, Japan; [Hirabayashi, Shoko] Kyushu Univ, Fac Social &amp; Cultural Studies, Dept Environm Changes, Fukuoka, Fukuoka 8190395, Japan; [Goto, Kazuhisa] Tohoku Univ, Int Res Inst Disaster Sci, Sendai, Miyagi, Japan; [Okuno, Jun'ichi] Natl Inst Polar Res, Tachikawa, Tokyo, Japan; [Haraguchi, Tsuyoshi] Osaka City Univ, Osaka, Japan; [Ratnayake, Nalin] Univ Moratuwa, Dept Earth Resources Engn, Moratuwa, Sri Lanka</t>
  </si>
  <si>
    <t>University of Tokyo; University of Tokyo; University of Tokyo; Japan Agency for Marine-Earth Science &amp; Technology (JAMSTEC); Kyushu University; Tohoku University; Research Organization of Information &amp; Systems (ROIS); National Institute of Polar Research (NIPR) - Japan; Osaka Metropolitan University; University Moratuwa</t>
  </si>
  <si>
    <t>Yokoyama, Y (corresponding author), Univ Tokyo, Atmosphere &amp; Ocean Res Inst, 5-1-5 Kashiwanoha, Kashiwa, Chiba 2778564, Japan.</t>
  </si>
  <si>
    <t>Sproson, Adam/IST-5171-2023; IPO, PAGES/JXY-7546-2024; Goto, Kazuhisa/HZK-6582-2023</t>
  </si>
  <si>
    <t>Yokoyama, Yusuke/0000-0001-7869-5891; Sproson, Adam/0000-0002-1107-3673</t>
  </si>
  <si>
    <t>JSPS KAKENHI [17H01168, 15KK0151, 20403002, 17H01631]; United Nations Secretariat of the International Strategy for Disaster Reduction (UNISDR); Grants-in-Aid for Scientific Research [17H01168, 15KK0151, 17H01631] Funding Source: KAKEN</t>
  </si>
  <si>
    <t>JSPS KAKENHI(Ministry of Education, Culture, Sports, Science and Technology, Japan (MEXT)Japan Society for the Promotion of ScienceGrants-in-Aid for Scientific Research (KAKENHI)); United Nations Secretariat of the International Strategy for Disaster Reduction (UNISDR); Grants-in-Aid for Scientific Research(Ministry of Education, Culture, Sports, Science and Technology, Japan (MEXT)Japan Society for the Promotion of ScienceGrants-in-Aid for Scientific Research (KAKENHI))</t>
  </si>
  <si>
    <t>We thank A.V.P. Vijitha, R. Amarasinghe, S. Iwasaki, A. Tsujimoto, Y. Yoshinaga, J. Takahashi, M. Maki, T. Kayahara, F. Imamura and H. Matsuzaki for their assistance. The work presented here is partly supported from JSPS KAKENHI (17H01168, 15KK0151, 20403002, 17H01631) and the United Nations Secretariat of the International Strategy for Disaster Reduction (UNISDR). This paper is a contribution to INQUA commission on Coastal and Marine Processes and PAGES PALSEA program.</t>
  </si>
  <si>
    <t>10.1016/j.quascirev.2018.11.024</t>
  </si>
  <si>
    <t>WOS:000458227200012</t>
  </si>
  <si>
    <t>Daher, M; Schaefer, CEGR; Fernandes, EI; Francelino, MR; Senra, EO</t>
  </si>
  <si>
    <t>Daher, Mayara; Schaefer, Carlos E. G. R.; Fernandes Filho, Elpidio Inacio; Francelino, Marcio Rocha; Senra, Eduardo Osorio</t>
  </si>
  <si>
    <t>Semi-arid soils from a topolithosequence at James Ross Island, Weddell Sea region, Antarctica: Chemistry, mineralogy, genesis and classification</t>
  </si>
  <si>
    <t>Cryosols; Periglacial soils; Pedogenesis; Magnetite</t>
  </si>
  <si>
    <t>SOUTH-SHETLAND ISLANDS; MAGNETIC-SUSCEPTIBILITY; MARITIME ANTARCTICA; ORNITHOGENIC SOILS; DEVELOPMENT RATES; DRY VALLEY; PENINSULA; CRYOSOLS; PERMAFROST; MOUNTAINS</t>
  </si>
  <si>
    <t>Climate and parent material have a significant impact on the development of Antarctic soils, and areas dominated by basaltic-andesitic volcanic rocks, sedimentary rocks, and metamorphic rocks have been widely studied. James Ross Island, located in the semi-arid transition between East Antarctic Peninsula/Weddell Sea sector, receives both continental and maritime climatic influences, resulting in distinct, transitional soil formation process. In Antarctica, there is little research on semi-arid soils formed on volcano-sedimentary rocks, as well as their pedogenetic processes. In this study, a topolithosequence of volcanic and sedimentary rocks in this semi-arid transitional climate was investigated. Nine profiles, three on marine terraces, four on sedimentary rocks, and two on volcanic rocks were described, sampled, and analyzed for morphological, physical, chemical, and mineralogical properties. Soils are predominantly Gelisols/Cryosols and present cryoturbation features despite the current dry climate. Vegetation is scarce and nesting birds are absent, so that most soils can be characterized as ahumic. All profiles have a skeletic character, with a high percentage of coarse materials. The soil pH varied from neutral to alkaline and the potential acidity values were null. The mineralogy of the clay fraction presented kaolinite, which was likely inherited from warmer and wetter paleoclimatic conditions during sedimentation. The soils have intergrade properties between maritime and continental Antarctic, such as cryoturbation and redoximorphism, side-by-side with desert pavements and ahumic character. Soil properties were more sensitive to the variations in parent material than to the topographic position in the landscape. (C) 2018 Elsevier B.V. All rights reserved.</t>
  </si>
  <si>
    <t>[Daher, Mayara; Schaefer, Carlos E. G. R.; Fernandes Filho, Elpidio Inacio; Francelino, Marcio Rocha; Senra, Eduardo Osorio] Univ Fed Vicosa, Dept Solos, Ave PH Rolfs S-N, Vicosa, MG, Brazil</t>
  </si>
  <si>
    <t>Universidade Federal de Vicosa</t>
  </si>
  <si>
    <t>Daher, M (corresponding author), Univ Fed Vicosa, Dept Solos, Ave PH Rolfs S-N, Vicosa, MG, Brazil.</t>
  </si>
  <si>
    <t>mayara.daher@gmail.com</t>
  </si>
  <si>
    <t>Daher, Mayara/N-7857-2019; Schaefer, Carlos Ernesto/AAY-4977-2020; Filho, Elpidio I Fernandes/G-1560-2012; Francelino, Marcio Rocha/AAS-4224-2020; Filho, Elpídio Inácio Fernandes/AAE-7315-2019</t>
  </si>
  <si>
    <t>Daher, Mayara/0000-0003-4937-2289; Francelino, Marcio Rocha/0000-0001-8837-1372; Filho, Elpídio Inácio Fernandes/0000-0002-9484-1411</t>
  </si>
  <si>
    <t>Coordenacao de Aperfeicoamento de Pessoal de Nivel Superior (CAPES) - Brasil [001]; Brazilian National Research and Technology Council (CNPq)</t>
  </si>
  <si>
    <t>Coordenacao de Aperfeicoamento de Pessoal de Nivel Superior (CAPES) - Brasil(Coordenacao de Aperfeicoamento de Pessoal de Nivel Superior (CAPES)); Brazilian National Research and Technology Council (CNPq)(Conselho Nacional de Desenvolvimento Cientifico e Tecnologico (CNPQ)Fundacao de Apoio a Pesquisa do Distrito Federal (FAPDF))</t>
  </si>
  <si>
    <t>This study was partly financed by the Coordenacao de Aperfeicoamento de Pessoal de Nivel Superior (CAPES) - Brasil Finance Code 001 and Brazilian National Research and Technology Council (CNPq). This work is a contribution of Institute of Science and Technology of the Cryosphere - TERRANTAR group.</t>
  </si>
  <si>
    <t>10.1016/j.geomorph.2018.11.003</t>
  </si>
  <si>
    <t>HI5KT</t>
  </si>
  <si>
    <t>WOS:000456491600024</t>
  </si>
  <si>
    <t>Carracedo, A; Rodés, A; Smellie, JL; Stuart, FM</t>
  </si>
  <si>
    <t>Carracedo, A.; Rodes, A.; Smellie, J. L.; Stuart, F. M.</t>
  </si>
  <si>
    <t>Episodic erosion in West Antarctica inferred from cosmogenic 3He and 10Be in olivine from Mount Hampton</t>
  </si>
  <si>
    <t>Cosmogenic nuclides (He-3, Be-10); Olivine; Erosion rates; Episodic erosion; Mount Hampton; West Antarctica</t>
  </si>
  <si>
    <t>MARIE-BYRD-LAND; NORTHERN VICTORIA LAND; ICE-SHEET; HE-3 CONCENTRATIONS; NUCLIDES DOCUMENT; DENUDATION RATES; VOLCANIC-ROCKS; MANTLE SOURCES; EXPOSURE AGES; DRY VALLEYS</t>
  </si>
  <si>
    <t>The polar climate of Antarctica results in the lowest erosion rates on Earth. The low long-term erosion history of high elevation mountain tops that are exposed above the ice preserve a record of climate change that can be accessed using cosmogenic nuclides. However, unravelling the complexity of the long-term denudation histories of Antarctic summits is frequently hampered by intermittent ice cover. The aim of this work is to identify denudation rate changes in a surface that has been continuously exposed since the middle Miocene. We have measured stable ( He-3) and radioactive (Be-10) cosmogenic nuclides in olivine from Iherzolite xenoliths from the summit of the Mount Hampton shield volcano within the West Antarctic Ice Sheet. The peak (3200 m) has never been covered by the current ice sheet and local ice caps, consequently the data record the subaerial erosion history of a mountain top within the Antarctic interior. The Be-10 concentrations in the olivines yield minimum exposure ages (33 to 501 ka) that are significantly younger than those derived from the cosmogenic He-3 (90 to 1101 ka). The data reveal a complex exposure history that provide an integrated long-term erosion rate of between 0.2 and 0.7 m/My that is most likely caused by mechanical weathering. Inverse modelling shows that the data are readily explained by episodic erosion, consisting of one to five erosion pulses that may record major regional climatic changes. (C) 2018 Elsevier B.V. All rights reserved.</t>
  </si>
  <si>
    <t>[Carracedo, A.; Rodes, A.; Stuart, F. M.] Scottish Univ Environm Res Ctr, Isotope Geosci Unit, Rankine Ave, E Kilbride G75 0QF, Lanark, Scotland; [Smellie, J. L.] Univ Leicester, Dept Geol, Leicester, Leics, England</t>
  </si>
  <si>
    <t>Scottish Universities Research &amp; Reactor Center; University of Leicester</t>
  </si>
  <si>
    <t>Carracedo, A (corresponding author), Scottish Univ Environm Res Ctr, Isotope Geosci Unit, Rankine Ave, E Kilbride G75 0QF, Lanark, Scotland.</t>
  </si>
  <si>
    <t>Fin.Stuart@glasgow.ac.uk</t>
  </si>
  <si>
    <t>Carracedo, Angel/D-4257-2012; Stuart, Finlay M/E-7417-2010; Rodes, Angel/C-9228-2011</t>
  </si>
  <si>
    <t>Rodes, Angel/0000-0001-8488-7689</t>
  </si>
  <si>
    <t>NERC; SUERC; NERC [ciaf010001] Funding Source: UKRI</t>
  </si>
  <si>
    <t>NERC(UK Research &amp; Innovation (UKRI)Natural Environment Research Council (NERC)); SUERC; NERC(UK Research &amp; Innovation (UKRI)Natural Environment Research Council (NERC))</t>
  </si>
  <si>
    <t>The PhD of AC was supported by NERC and SUERC. We thank Prof. John Gamble for providing some of the Mount Hampton xenoliths and Dr. Luigia Di Nicola for her valuable assistance in the laboratory and in data interpretation. We also thank the reviewers and the editor for their help improving the manuscript.</t>
  </si>
  <si>
    <t>10.1016/j.geomorph.2018.11.019</t>
  </si>
  <si>
    <t>WOS:000456491600030</t>
  </si>
  <si>
    <t>Lee, CK; Laughlin, DC; Bottos, EM; Caruso, T; Joy, K; Barrett, JE; Brabyn, L; Nielsen, UN; Adams, BJ; Wall, DH; Hopkins, DW; Pointing, SB; McDonald, IR; Cowan, DA; Banks, JC; Stichbury, GA; Jones, I; Zawar-Reza, P; Katurji, M; Hogg, ID; Sparrow, AD; Storey, BC; Green, TGA; Cary, SC</t>
  </si>
  <si>
    <t>Lee, Charles K.; Laughlin, Daniel C.; Bottos, Eric M.; Caruso, Tancredi; Joy, Kurt; Barrett, John E.; Brabyn, Lars; Nielsen, Uffe N.; Adams, Byron J.; Wall, Diana H.; Hopkins, David W.; Pointing, Stephen B.; McDonald, Ian R.; Cowan, Don A.; Banks, Jonathan C.; Stichbury, Glen A.; Jones, Irfon; Zawar-Reza, Peyman; Katurji, Marwan; Hogg, Ian D.; Sparrow, Ashley D.; Storey, Bryan C.; Green, T. G. Allan; Cary, S. Craig</t>
  </si>
  <si>
    <t>Biotic interactions are an unexpected yet critical control on the complexity of an abiotically driven polar ecosystem</t>
  </si>
  <si>
    <t>SOUTHERN VICTORIA LAND; MCMURDO DRY VALLEYS; SOIL BIODIVERSITY; DIVERSITY; PATTERNS; COMMUNITIES; PRODUCTIVITY; TEMPERATURE; VARIABILITY; COLLEMBOLA</t>
  </si>
  <si>
    <t>Abiotic and biotic factors control ecosystem biodiversity, but their relative contributions remain unclear. The ultraoligotrophic ecosystem of the Antarctic Dry Valleys, a simple yet highly heterogeneous ecosystem, is a natural laboratory well-suited for resolving the abiotic and biotic controls of community structure. We undertook a multidisciplinary investigation to capture ecologically relevant biotic and abiotic attributes of more than 500 sites in the Dry Valleys, encompassing observed landscape heterogeneities across more than 200 km(2). Using richness of autotrophic and heterotrophic taxa as a proxy for functional complexity, we linked measured variables in a parsimonious yet comprehensive structural equation model that explained significant variations in biological complexity and identified landscape-scale and fine-scale abiotic factors as the primary drivers of diversity. However, the inclusion of linkages among functional groups was essential for constructing the best-fitting model. Our findings support the notion that biotic interactions make crucial contributions even in an extremely simple ecosystem.</t>
  </si>
  <si>
    <t>[Lee, Charles K.; Laughlin, Daniel C.; Bottos, Eric M.; Joy, Kurt; McDonald, Ian R.; Banks, Jonathan C.; Hogg, Ian D.; Green, T. G. Allan; Cary, S. Craig] Univ Waikato, Sch Sci, Hamilton 3240, New Zealand; [Lee, Charles K.; Laughlin, Daniel C.; Bottos, Eric M.; Caruso, Tancredi; Joy, Kurt; Barrett, John E.; Brabyn, Lars; Adams, Byron J.; Wall, Diana H.; Hopkins, David W.; Pointing, Stephen B.; McDonald, Ian R.; Cowan, Don A.; Banks, Jonathan C.; Stichbury, Glen A.; Hogg, Ian D.; Storey, Bryan C.; Green, T. G. Allan; Cary, S. Craig] Univ Waikato, Int Ctr Terr Antarctic Res, Hamilton 3240, New Zealand; [Caruso, Tancredi] Queens Univ Belfast, Sch Biol Sci, Belfast BT7 1NN, Antrim, North Ireland; [Caruso, Tancredi] Queens Univ Belfast, Inst Global Food Secur, Belfast BT7 1NN, Antrim, North Ireland; [Barrett, John E.] Virginia Tech, Dept Biol Sci, Blacksburg, VA 24061 USA; [Brabyn, Lars] Univ Waikato, Sch Social Sci, Hamilton 3240, New Zealand; [Nielsen, Uffe N.] Western Sydney Univ, Hawkesbury Inst Environm, Penrith, NSW 2751, Australia; [Adams, Byron J.] Brigham Young Univ, Dept Biol, Evolutionary Ecol Labs, Provo, UT 84602 USA; [Adams, Byron J.] Brigham Young Univ, Monte L Bean Museum, Provo, UT 84602 USA; [Wall, Diana H.] Colorado State Univ, Dept Biol, Ft Collins, CO 80523 USA; [Wall, Diana H.] Colorado State Univ, Sch Global Environm Sustainabil, Ft Collins, CO 80523 USA; [Hopkins, David W.] SRUC Scotlands Rural Coll, Edinburgh EH9 3JG, Midlothian, Scotland; [Pointing, Stephen B.] Natl Univ Singapore, Yale NUS Coll &amp; Dept Biol Sci, Singapore 138527, Singapore; [Cowan, Don A.] Univ Pretoria, Ctr Microbial Ecol &amp; Genom, Dept Biochem Genet &amp; Microbiol, ZA-0002 Pretoria, South Africa; [Stichbury, Glen A.] Univ Waikato, Environm Res Inst, Hamilton 3240, New Zealand; [Jones, Irfon; Storey, Bryan C.] Univ Canterbury, Gateway Antarctica, Christchurch 8041, New Zealand; [Zawar-Reza, Peyman; Katurji, Marwan] Univ Canterbury, Ctr Atmospher Res, Dept Geog, Christchurch 8041, New Zealand; [Sparrow, Ashley D.] CSIRO Ecosyst Sci, Alice Springs, NT 0870, Australia; [Green, T. G. Allan] Univ Complutense Madrid, Fac Farm, Dept Biol Vegetal 2, E-28040 Madrid, Spain; [Cary, S. Craig] Univ Delaware, Coll Earth &amp; Ocean Sci, Newark, DE 19958 USA; [Laughlin, Daniel C.] Univ Wyoming, Dept Bot, Laramie, WY 82071 USA; [Bottos, Eric M.] Thompson Rivers Univ, Dept Biol, Kamloops, BC V2C 0C8, Canada; [Banks, Jonathan C.] Cawthron Inst, Nelson 7010, New Zealand; [Hogg, Ian D.] Canadian High Arctic Res Stn, Polar Knowledge Canada, Bay, NU XOB 0C0, Canada</t>
  </si>
  <si>
    <t>University of Waikato; University of Waikato; Queens University Belfast; Queens University Belfast; Virginia Polytechnic Institute &amp; State University; University of Waikato; Western Sydney University; Brigham Young University; Brigham Young University; Colorado State University; Colorado State University; Scotland's Rural College; Yale NUS College; National University of Singapore; University of Pretoria; University of Waikato; University of Canterbury; University of Canterbury; Commonwealth Scientific &amp; Industrial Research Organisation (CSIRO); Complutense University of Madrid; University of Delaware; University of Wyoming; Cawthron Institute</t>
  </si>
  <si>
    <t>Cary, SC (corresponding author), Univ Waikato, Sch Sci, Hamilton 3240, New Zealand.;Cary, SC (corresponding author), Univ Waikato, Int Ctr Terr Antarctic Res, Hamilton 3240, New Zealand.;Cary, SC (corresponding author), Univ Delaware, Coll Earth &amp; Ocean Sci, Newark, DE 19958 USA.</t>
  </si>
  <si>
    <t>craig.cary@waikdto.ac.nz</t>
  </si>
  <si>
    <t>Laughlin, Daniel C/G-8855-2012; Caruso, Tancredi/H-1103-2012; Sparrow, Ashley/AAD-7709-2020; Hogg, Ian D./HNS-7393-2023; Banks, Jonathan C/B-9767-2008; McDonald, Ian R/A-4851-2008; Cowan, Donald A/E-3991-2012; Pointing, Stephen/JHT-2500-2023; Wall, Diana H/F-5491-2011; lee, charles/AAW-6627-2021; Lee, Charles/AAC-9417-2019; Adams, Byron/C-3808-2009; Barrett, John/D-5851-2016; Brabyn, Lars/N-1479-2016</t>
  </si>
  <si>
    <t>Hogg, Ian D./0000-0002-6685-0089; McDonald, Ian R/0000-0002-4847-6492; Cowan, Donald A/0000-0001-8059-861X; lee, charles/0000-0001-6906-4895; Lee, Charles/0000-0002-6562-4733; Adams, Byron/0000-0002-7815-3352; Hopkins, David/0000-0003-0953-8643; Wall, Diana H./0000-0002-9466-5235; Cary, Stephen/0000-0002-2876-2387; Barrett, John/0000-0002-7610-0505; Caruso, Tancredi/0000-0002-3607-9609; Brabyn, Lars/0000-0002-3400-6182</t>
  </si>
  <si>
    <t>New Zealand Foundation for Research, Science and Technology [UOWX0710, UOWX0715]; New Zealand Marsden Fund [UOW1003]; New Zealand Ministry of Business, Innovation and Employment [UOWX1401]; United States National Science Foundation [ANT-0944556, ANT-1246292, ANT-0944560, ANT-1115245, OPP-1637708]; UK Natural Environment Research Council; Royal Society of London; Carnegie Trust for the Universities of Scotland</t>
  </si>
  <si>
    <t>New Zealand Foundation for Research, Science and Technology(New Zealand Foundation for Research, Science and Technology); New Zealand Marsden Fund(Royal Society of New ZealandMarsden Fund (NZ)); New Zealand Ministry of Business, Innovation and Employment(New Zealand Ministry of Business, Innovation and Employment (MBIE)); United States National Science Foundation(National Science Foundation (NSF)); UK Natural Environment Research Council(UK Research &amp; Innovation (UKRI)Natural Environment Research Council (NERC)); Royal Society of London(Royal Society); Carnegie Trust for the Universities of Scotland</t>
  </si>
  <si>
    <t>We thank C.M. Beard, M.J. Bentley, N. Carson, C. Colesie, Y. Cook, N.J. Demetras, R. Gademann, J.R. Quilez, A. de los Rios, P. Ross, U. Ruprecht, L. Sancho, R. Seppelt, T. Smith, M.I. Stevens, and G. Tiao (in alphabetical order) for their participation in nzTABS field expeditions. We also thank Antarctica New Zealand for logistics support. We acknowledge C. W. Herbold for his assistance with genotyping data analysis. This research was supported by grants from the New Zealand Foundation for Research, Science and Technology to S.C.C. and T.G. A.G. (UOWX0710) and C.K.L. (UOWX0715); the New Zealand Marsden Fund to C.K.L. (UOW1003); the New Zealand Ministry of Business, Innovation and Employment to S.C.C., C.K.L., I.D.H., and B.C.S. (UOWX1401); the United States National Science Foundation to S.C.C. (ANT-0944556 &amp; ANT-1246292), J.E.B. (ANT-0944560), and to D.H.W. and B.J.A. (ANT-1115245 &amp; OPP-1637708); and the UK Natural Environment Research Council, the Royal Society of London, and the Carnegie Trust for the Universities of Scotland to D.W.H.</t>
  </si>
  <si>
    <t>10.1038/s42003-018-0274-5</t>
  </si>
  <si>
    <t>WOS:000461154900002</t>
  </si>
  <si>
    <t>Lambrechts, S; Willems, A; Tahon, G</t>
  </si>
  <si>
    <t>Lambrechts, Sam; Willems, Anne; Tahon, Guillaume</t>
  </si>
  <si>
    <t>Uncovering the Uncultivated Majority in Antarctic Soils: Toward a Synergistic Approach</t>
  </si>
  <si>
    <t>Antarctica; uncultivated majority; cultivation; terrestrial; cultivation-independent; metagenomics; candidate phyla; microbial dark matter</t>
  </si>
  <si>
    <t>SOR RONDANE MOUNTAINS; 16S RIBOSOMAL-RNA; NON-INDIGENOUS MICROORGANISMS; MCMURDO DRY VALLEYS; ROSS SEA REGION; BACTERIAL DIVERSITY; EAST ANTARCTICA; VICTORIA LAND; MICROBIAL DIVERSITY; DOMINANT BACTERIA</t>
  </si>
  <si>
    <t>Although Antarctica was once believed to be a sterile environment, it is now clear that the microbial communities inhabiting the Antarctic continent are surprisingly diverse. Until the beginning of the new millennium, little was known about the most abundant inhabitants of the continent: prokaryotes. From then on, however, the rising use of deep sequencing techniques has led to a better understanding of the Antarctic prokaryote diversity and provided insights in the composition of prokaryotic communities in different Antarctic environments. Although these cultivation-independent approaches can produce millions of sequences, linking these data to organisms is hindered by several problems. The largest difficulty is the lack of biological information on large parts of the microbial tree of life, arising from the fact that most microbial diversity on Earth has never been characterized in laboratory cultures. These unknown prokaryotes, also known as microbial dark matter, have been dominantly detected in all major environments on our planet. Laboratory cultures provide access to the complete genome and the means to experimentally verify genomic predictions and metabolic functions and to provide evidence of horizontal gene transfer. Without such well-documented reference data, microbial dark matter will remain a major blind spot in deep sequencing studies. Here, we review our current understanding of prokaryotic communities in Antarctic ice-free soils based on cultivation-dependent and cultivation-independent approaches. We discuss advantages and disadvantages of both approaches and how these strategies may be combined synergistically to strengthen each other and allow a more profound understanding of prokaryotic life on the frozen continent.</t>
  </si>
  <si>
    <t>[Lambrechts, Sam; Willems, Anne; Tahon, Guillaume] Univ Ghent, Dept Biochem &amp; Microbiol, Lab Microbiol, Ghent, Belgium</t>
  </si>
  <si>
    <t>Ghent University</t>
  </si>
  <si>
    <t>Lambrechts, S; Tahon, G (corresponding author), Univ Ghent, Dept Biochem &amp; Microbiol, Lab Microbiol, Ghent, Belgium.</t>
  </si>
  <si>
    <t>Sam.Lambrechts@UGent.be; Guillaume.Tahon@UGent.be</t>
  </si>
  <si>
    <t>Willems, Anne/B-2872-2010</t>
  </si>
  <si>
    <t>, G/0000-0001-7020-4162; Lambrechts, Sam/0000-0002-8994-319X</t>
  </si>
  <si>
    <t>BRAIN-be program of the Belgian Science Policy BelSPO (project MICROBIAN); Fund for Scientific Research - Flanders [G.0146.12]</t>
  </si>
  <si>
    <t>BRAIN-be program of the Belgian Science Policy BelSPO (project MICROBIAN); Fund for Scientific Research - Flanders(FWO)</t>
  </si>
  <si>
    <t>The authors acknowledge the support of the BRAIN-be program of the Belgian Science Policy BelSPO (project MICROBIAN) and the Fund for Scientific Research - Flanders (project G.0146.12). This review is a contribution to the State of the Antarctic Ecosystem (AntEco) research program of the Scientific Committee on Antarctic Research (SCAR).</t>
  </si>
  <si>
    <t>10.3389/fmicb.2019.00242</t>
  </si>
  <si>
    <t>HL5QE</t>
  </si>
  <si>
    <t>WOS:000458783100001</t>
  </si>
  <si>
    <t>Shulmeister, J; Thackray, GD; Rittenour, TM; Fink, D; Patton, NR</t>
  </si>
  <si>
    <t>Shulmeister, J.; Thackray, G. D.; Rittenour, T. M.; Fink, D.; Patton, N. R.</t>
  </si>
  <si>
    <t>The timing and nature of the last glacial cycle in New Zealand</t>
  </si>
  <si>
    <t>Otiran glaciation; New Zealand; Glacial advances; Westerlies; Paleoclimate; CRN; Luminescence dating</t>
  </si>
  <si>
    <t>FRANZ-JOSEF-GLACIER; LOOP TERMINAL-MORAINE; MIDDLE RAKAIA VALLEY; SOUTHERN ALPS; NORTH-ISLAND; MASS-BALANCE; LUMINESCENCE CHRONOLOGY; QUATERNARY GLACIATIONS; BE-10 CHRONOLOGY; ATMOSPHERIC CO2</t>
  </si>
  <si>
    <t>This paper constitutes a review of the last (Otiran) glaciation in New Zealand, spanning marine isotope stages (MIS) 4-2. We highlight the nature of glaciation, which is characterised by exceptional sedimentation, relatively mild maritime climatic conditions and the widespread presence of water associated with proglacial settings. These conditions produce glacial systems characterised by extensive outwash fans and relatively small terminal moraines. Extensive recent geochronological work allows us to recognise at least eight glacial advances during the Otiran. These occurred at 65 +/- 3.25 ka, 47.5 +/- 3 ka, 38.5 +/- 2 ka, 31.5 +/- 3 ka, 26.5 +/- 2 ka, 20.5 +/- 2 ka, 17 +/- 2 ka and 13 +/- 1 ka, which we term the Otira 1 to 8 advances, respectively. Though the analytical uncertainty ranges for some of these advances overlap, all are independently distinguished through moraine morphologic relationships and/or stratigraphic relationships in outcrop. Major advances appear to be associated with climate influences such as periods of Southern Hemisphere insolation minima (65 ka, and 31.5 ka advances), the last glacial maximum cooling (LGM) (20.5 ka) and periods of Antarctic cooling (13 ka). The timing of greatest glacial extent in the last glacial cycle is not simultaneous across New Zealand. The MIS 4 advance was the greatest in the southern South Island, while the MIS 3/2 advances (26.5 ka) were greatest in the central South Island. In the northern South Island and the North Island, MIS 4, MIS 3/2, and the last glacial maximum appear to be equivalent in extent. We attribute these spatio-temporal variations in the timing of maximum glaciation to precipitation changes related to a northward shift in the track of the westerlies. (C) 2018 Elsevier Ltd. All rights reserved.</t>
  </si>
  <si>
    <t>[Shulmeister, J.; Patton, N. R.] Univ Queensland, Sch Earth &amp; Environm Sci, St Lucia, Qld 4072, Australia; [Thackray, G. D.] Idaho State Univ, Dept Geosci, Pocatello, ID 83209 USA; [Rittenour, T. M.] Utah State Univ, Dept Geol, Logan, UT 84322 USA; [Fink, D.] Australian Nucl Sci &amp; Technol Org, Lucas Heights, NSW 2234, Australia</t>
  </si>
  <si>
    <t>University of Queensland; Idaho; Idaho State University; Utah System of Higher Education; Utah State University; Australian Nuclear Science &amp; Technology Organisation</t>
  </si>
  <si>
    <t>Shulmeister, J (corresponding author), Univ Queensland, Sch Earth &amp; Environm Sci, St Lucia, Qld 4072, Australia.</t>
  </si>
  <si>
    <t>james.shulmeister@uq.edu.au</t>
  </si>
  <si>
    <t>Rittenour, Tammy/H-7916-2013; fink, David/A-9518-2012; Patton, Nicholas R./AAJ-3584-2020; shulmeister, james/J-2859-2015</t>
  </si>
  <si>
    <t>fink, David/0000-0001-7156-4602; Patton, Nicholas R./0000-0002-4137-0636; shulmeister, james/0000-0001-5863-9462; Rittenour, Tammy/0000-0003-1925-0395</t>
  </si>
  <si>
    <t>10.1016/j.quascirev.2018.12.020</t>
  </si>
  <si>
    <t>WOS:000458227200001</t>
  </si>
  <si>
    <t>Duncan, B; Mckay, R; Bendle, J; Naish, T; Inglis, GN; Moossen, H; Levy, R; Ventura, GT; Lewis, A; Chamberlain, B; Walker, C</t>
  </si>
  <si>
    <t>Duncan, Bella; McKay, Robert; Bendle, James; Naish, Timothy; Inglis, Gordon N.; Moossen, Heiko; Levy, Richard; Ventura, G. Todd; Lewis, Adam; Chamberlain, Beth; Walker, Carrie</t>
  </si>
  <si>
    <t>Lipid biomarker distributions in Oligocene and Miocene sediments from the Ross Sea region, Antarctica: Implications for use of biomarker proxies in glacially-influenced settings</t>
  </si>
  <si>
    <t>Paleoclimate; Antarctica; n-Alkanes; Biomarkers; Hopanoids; Reworking</t>
  </si>
  <si>
    <t>SOUTHERN VICTORIA LAND; UNRESOLVED COMPLEX-MIXTURES; NORMAL-ALKANE DISTRIBUTIONS; HOLOCENE CLIMATE EVOLUTION; DRY VALLEYS REGION; TRANSANTARCTIC MOUNTAINS; ORGANIC GEOCHEMISTRY; N-ALKANES; EXTRACTABLE LIPIDS; TECTONIC EVOLUTION</t>
  </si>
  <si>
    <t>Biomarker-based climate proxies enable climate and environmental reconstructions for regions where other paleoclimatic approaches are unsuitable. The Antarctic Cenozoic record consists of widely varying lithologies, deposited in rapidly changing depositional settings, with large lateral variations. Previous sedimentological and microfossil studies indicate that the incorporation of reworked older material frequently occurs in these sediments, highlighting the need for an assessment of biomarker distribution across a range of depositional settings and ages to assess the role reworking may have on biomarker-based reconstructions. Here, we compare sedimentary facies with the distribution of n-alkanes and hopanoids within a terrestrial outcrop, two glaciomarine cores and a deep sea core, spanning the Late Oligocene to Miocene in the Ross Sea. Comparisons are also made with n-alkane distributions in Eocene glacial erratics and Mesozoic Beacon Supergroup sediments, which are both potential sources of reworked material. The dominant n-alkane chain length shifts from n-C-29 to n-C-27 between the Late Eocene and the Oligocene. This shift is likely due to changing plant community composition and the plastic response of n-alkanes to climate cooling. Samples from glaciofluvial environments onshore, and subglacial and ice-proximal environments offshore are more likely to display reworked n-alkane distributions, whereas, samples from lower-energy, lacustrine and ice-distal marine environments predominantly yield immature/contemporaneous n-alkanes. These findings emphasise that careful comparisons with sedimentological and paleontological indicators are essential when applying and interpreting n-alkane-based and other biomarker-based proxies in glacially-influenced settings.</t>
  </si>
  <si>
    <t>[Duncan, Bella; McKay, Robert; Naish, Timothy] Victoria Univ Wellington, Antarctic Res Ctr, Wellington 6012, New Zealand; [Bendle, James; Moossen, Heiko; Chamberlain, Beth; Walker, Carrie] Univ Birmingham, Sch Geog Earth &amp; Environm Sci, Birmingham B15 2TT, W Midlands, England; [Inglis, Gordon N.] Univ Bristol, Sch Chem, Organ Geochem Unit, Bristol BS8 1TS, Avon, England; [Inglis, Gordon N.] Univ Bristol, Cabot Inst, Bristol BS8 1TS, Avon, England; [Levy, Richard; Ventura, G. Todd] Geol &amp; Nucl Sci, POB 30-368, Lower Hutt 5040, New Zealand; [Lewis, Adam] North Dakota State Univ, Fargo, ND 58105 USA; [Moossen, Heiko] Max Planck Inst Biogeochem, POB 10 01 64, D-07701 Jena, Germany; [Ventura, G. Todd] St Marys Univ, Dept Geol, 923 Robie St, Halifax, NS B3H 3C3, Canada; [Chamberlain, Beth] Imperial Coll London, Dept Life Sci, Silwood Pk Campus,Buckhurst Rd, Bioascot SL5 7PY, Berks, England; [Walker, Carrie] Open Univ, Sch Environm Earth &amp; Ecosyst Sci, Milton Keynes MK7 6AA, Bucks, England</t>
  </si>
  <si>
    <t>Victoria University Wellington; University of Birmingham; University of Bristol; University of Bristol; GNS Science - New Zealand; North Dakota State University Fargo; Max Planck Society; Saint Marys University - Canada; Imperial College London; Open University - UK</t>
  </si>
  <si>
    <t>Duncan, B (corresponding author), Victoria Univ Wellington, Antarctic Res Ctr, Wellington 6012, New Zealand.</t>
  </si>
  <si>
    <t>bella.duncan@vuw.ac.nz</t>
  </si>
  <si>
    <t>Duncan, Bella/IAR-0060-2023; Moossen, Heiko/F-4839-2017; Levy, Richard H/E-2477-2011</t>
  </si>
  <si>
    <t>Moossen, Heiko/0000-0003-4768-2603; Bendle, James/0000-0002-6826-8658; Inglis, Gordon/0000-0002-0032-4668; Naish, Tim/0000-0002-1185-9932; Levy, Richard/0000-0002-8783-0167; McKay, Robert/0000-0002-5602-6985; Duncan, Bella/0000-0003-1108-6033</t>
  </si>
  <si>
    <t>Antarctica New Zealand Sir Robin Irvine PhD Scholarship; Scientific Committee on Antarctic Research Fellowship; Royal Society of New Zealand Rutherford Discovery Fellowship [RDF-13-VUW-003]; New Zealand Ministry of Business, Innovation and Employment [C05X1001]; Antarctica New Zealand; IODP</t>
  </si>
  <si>
    <t>Antarctica New Zealand Sir Robin Irvine PhD Scholarship; Scientific Committee on Antarctic Research Fellowship; Royal Society of New Zealand Rutherford Discovery Fellowship(Royal Society of New Zealand); New Zealand Ministry of Business, Innovation and Employment(New Zealand Ministry of Business, Innovation and Employment (MBIE)); Antarctica New Zealand; IODP</t>
  </si>
  <si>
    <t>The authors are grateful for access to samples from the IODP core repository at Texas A&amp;M University for DSDP Sites 270 and 274. This study was funded via an Antarctica New Zealand Sir Robin Irvine PhD Scholarship and Scientific Committee on Antarctic Research Fellowship awarded to Bella Duncan, with additional funding from a Royal Society of New Zealand Rutherford Discovery Fellowship awarded to Robert McKay (RDF-13-VUW-003) and New Zealand Ministry of Business, Innovation and Employment Contract C05X1001. Field activities were supported by Antarctica New Zealand. The authors are grateful for support from IODP and support in kind from the University of Birmingham. The authors thank two anonymous reviewers for their constructive comments.</t>
  </si>
  <si>
    <t>10.1016/j.palaeo.2018.11.028</t>
  </si>
  <si>
    <t>HJ1DV</t>
  </si>
  <si>
    <t>WOS:000456903000008</t>
  </si>
  <si>
    <t>Peng, J; Yang, XQ; Toney, JL; Ruan, JY; Li, GH; Zhou, QX; Gao, HH; Xie, YX; Chen, Q; Zhang, TW</t>
  </si>
  <si>
    <t>Peng, Jie; Yang, Xiaoqiang; Toney, Jaime L.; Ruan, Jiaoyang; Li, Guanhua; Zhou, Qixian; Gao, Huahong; Xie, Yixuan; Chen, Qiong; Zhang, Tingwei</t>
  </si>
  <si>
    <t>Indian Summer Monsoon variations and competing influences between hemispheres since ∼35 ka recorded in Tengchongqinghai Lake, southwestern China</t>
  </si>
  <si>
    <t>Lacustrine sediment; Indian Monsoon; Lake level; Chemical weathering; Southern Hemisphere</t>
  </si>
  <si>
    <t>HEQING BASIN YUNNAN; ANTARCTIC SEA-ICE; CLIMATE VARIABILITY; NORTH-ATLANTIC; GLACIAL CLIMATE; OVERTURNING CIRCULATION; LACUSTRINE SEDIMENTS; TROPICAL RAINFALL; ABRUPT CHANGES; XINGYUN LAKE</t>
  </si>
  <si>
    <t>The southwestern Yunnan Province of China, which is located at the southeastern margin of the Tibetan Plateau and close to Bay of Bengal, is significantly influenced by the Indian Summer Monsoon (ISM). In this study, we reconstruct proxies for the ISM from 35 to 1 ka through detailed analysis of grain-size distribution, geochemical composition and environmental magnetism from a 7.96 m sediment core from Tengchongqinghai Lake, Yunnan Province, China. Globally recognized, abrupt climatic events, including Heinrich Events 0-3 (H0 - H3) and the Bolling-Allerod (B/A) warm period are identified in most of our proxies, and the long-term trend is consistent with other published records such as stalagmite oxygen isotopes (delta O-18) from Sangxing Cave. Northern Hemisphere (NH) temperature, which is influenced by NH solar insolation, is commonly suggested to play a dominant role in controlling the ISM. A comparison of our record with the delta O-18 variations of ice cores from Greenland and Antarctica, a sea surface temperature (SST) record from the Bay of Bengal, and summer solar insolation at 25 N latitude demonstrates that the general pattern of ISM change does follow variations in summer insolation; however, the ISM lags summer insolation by thousands of years. While the ISM fluctuations are highly correlated with NH temperature on shorter timescales (centennial-millennial), the gradually weakened ISM from 22.5 ka until the Last Glacial Maximum (LGM) indicates a close relationship with the rise of Southern Hemisphere (SH) temperature and the relatively cold background of the SH. Our record expands on the findings of ISM records from Heqing paleolake basin in southwestern China and the Arabian Sea sediments, suggesting that the NH and SH have a competitive influence on ISM by controlling the cross-equatorial pressure gradient. This relationship means that when NH temperatures are relatively high, it has a stronger influence on the ISM than SH influences. In contrast, when the SH temperature is relatively low, it has a dominant influence on ISM. In addition, we speculate that the change of SH temperature not only influences the cross-equatorial pressure gradient directly, but also likely modulates the circulation system of ocean energy by influencing the Atlantic Meridional Overturning Circulation (AMOC).</t>
  </si>
  <si>
    <t>[Peng, Jie; Yang, Xiaoqiang; Ruan, Jiaoyang; Li, Guanhua; Zhou, Qixian; Gao, Huahong; Xie, Yixuan; Chen, Qiong; Zhang, Tingwei] Sun Yat Sen Univ, Sch Earth Sci &amp; Engn, Guangdong Prov Key Lab Geodynam &amp; Geohazards, Guangzhou 510275, Guangdong, Peoples R China; [Toney, Jaime L.] Univ Glasgow, Geog &amp; Earth Sci, Glasgow, Lanark, Scotland</t>
  </si>
  <si>
    <t>Sun Yat Sen University; University of Glasgow</t>
  </si>
  <si>
    <t>Yang, XQ (corresponding author), Sun Yat Sen Univ, Sch Earth Sci &amp; Engn, Guangdong Prov Key Lab Geodynam &amp; Geohazards, Guangzhou 510275, Guangdong, Peoples R China.</t>
  </si>
  <si>
    <t>eesyxq@mail.sysu.edu.cn</t>
  </si>
  <si>
    <t>li, fei/JYP-3334-2024; Ruan, Jiaoyang/AAE-7410-2020; Toney, Jaime L./I-5083-2012</t>
  </si>
  <si>
    <t>Toney, Jaime L./0000-0003-3182-6887; Ruan, Jiaoyang/0000-0003-4733-1125</t>
  </si>
  <si>
    <t>NSFC (Natural Science Foundation of China) [41030366, 41672162]; Guangdong Province Introduction of Innovative R&amp;D Team of Geological Processes and Natural Disasters around the South China Sea [2106ZT06N331]</t>
  </si>
  <si>
    <t>NSFC (Natural Science Foundation of China)(National Natural Science Foundation of China (NSFC)); Guangdong Province Introduction of Innovative R&amp;D Team of Geological Processes and Natural Disasters around the South China Sea</t>
  </si>
  <si>
    <t>We thank Zongqi Duan, Shihu Li, Huafeng Qin, Bailing Wu, Jie Yuan and Zhaoxia Jiang (Institute of Geology and Geophysics, Chinese Academy of Sciences) for instruction of magnetic test, Lu Wang, Min Zhou and Fan Yang (Sun Yat-sen University) for their assistance in field and laboratory, and Pat Munday (Montana Tech) for his assistance with technical editing. This project was supported by NSFC (Natural Science Foundation of China; grant no. 41030366 and 41672162) and Guangdong Province Introduction of Innovative R&amp;D Team of Geological Processes and Natural Disasters around the South China Sea (grant no. 2106ZT06N331). Finally, we would like to acknowledge the comments and recommendations of the reviewers who helped us to improve the quality of this work.</t>
  </si>
  <si>
    <t>10.1016/j.palaeo.2018.11.040</t>
  </si>
  <si>
    <t>WOS:000456903000011</t>
  </si>
  <si>
    <t>Gao, YS; Yang, LJ; Yang, WQ; Wang, YH; Xie, ZQ; Sun, LG</t>
  </si>
  <si>
    <t>Gao, Yuesong; Yang, Lianjiao; Yang, Wenqing; Wang, Yuhong; Xie, Zhouqing; Sun, Liguang</t>
  </si>
  <si>
    <t>Dynamics of penguin population size and food availability at Prydz Bay, East Antarctica, during the last millennium: A solar control</t>
  </si>
  <si>
    <t>Adelie penguins; Southern Ocean; Solar irradiance; Phytoplankton; Primary productivity; Food web</t>
  </si>
  <si>
    <t>KRILL EUPHAUSIA-SUPERBA; STABLE-ISOTOPE ANALYSIS; NORTHERN VICTORIA LAND; SEA-ICE EXTENT; ROSS SEA; SOUTHERN-OCEAN; PHYTOPLANKTON BLOOM; ADELIE PENGUINS; AGE CALIBRATION; ORGANIC-MATTER</t>
  </si>
  <si>
    <t>The paleoecology of the Adelie penguin (Pygoscelis adeliae) is controlled by multiple factors. In this study, we analyzed two millennial-scale ornithogenic sediment cores, RNL and RL, from the Vestfold Hills, East Antarctica. Using the Al-normalized phosphorus content of the bulk sediment and carbon/nitrogen fractions in penguin remains, we reconstructed relative changes in the penguin population size of each sub-colony and relative krill abundance in the summer Prydz Bay polynya. Both records are correlated to solar irradiance. At the centennial scale, the penguin population recorded in core RNL decreased from similar to 1120-860 yr BP, reached a peak from similar to 860-630 yr BP, remained at a low level from similar to 630-320 yr BP, and then increased with large fluctuations during the past similar to 400 years. These changes are all in-phase with the trend of solar irradiance. At the decadal scale, penguin population minima correspond to solar minima from similar to 490-400 yr BP (Sporer minimum), similar to 290-220 yr BP (Maunder minimum), and from similar to 160-120 yr BP (Dalton minimum; whereas population maxima correspond to solar maxima from similar to 1030-980 yr BP, similar to 350-290 yr BP, similar to 210-160 yr BP, similar to 120-70 yr BP. The population recorded in core RL exhibited the same changes as in RNL during the last 480 years. The reconstructed krill abundance also corresponds to these trends when data are available. This correspondence demonstrates a food-chain mechanism that is related to solar activity and light availability at the ocean surface, which influence the intensity of photosynthesis and phytoplankton productivity, and thus the abundance of krill and apex predators such as penguins. Our findings highlight the fact that despite the various climatic impacts on penguin populations, their effects on the base of the food chain are usually the direct drive.</t>
  </si>
  <si>
    <t>[Gao, Yuesong; Yang, Lianjiao; Yang, Wenqing; Wang, Yuhong; Xie, Zhouqing; Sun, Liguang] Univ Sci &amp; Technol China, Sch Earth &amp; Space Sci, Inst Polar Environm, Hefei 230026, Anhui, Peoples R China; [Gao, Yuesong; Yang, Lianjiao; Yang, Wenqing; Wang, Yuhong; Xie, Zhouqing; Sun, Liguang] Univ Sci &amp; Technol China, Sch Earth &amp; Space Sci, Anhui Prov Key Lab Polar Environm &amp; Global Change, Hefei 230026, Anhui, Peoples R China</t>
  </si>
  <si>
    <t>Chinese Academy of Sciences; University of Science &amp; Technology of China, CAS; Chinese Academy of Sciences; University of Science &amp; Technology of China, CAS</t>
  </si>
  <si>
    <t>Xie, ZQ; Sun, LG (corresponding author), Univ Sci &amp; Technol China, Sch Earth &amp; Space Sci, Inst Polar Environm, Hefei 230026, Anhui, Peoples R China.</t>
  </si>
  <si>
    <t>zqxie@ustc.edu.cn; slg@ustc.edu.cn</t>
  </si>
  <si>
    <t>Gao, Yuesong/GRE-7726-2022; xie, zhouqing/P-9661-2019; Yang, Wenqing/F-7026-2011</t>
  </si>
  <si>
    <t>National Key RAMP;D Program of the MOST of China [2018YFC1406905]; Chinese Arctic and Antarctic Administration (CHINARE2011-2018); International Cooperation in Polar Research [IC201604]; External Cooperation Program of BIC, CAS [211134KYSB20130012]; NSFC [41806224]; Australian Antarctic program via Australian Antarctic Science Projects [4087, 4088]</t>
  </si>
  <si>
    <t>National Key RAMP;D Program of the MOST of China; Chinese Arctic and Antarctic Administration (CHINARE2011-2018); International Cooperation in Polar Research; External Cooperation Program of BIC, CAS; NSFC(National Natural Science Foundation of China (NSFC)); Australian Antarctic program via Australian Antarctic Science Projects</t>
  </si>
  <si>
    <t>This study was funded by the National Key R&amp;D Program of the MOST of China (2018YFC1406905), the Chinese Arctic and Antarctic Administration (CHINARE2011-2018), the International Cooperation in Polar Research (IC201604), and the External Cooperation Program of BIC, CAS (211134KYSB20130012) and NSFC (No. 41806224). Field work was supported by the Australian Antarctic program via Australian Antarctic Science Projects #4087 and #4088. All field procedures were approved by the Australian Antarctic Animal Ethics Committee (AAAEC). Sample information and data were provided by the Resource Sharing Platform of Polar Samples (http://birds.chinare.org.cn) and was maintained by Polar Research Institute of China (PRIC) and Chinese National Arctic &amp; Antarctic Data Center (CN-NADC).</t>
  </si>
  <si>
    <t>10.1016/j.palaeo.2018.11.027</t>
  </si>
  <si>
    <t>WOS:000456903000019</t>
  </si>
  <si>
    <t>Fripiat, F; Martínez-García, A; Fawcett, SE; Kemeny, PC; Studer, AS; Smart, SM; Rubach, F; Oleynik, S; Sigman, DM; Haug, GH</t>
  </si>
  <si>
    <t>Fripiat, Francois; Martinez-Garcia, Alfredo; Fawcett, Sarah E.; Kemeny, Preston C.; Studer, Anja S.; Smart, Sandi M.; Rubach, Florian; Oleynik, Sergey; Sigman, Daniel M.; Haug, Gerald H.</t>
  </si>
  <si>
    <t>The isotope effect of nitrate assimilation in the Antarctic Zone: Improved estimates and paleoceanographic implications</t>
  </si>
  <si>
    <t>Southern ocean; Nitrate isotopes; Nitrate assimilation; Isotope effect; Nitrite interference; Paleoceanography</t>
  </si>
  <si>
    <t>DIATOM-BOUND NITROGEN; SOUTHERN-OCEAN; MIXED-LAYER; OVERTURNING CIRCULATION; SURFACE NITRATE; OXYGEN ISOTOPES; NITRITE MAXIMUM; ORGANIC-MATTER; NORTH PACIFIC; ALGAL NITRATE</t>
  </si>
  <si>
    <t>Both the nitrogen (N) isotopic composition (delta N-15) of the nitrate source and the magnitude of isotope discrimination associated with nitrate assimilation are required to estimate the degree of past nitrate consumption from the delta N-15 of organic matter in Southern Ocean sediments (e.g., preserved within diatom microfossils). It has been suggested that the amplitude of isotope discrimination (i.e. the isotope effect) correlates with mixed layer depth, driven by a physiological response of phyto-plankton to light availability, which introduces complexity to the interpretation of sedimentary records. However, most of the isotope effect estimates that underpin this hypothesis derive from acid-preserved water samples, from which nitrite would have been volatilized and lost during storage. Nitrite delta N-15 in Antarctic Zone surface waters is extremely low (-61 +/- 20 parts per thousand), consistent with the expression of an equilibrium isotope effect associated with nitrate-nitrite interconversion. Its loss from the combined nitrate + nitrite pool would act to raise the delta N-15 of nitrate, potentially yielding overestimation of the isotope effect. Here, we revisit the nitrate assimilation isotope effect in the Antarctic Zone with measurements of the delta N-15 and concentration of nitrate with and without nitrite, using frozen sea water samples from 5 different cruises that collectively cover all sectors of the Southern Ocean. The N isotope effect estimated using nitrate + nitrite delta N-15 is relatively constant (5.5 +/- 0.6 parts per thousand) across the Antarctic Zone, shows no relationship with mixed layer depth, and is in agreement with sediment trap delta N-15 measurements. Estimates of the N isotope effect derived from nitrate-only delta N-15 are higher and more variable (7.9 +/- 1.5 parts per thousand), consistent with an artifact from nitrate-nitrite isotope exchange. In the case of the Southern Ocean, we conclude that the delta N-15 of nitrate + nitrite better reflects the isotope effect of nitrate assimilation. The stability of this isotope effect across the Antarctic Zone simplifies the effort to reconstruct the past degree of nitrate consumption. (C) 2018 Elsevier Ltd. All rights reserved.</t>
  </si>
  <si>
    <t>[Fripiat, Francois; Martinez-Garcia, Alfredo; Studer, Anja S.; Rubach, Florian; Haug, Gerald H.] Max Planck Inst Chem, Mainz, Germany; [Fawcett, Sarah E.] Univ Cape Town, Dept Oceanog, Rondebosch, South Africa; [Kemeny, Preston C.] CALTECH, Div Geol &amp; Planetary Sci, Pasadena, CA 91125 USA; [Kemeny, Preston C.; Oleynik, Sergey; Sigman, Daniel M.] Princeton Univ, Dept Geosci, Princeton, NJ 08544 USA; [Studer, Anja S.] Univ Basel, Dept Environm Sci, Basel, Switzerland; [Smart, Sandi M.] Stellenbosch Univ, Dept Earth Sci, Stellenbosch, South Africa</t>
  </si>
  <si>
    <t>Max Planck Society; University of Cape Town; California Institute of Technology; Princeton University; University of Basel; Stellenbosch University</t>
  </si>
  <si>
    <t>Fripiat, F (corresponding author), Max Planck Inst Chem, Mainz, Germany.</t>
  </si>
  <si>
    <t>f.fripiat@mpic.de</t>
  </si>
  <si>
    <t>Martinez-Garcia, Alfredo/A-6244-2010; Fripiat, François/ABB-8918-2021; Sigman, Daniel M./IYJ-2613-2023; Studer, Anja S/JVZ-4104-2024; Sigman, Daniel M./A-2649-2008</t>
  </si>
  <si>
    <t>Martinez-Garcia, Alfredo/0000-0002-7206-5079; Studer, Anja S/0000-0001-7354-8497; Sigman, Daniel M./0000-0002-7923-1973; Rubach, Florian/0000-0002-6144-2799; Fawcett, Sarah/0000-0002-0878-6496; Fripiat, Francois/0000-0002-2591-6301</t>
  </si>
  <si>
    <t>Max Planck Society; South African National Antarctic Programme [105539, 110735]; South African National Research Foundation; US NSF [1401489, 0960802, 0992345, 0612198]; Fannie &amp; John Hertz Foundation; Department of Defense NDSEG Fellowship; Directorate For Geosciences; Office of Polar Programs (OPP) [0612198] Funding Source: National Science Foundation; Division Of Ocean Sciences; Directorate For Geosciences [0960802] Funding Source: National Science Foundation; Office of Polar Programs (OPP); Directorate For Geosciences [1401489] Funding Source: National Science Foundation</t>
  </si>
  <si>
    <t>Max Planck Society(Max Planck Society); South African National Antarctic Programme; South African National Research Foundation(National Research Foundation - South Africa); US NSF(National Science Foundation (NSF)); Fannie &amp; John Hertz Foundation; Department of Defense NDSEG Fellowship(United States Department of Defense); Directorate For Geosciences; Office of Polar Programs (OPP)(National Science Foundation (NSF)NSF - Directorate for Geosciences (GEO)); Division Of Ocean Sciences; Directorate For Geosciences(National Science Foundation (NSF)NSF - Directorate for Geosciences (GEO)); Office of Polar Programs (OPP); Directorate For Geosciences(National Science Foundation (NSF)NSF - Directorate for Geosciences (GEO))</t>
  </si>
  <si>
    <t>The new stable isotope data for the GOSHIP section IO8S and P18S presented in this study will be merged into the IO8S and P18S CCHDO product (https://cchdo.ucsd.edu/).We thank the ship captains, crews, and chief scientists (R.V. Roger Revelle, R.V. Ronald H. Brown, and R.V. SA Agulhas II) who supported the sampling activities during the various field programs that contributed to this study. We are also grateful to M.A. Weigand (Princeton University) for methodological advice and Barbara Hinnenberg (MPIC) for help with sample processing. This study was funded by the Max Planck Society. SEF thanks the South African National Research Foundation and Antarctic Programme (through grants 105539 and 110735). DMS acknowledges US NSF grant 1401489, as well as 0960802, 0992345, 0612198. P.C.K. acknowledges support from the Fannie &amp; John Hertz Foundation and the Department of Defense NDSEG Fellowship.</t>
  </si>
  <si>
    <t>10.1016/j.gca.2018.12.003</t>
  </si>
  <si>
    <t>HI0UK</t>
  </si>
  <si>
    <t>WOS:000456159500016</t>
  </si>
  <si>
    <t>Potapowicz, J; Szuminska, D; Szopinska, M; Polkowska, Z</t>
  </si>
  <si>
    <t>Potapowicz, Joanna; Szuminska, Danuta; Szopinska, Malgorzata; Polkowska, Zaneta</t>
  </si>
  <si>
    <t>The influence of global climate change on the environmental fate of anthropogenic pollution released from the permafrost Part I. Case study of Antarctica</t>
  </si>
  <si>
    <t>Permafrost; Pollution remobilisation; Anthropogenic influence; Environmental threat; Antarctica</t>
  </si>
  <si>
    <t>KING-GEORGE ISLAND; PERSISTENT ORGANIC POLLUTANTS; POLYCYCLIC AROMATIC-HYDROCARBONS; SOUTH-SHETLAND ISLANDS; POLYBROMINATED DIPHENYL ETHERS; PENINSULA LIVINGSTON ISLAND; ACTIVE-LAYER DYNAMICS; LONG-RANGE TRANSPORT; WINTER QUARTERS BAY; JAMES-ROSS-ISLAND</t>
  </si>
  <si>
    <t>This article presents a review of information related to the influence of potential permafrost degradation on the environmental fate of chemical species which are released and stored, classified as potential influence in future Antarctic environment. Considering all data regarding climate change prediction, this topic may prove important issue for the future state of the Antarctic environment. A detailed survey on soil and permafrost data permitted the assumption that this medium may constitute a sink for organic and inorganic pollution (especially for persistent organic pollution, POPs, and heavy metals). The analysis of the environmental fate and potential consequences of the presence of pollutants for the existence of the Antarctic fauna leads to a conclusion that they may cause numerous negative effects (e.g. Endocrine disruptions, DNA damage, cancerogenicity). In the case of temperature increase and enhanced remobilisation processes, this effect may be even stronger, and may disturb natural balance in the environment. Therefore, regular research on the environmental fate of pollution is required, especially in terms of processes of remobilisation from the permafrost reserves. (C) 2018 Elsevier B.V. All rights reserved.</t>
  </si>
  <si>
    <t>[Potapowicz, Joanna; Polkowska, Zaneta] Gdansk Univ Technol, Fac Chem, Dept Analyt Chem, 11-12 Narutowicza St, PL-80233 Gdansk, Poland; [Szuminska, Danuta] Kazimierz Wielki Univ, Inst Geog, Koscielecki Sq 8, PL-85033 Bydgoszcz, Poland; [Szopinska, Malgorzata] Gdansk Univ Technol, Fac Civil &amp; Environm Engn, Dept Water &amp; Waste Water Technol, 11-12 Narutowicza St, PL-80233 Gdansk, Poland</t>
  </si>
  <si>
    <t>Fahrenheit Universities; Gdansk University of Technology; Kazimierz Wielki University; Fahrenheit Universities; Gdansk University of Technology</t>
  </si>
  <si>
    <t>Polkowska, Z (corresponding author), Gdansk Univ Technol, Fac Chem, Dept Analyt Chem, 11-12 Narutowicza St, PL-80233 Gdansk, Poland.</t>
  </si>
  <si>
    <t>zanpolko@pg.edu.pl</t>
  </si>
  <si>
    <t>Szopińska, Małgorzata/AAX-9597-2021; Polkowska, Zaneta/AAA-3578-2020; Szumińska, Danuta/AAM-5133-2020</t>
  </si>
  <si>
    <t>Szopińska, Małgorzata/0000-0003-2186-7781; Szumińska, Danuta/0000-0001-7142-9080; Polkowska, Zaneta/0000-0002-2730-0068</t>
  </si>
  <si>
    <t>10.1016/j.scitotenv.2018.09.168</t>
  </si>
  <si>
    <t>GX7AF</t>
  </si>
  <si>
    <t>WOS:000447915400148</t>
  </si>
  <si>
    <t>Mörs, T; Niedzwiedzki, G; Crispini, L; Läufer, A; Bomfleur, B</t>
  </si>
  <si>
    <t>Moers, Thomas; Niedzwiedzki, Grzegorz; Crispini, Laura; Laeufer, Andreas; Bomfleur, Benjamin</t>
  </si>
  <si>
    <t>First evidence of a tetrapod footprint from the Triassic of northern Victoria Land, Antarctica</t>
  </si>
  <si>
    <t>Beacon Supergroup; Helliwell Hills; ichnotaxon; Procolophonichnium; Rennick Glacier; Transantarctic Basin</t>
  </si>
  <si>
    <t>MIDDLE; TRACKS</t>
  </si>
  <si>
    <t>Here, we report on a tetrapod footprint from the Transantarctic Basin in the far north of Victoria Land, which marks the first record of terrestrial vertebrates for this region. The single specimen derives from a previously unknown lithological unit of Middle or Late Triassic age of the Beacon Supergroup in the Helliwell Hills in the central Rennick Glacier area. It differs in both size and morphology clearly from Middle Triassic trackway types from the upper Fremouw Formation of the Queen Alexandra Range in southern Victoria Land, and likely represents a primitive amniote, procolophonid or therapsid. The footprint is the third evidence of fossil vertebrate trackways in Antarctica.</t>
  </si>
  <si>
    <t>[Moers, Thomas] Swedish Museum Nat Hist, Dept Palaeoblol, POB 50007, SE-10405 Stockholm, Sweden; [Niedzwiedzki, Grzegorz] Uppsala Univ, Dept Organismal Biol, Subdept Evolut &amp; Dev, Uppsala, Sweden; [Crispini, Laura] Univ Genoa, Dipartimento Sci Terra Ambiente &amp; Vita, Genoa, Italy; [Laeufer, Andreas] Fed Inst Geosci &amp; Nat Resources BGR, Hannover, Germany; [Bomfleur, Benjamin] Westfalische Wilhelms Univ Munster, Inst Geol &amp; Palaontol, Palaeobot Res Grp, Munster, Germany</t>
  </si>
  <si>
    <t>Swedish Museum of Natural History; Uppsala University; University of Genoa; University of Munster</t>
  </si>
  <si>
    <t>Mörs, T (corresponding author), Swedish Museum Nat Hist, Dept Palaeoblol, POB 50007, SE-10405 Stockholm, Sweden.</t>
  </si>
  <si>
    <t>thomas.moers@nrm.se</t>
  </si>
  <si>
    <t>Läufer, Andreas/ABC-1465-2020; Crispini, Laura/N-1580-2019</t>
  </si>
  <si>
    <t>Läufer, Andreas/0000-0003-2219-0450; Crispini, Laura/0000-0001-5770-8569</t>
  </si>
  <si>
    <t>Swedish Research Council (VR) [2012-5323]; German - Science Foundation (DFG) [BO3131/1-1]; Italian National - Antarctic Research Program (PNRA); [PNRA_2013/AZ2.02]</t>
  </si>
  <si>
    <t>Swedish Research Council (VR)(Swedish Research Council); German - Science Foundation (DFG)(German Research Foundation (DFG)); Italian National - Antarctic Research Program (PNRA)(Ministry of Education, Universities and Research (MIUR));</t>
  </si>
  <si>
    <t>TM thanks the Swedish Polar Research Secretariat for providing polar equipment. BB thanks the Swedish Research Council (VR grant no. 2012-5323) and the German - Science Foundation (DFG grant no. BO3131/1-1) for financial support and the Alfred Wegener - Institute's - Helmholtz Centre for Polar and Marine Research for providing polar equipment. LC thanks the Italian National - Antarctic Research Program (PNRA) and project PNRA_2013/AZ2.02 for financial support.</t>
  </si>
  <si>
    <t>FEB 14</t>
  </si>
  <si>
    <t>10.33265/polar.v38.3438</t>
  </si>
  <si>
    <t>IH1CO</t>
  </si>
  <si>
    <t>WOS:000474229100001</t>
  </si>
  <si>
    <t>Hodgson, DA; Jordan, TA; De Rydt, J; Fretwell, PT; Seddon, SA; Becker, D; Hogan, KA; Smith, AM; Vaughan, DG</t>
  </si>
  <si>
    <t>Hodgson, Dominic A.; Jordan, Tom A.; De Rydt, Jan; Fretwell, Peter T.; Seddon, Samuel A.; Becker, David; Hogan, Kelly A.; Smith, Andrew M.; Vaughan, David G.</t>
  </si>
  <si>
    <t>Past and future dynamics of the Brunt Ice Shelf from seabed bathymetry and ice shelf geometry</t>
  </si>
  <si>
    <t>ANTARCTICA; GRAVITY; LAND; FLOW</t>
  </si>
  <si>
    <t>The recent rapid growth of rifts in the Brunt Ice Shelf appears to signal the onset of its largest calving event since records began in 1915. The aim of this study is to determine whether this calving event will lead to a new steady state in which the Brunt Ice Shelf remains in contact with the bed, or an unpinning from the bed, which could predispose it to accelerated flow or possible break-up. We use a range of geophysical data to reconstruct the sea-floor bathymetry and ice shelf geometry, to examine past ice sheet configurations in the Brunt Basin, and to define the present-day geometry of the contact between the Brunt Ice Shelf and the bed. Results show that during past ice advances grounded ice streams likely converged in the Brunt Basin from the south and east. As the ice retreated, it was likely pinned on at least three former grounding lines marked by topographic highs, and transverse ridges on the flanks of the basin. These may have subsequently formed pinning points for developing ice shelves. The ice shelf geometry and bathymetry measurements show that the base of the Brunt Ice Shelf now only makes contact with one of these topographic highs. This contact is limited to an area of less than 1.3 to 3 km(2) and results in a compressive regime that helps to maintain the ice shelf's integrity. The maximum overlap between ice shelf draft and the bathymetric high is 2-25 m and is contingent on the presence of incorporated iceberg keels, which protrude beneath the base of the ice shelf. The future of the ice shelf depends on whether the expected calving event causes full or partial loss of contact with the bed and whether the subsequent response causes re-grounding within a predictable period or a loss of structural integrity resulting from properties inherited at the grounding line.</t>
  </si>
  <si>
    <t>[Hodgson, Dominic A.; Jordan, Tom A.; Fretwell, Peter T.; Seddon, Samuel A.; Hogan, Kelly A.; Smith, Andrew M.; Vaughan, David G.] British Antarctic Survey, Madingley Rd, Cambridge CB3 0ET, England; [Hodgson, Dominic A.] Univ Durham, Dept Geog, Durham DH1 3LE, England; [De Rydt, Jan] Northumbria Univ, Fac Engn &amp; Environm, Dept Geog &amp; Environm Sci, Newcastle Upon Tyne, Tyne &amp; Wear, England; [Seddon, Samuel A.] Seddon Geophys Ltd, Ipswich, Suffolk, England; [Becker, David] Tech Univ Darmstadt, Phys &amp; Satellite Geodesy, Franziska Braun Str 7, D-64287 Darmstadt, Germany</t>
  </si>
  <si>
    <t>UK Research &amp; Innovation (UKRI); Natural Environment Research Council (NERC); NERC British Antarctic Survey; Durham University; Northumbria University; Technical University of Darmstadt</t>
  </si>
  <si>
    <t>Hodgson, DA (corresponding author), British Antarctic Survey, Madingley Rd, Cambridge CB3 0ET, England.;Hodgson, DA (corresponding author), Univ Durham, Dept Geog, Durham DH1 3LE, England.</t>
  </si>
  <si>
    <t>daho@bas.ac.uk</t>
  </si>
  <si>
    <t>Vaughan, David/C-8348-2011; De Rydt, Jan/H-5692-2018</t>
  </si>
  <si>
    <t>SMITH, ANDREW/0000-0001-8577-482X; De Rydt, Jan/0000-0002-2978-8706</t>
  </si>
  <si>
    <t>NERC [NE/K003674/1]; NERC [NE/K003674/1, bas0100030, bas0100029, bas0100034, bas010011] Funding Source: UKRI</t>
  </si>
  <si>
    <t>NERC(UK Research &amp; Innovation (UKRI)Natural Environment Research Council (NERC)); NERC(UK Research &amp; Innovation (UKRI)Natural Environment Research Council (NERC))</t>
  </si>
  <si>
    <t>We thank the British Antarctic Survey (BAS) Air Operations Team and airborne survey specialists including Hugh Corr, Carl Robinson, and Ian Potten. We thank Hilmar Gudmundsson (BAS and Northumbria University) for management of data acquisition on the Brunt Ice Shelf and Ed King (BAS) for discussions on its internal structure. Steve Colwell (BAS) provided snow accumulation and temperature data. Laura Gerrish (BAS) prepared Fig. 1. This research contributes to NERC grant NE/K003674/1 Reducing the uncertainty in estimates of the sea level contribution from the westernmost part of the East Antarctic Ice Sheet. Sarah Greenwood, the anonymous reviewer, and the editor Joe MacGregor are thanked for their constructive advice and suggestions.</t>
  </si>
  <si>
    <t>10.5194/tc-13-545-2019</t>
  </si>
  <si>
    <t>HL3PM</t>
  </si>
  <si>
    <t>WOS:000458628100002</t>
  </si>
  <si>
    <t>Brault, EK; Koch, PL; Costa, DP; McCarthy, MD; Huckstädt, LA; Goetz, KT; McMahon, KW; Goebel, ME; Karlsson, O; Teilmann, J; Harkonen, T; Harding, KC</t>
  </si>
  <si>
    <t>Brault, Emily K.; Koch, Paul L.; Costa, Daniel P.; McCarthy, Matthew D.; Huckstadt, Luis A.; Goetz, Kimberly T.; McMahon, Kelton W.; Goebel, Michael E.; Karlsson, Olle; Teilmann, Jonas; Harkonen, Tero; Harding, Karin C.</t>
  </si>
  <si>
    <t>Trophic position and foraging ecology of Ross, Weddell, and crabeater seals revealed by compound-specific isotope analysis</t>
  </si>
  <si>
    <t>Ross seal; Weddell seal; Crabeater seal; Compound-specific isotopes; Amino acids; Antarctica; Foraging ecology; Trophic dynamics</t>
  </si>
  <si>
    <t>AMINO-ACID DELTA-N-15; STABLE-ISOTOPES; OMMATOPHOCA-ROSSII; ANTARCTIC SEALS; FOOD-WEB; PHYTOPLANKTON DYNAMICS; HABITAT SELECTION; EUPHAUSIA-SUPERBA; DIET COMPOSITION; MCMURDO SOUND</t>
  </si>
  <si>
    <t>Ross seals Ommatophoca rossii are one of the least studied marine mammals, with little known about their foraging ecology. Research to date using bulk stable isotope analysis suggests that Ross seals have a trophic position intermediate between that of Weddell Leptonychotes weddellii and crabeater Lobodon carcinophaga seals. However, consumer bulk stable isotope values not only reflect trophic dynamics, but also variations in baseline isotope values, which can be substantial. We used compound-specific isotope analysis of amino acids (CSI-AA) to separate isotopic effects of a shifting baseline versus trophic structure on the foraging ecology of these ecologically important Antarctic pinnipeds. We found that Ross seals forage in an open ocean food web, while crabeater and Weddell seals forage within similar food webs closer to shore. However, isotopic evidence suggests that crabeater seals are likely following sea ice, while Weddell seals target productive areas of the continental shelf of West Antarctica. Our CSI-AA data indicate that Ross seals have a high trophic position equivalent to that of Weddell seals, contrary to prior conclusions from nitrogen isotope results on bulk tissues. CSI-AA indicates that crabeater seals are at a trophic position lower than that of Ross and Weddell seals, consistent with a krill-dominated diet. Our results redefine the view of the trophic dynamics and foraging ecology of the Ross seal, and also highlight the importance of quantifying baseline isotope variations in foraging studies.</t>
  </si>
  <si>
    <t>[Brault, Emily K.; McCarthy, Matthew D.] Univ Calif Santa Cruz, Ocean Sci Dept, 1156 High St, Santa Cruz, CA 95064 USA; [Koch, Paul L.] Univ Calif Santa Cruz, Earth &amp; Planetary Sci Dept, 1156 High St, Santa Cruz, CA 95064 USA; [Costa, Daniel P.; Huckstadt, Luis A.] Univ Calif Santa Cruz, Ecol &amp; Evolutionary Biol, 100 Shaffer Rd, Santa Cruz, CA 95064 USA; [Goetz, Kimberly T.] Natl Inst Water &amp; Atmospher Res, 301 Evans Bay Parade, Wellington 6021, New Zealand; [McMahon, Kelton W.] Univ Rhode Isl, Grad Sch Oceanog, 215 S Ferry Rd, Narragansett, RI 02882 USA; [Goebel, Michael E.] NOAA Fisheries, Antarctic Ecosyst Res Div, Southwest Fisheries Sci Ctr, 8901 La Jolla Shores Dr, La Jolla, CA 92037 USA; [Karlsson, Olle; Harkonen, Tero] Swedish Museum Nat Hist, Dept Environm Res &amp; Monitoring, Box 50007, S-10405 Stockholm, Sweden; [Teilmann, Jonas] Aarhus Univ, Dept Biosci Marine Mammal Res, Frederiksborgvej 399, DK-4000 Roskilde, Denmark; [Harkonen, Tero] Martimas AB, Hoga 160, S-44273 Karna, Sweden; [Harding, Karin C.] Univ Gothenburg, Dept Biol &amp; Environm Sci, Box 463, S-40530 Gothenburg, Sweden</t>
  </si>
  <si>
    <t>University of California System; University of California Santa Cruz; University of California System; University of California Santa Cruz; University of California System; University of California Santa Cruz; National Institute of Water &amp; Atmospheric Research (NIWA) - New Zealand; University of Rhode Island; National Oceanic Atmospheric Admin (NOAA) - USA; Swedish Museum of Natural History; Aarhus University; University of Gothenburg</t>
  </si>
  <si>
    <t>Brault, EK (corresponding author), Univ Calif Santa Cruz, Ocean Sci Dept, 1156 High St, Santa Cruz, CA 95064 USA.</t>
  </si>
  <si>
    <t>ebrault@ucsc.edu</t>
  </si>
  <si>
    <t>Teilmann, Jonas/J-7828-2013; Goetz, Kimberly/AID-8232-2022; Huckstadt, Luis A./J-8532-2019; Harding, Karin C/F-9957-2013; Huckstadt, Luis/JNR-7637-2023</t>
  </si>
  <si>
    <t>Teilmann, Jonas/0000-0002-4376-4700; Huckstadt, Luis A./0000-0002-2453-7350; Harding, Karin/0000-0003-1527-0903</t>
  </si>
  <si>
    <t>Swedish Research Council; National Science Foundation (NSF) [NSF ANT-1142108]</t>
  </si>
  <si>
    <t>Swedish Research Council(Swedish Research Council); National Science Foundation (NSF)(National Science Foundation (NSF))</t>
  </si>
  <si>
    <t>Dr. Dyke Andreasen, Colin Carney, Dr. Elizabeth Gier, Stephanie Christensen, Jonathan Nye, and Aaron Rosenfield provided considerable assistance with method development and the laboratory analyses entailed in this study. Multiple Antarctic expeditions were organized by the Swedish Polar Research Secretariat and financed by the Swedish Research Council via a grant to T.H. and K.C.H. The crew of the R/V 'Oden' was extremely accommodating and helpful in completing our sampling protocols. The support staffs of McMurdo and Palmer Stations, similarly, gave us considerable assistance in performing our sample col lections. The National Science Foundation (NSF) granted funding for this study (NSF ANT-1142108). Drs. Elizabeth Canuel, Rebecca Dickhut, and Andrew Wozniak helped with the importation of samples (Permit No. 17178 from the National Marine Fisheries Service).</t>
  </si>
  <si>
    <t>10.3354/meps12856</t>
  </si>
  <si>
    <t>HT4FA</t>
  </si>
  <si>
    <t>WOS:000464518200001</t>
  </si>
  <si>
    <t>Vihma, T; Uotila, P; Sandven, S; Pozdnyakov, D; Makshtas, A; Pelyasov, A; Pirazzini, R; Danielsen, F; Chalov, S; Lappalainen, HK; Ivanov, V; Frolov, I; Albin, A; Cheng, B; Dobrolyubov, S; Arkhipkin, V; Myslenkov, S; Petäjä, T; Kulmala, M</t>
  </si>
  <si>
    <t>Vihma, Timo; Uotila, Petteri; Sandven, Stein; Pozdnyakov, Dmitry; Makshtas, Alexander; Pelyasov, Alexander; Pirazzini, Roberta; Danielsen, Finn; Chalov, Sergey; Lappalainen, Hanna K.; Ivanov, Vladimir; Frolov, Ivan; Albin, Anna; Cheng, Bin; Dobrolyubov, Sergey; Arkhipkin, Viktor; Myslenkov, Stanislav; Petaja, Tuukka; Kulmala, Markku</t>
  </si>
  <si>
    <t>Towards an advanced observation system for the marine Arctic in the framework of the Pan-Eurasian Experiment (PEEX)</t>
  </si>
  <si>
    <t>ICE MASS-BALANCE; ATMOSPHERIC BOUNDARY-LAYER; SUMMER CLOUD OCEAN; SEA-ICE; SEASONAL VARIABILITY; INTERANNUAL VARIABILITY; AIRBORNE OBSERVATIONS; MIDLATITUDE WEATHER; TURBULENT EXCHANGE; CITIZEN SCIENCE</t>
  </si>
  <si>
    <t>The Arctic marine climate system is changing rapidly, which is seen in the warming of the ocean and atmosphere, decline of sea ice cover, increase in river discharge, acidification of the ocean, and changes in marine ecosystems. Socio-economic activities in the coastal and marine Arctic are simultaneously changing. This calls for the establishment of a marine Arctic component of the Pan-Eurasian Experiment (MA-PEEX). There is a need for more in situ observations on the marine atmosphere, sea ice, and ocean, but increasing the amount of such observations is a pronounced technological and logistical challenge. The SMEAR (Station for Measuring Ecosystem-Atmosphere Relations) concept can be applied in coastal and archipelago stations, but in the Arctic Ocean it will probably be more cost-effective to further develop a strongly distributed marine observation network based on autonomous buoys, moorings, autonomous underwater vehicles (AUVs), and unmanned aerial vehicles (UAVs). These have to be supported by research vessel and aircraft campaigns, as well as various coastal observations, including community-based ones. Major manned drift-ing stations may occasionally be comparable to terrestrial SMEAR flagship stations. To best utilize the observations, atmosphere-ocean reanalyses need to be further developed. To well integrate MA-PEEX with the existing terrestrialatmospheric PEEX, focus is needed on the river discharge and associated fluxes, coastal processes, and atmospheric transports in and out of the marine Arctic. More observations and research are also needed on the specific socioeconomic challenges and opportunities in the marine and coastal Arctic, and on their interaction with changes in the climate and environmental system. MA-PEEX will promote international collaboration; sustainable marine meteorological, sea ice, and oceanographic observations; advanced data management; and multidisciplinary research on the marine Arctic and its interaction with the Eurasian continent.</t>
  </si>
  <si>
    <t>[Vihma, Timo; Pirazzini, Roberta; Cheng, Bin] Finnish Meteorol Inst, Meteorol Res, Helsinki, Finland; [Uotila, Petteri; Lappalainen, Hanna K.; Petaja, Tuukka; Kulmala, Markku] Univ Helsinki, Inst Atmospher &amp; Earth Syst Res Phys, Helsinki, Finland; [Sandven, Stein] Nansen Environm &amp; Remote Sensing Ctr, Bergen, Norway; [Pozdnyakov, Dmitry] Nansen Int Environm &amp; Remote Sensing Ctr, St Petersburg, Russia; [Makshtas, Alexander; Ivanov, Vladimir; Frolov, Ivan] Arctic &amp; Antarctic Res Inst, St Petersburg, Russia; [Pelyasov, Alexander] Council Res Product Forces, Ctr Arctic &amp; Northern Econ, Moscow, Russia; [Danielsen, Finn; Albin, Anna] Nord Fdn Dev &amp; Ecol, Copenhagen, Denmark; [Chalov, Sergey; Ivanov, Vladimir; Dobrolyubov, Sergey; Arkhipkin, Viktor; Myslenkov, Stanislav] Moscow MV Lomonosov State Univ, Moscow, Russia; [Lappalainen, Hanna K.; Petaja, Tuukka; Kulmala, Markku] Tyumen State Univ, Tyumen, Russia; [Ivanov, Vladimir; Myslenkov, Stanislav] Hydrometeorol Ctr Russia, Moscow, Russia; [Cheng, Bin] Beijing Normal Univ, Coll Global Change &amp; Earth Syst Sci, Beijing, Peoples R China</t>
  </si>
  <si>
    <t>Finnish Meteorological Institute; University of Helsinki; Nansen Environmental &amp; Remote Sensing Center (NERSC); Nansen Environmental &amp; Remote Sensing Center (NERSC); Arctic &amp; Antarctic Research Institute; Lomonosov Moscow State University; Tyumen State University; Beijing Normal University</t>
  </si>
  <si>
    <t>Vihma, T (corresponding author), Finnish Meteorol Inst, Meteorol Res, Helsinki, Finland.</t>
  </si>
  <si>
    <t>timo.vihma@fmi.fi</t>
  </si>
  <si>
    <t>Ivanov, Vladimir/J-5979-2014; Uotila, Petteri/A-1703-2012; Vihma, Timo/ABC-9771-2020; myslenkov, stanislav s.a./E-5811-2014; Arkhipkin, Victor/E-4748-2014; Chalov, Sergey/K-1847-2012; Kasimov, Nikolay S./P-7675-2015; Petäjä, Tuukka/A-8009-2008; Pirazzini, Roberta/G-2043-2012; Lappalainen, Hanna/GQZ-3399-2022</t>
  </si>
  <si>
    <t>Ivanov, Vladimir/0000-0003-2569-6027; Uotila, Petteri/0000-0002-2939-7561; Arkhipkin, Victor/0000-0002-1736-5618; Chalov, Sergey/0000-0002-6937-7020; Petäjä, Tuukka/0000-0002-1881-9044; Pirazzini, Roberta/0000-0003-3215-4592; Sandven, Stein/0000-0002-8023-5779; Danielsen, Finn/0000-0003-0229-2847; Lappalainen, Hanna/0000-0003-3221-2318</t>
  </si>
  <si>
    <t>Academy of Finland [283101, 317999]; EC [727890, 707262]; Russian Science Foundation (RSF) [14-27-00083, 14-37-00038, 17-17-01117]; Russian Fund for Basic Research [17-29-05027, 18-05-60219]; Ministry of Education and Science of the Russian Federation [RFMEFI61617X0076]; NASA; Russian Science Foundation [17-17-01117] Funding Source: Russian Science Foundation; Marie Curie Actions (MSCA) [707262] Funding Source: Marie Curie Actions (MSCA)</t>
  </si>
  <si>
    <t>Academy of Finland(Research Council of Finland); EC(European Union (EU)European Commission Joint Research Centre); Russian Science Foundation (RSF)(Russian Science Foundation (RSF)); Russian Fund for Basic Research(Russian Foundation for Basic Research (RFBR)); Ministry of Education and Science of the Russian Federation(Ministry of Education and Science, Russian Federation); NASA(National Aeronautics &amp; Space Administration (NASA)); Russian Science Foundation(Russian Science Foundation (RSF)); Marie Curie Actions (MSCA)(Marie Curie Actions)</t>
  </si>
  <si>
    <t>We thank Arkadiy Lvovich Garmanov and Vladimir Timofeyevich Sokolov from the Arctic and Antarctic Research Institute for preparing Fig. 3 and Anatoly Tsyplenkov from Lomonosov Moscow State University for preparing Fig. 7. We express our gratitude for the financial support of this study provided by the Academy of Finland (contracts 283101 and 317999: Timo Vihma and Bin Cheng), the EC H2020 project INTAROS (grant 727890: Stein Sandven, Roberta Pirazzini, Finn Danielsen, and Anna Albin), the EC Marie Curie Support Action LAWINE (grant 707262: Petteri Uotila), the Russian Science Foundation (RSF; projects 14-27-00083, 14-37-00038, and 17-17-01117: Dmitry Pozdnyakov), the Russian Fund for Basic Research (project 17-29-05027 and 18-05-60219: Sergey Chalov), and the Ministry of Education and Science of the Russian Federation (project RFMEFI61617X0076: Alexander Makshtas and Vladimir Ivanov). With respect to Fig. 6, we acknowledge the use of Rapid Response imagery from the Land, Atmosphere Near-real-time Capability for EOS (LANCE) system operated by the NASA Goddard Space Flight Center (GSFC) Earth Science Data and Information System (ESDIS) with funding provided by NASA.</t>
  </si>
  <si>
    <t>FEB 13</t>
  </si>
  <si>
    <t>10.5194/acp-19-1941-2019</t>
  </si>
  <si>
    <t>HL2DS</t>
  </si>
  <si>
    <t>WOS:000458514200002</t>
  </si>
  <si>
    <t>Banwell, AF; Willis, IC; Macdonald, GJ; Goodsell, B; MacAyeal, DR</t>
  </si>
  <si>
    <t>Banwell, Alison F.; Willis, Ian C.; Macdonald, Grant J.; Goodsell, Becky; MacAyeal, Douglas R.</t>
  </si>
  <si>
    <t>Direct measurements of ice-shelf flexure caused by surface meltwater ponding and drainage</t>
  </si>
  <si>
    <t>SUPRAGLACIAL LAKE; SEASONAL EVOLUTION; GREENLAND; SHEET; FRACTURE; COLLAPSE; DRIVEN; ANTARCTICA; GLACIER; RETREAT</t>
  </si>
  <si>
    <t>Global sea-level rise is caused, in part, by more rapid ice discharge from Antarctica, following the removal of the restraining forces of floating ice-shelves after their break-up. A trigger of ice-shelf break-up is thought to be stress variations associated with surface meltwater ponding and drainage, causing flexure and fracture. But until now, there have been no direct measurements of these processes. Here, we present field data from the McMurdo Ice Shelf, Antarctica, showing that the filling, to similar to 2 m depth, and subsequent draining, by overflow and channel incision, of four surface lakes causes pronounced and immediate ice-shelf flexure over multiple-week timescales. The magnitude of the vertical ice-shelf deflection reaches maxima of similar to 1 m at the lake centres, declining to zero at distances of &lt;500 m. Our results should be used to guide development of continent-wide ice-sheet models, which currently do not simulate ice-shelf break-up due to meltwater loading and unloading.</t>
  </si>
  <si>
    <t>[Banwell, Alison F.; Willis, Ian C.] Univ Cambridge, Scott Polar Res Inst, Cambridge CB2 1ER, England; [Banwell, Alison F.; Willis, Ian C.] Univ Colorado, Cooperat Inst Res Environm Sci, Boulder, CO 80309 USA; [Macdonald, Grant J.; Goodsell, Becky; MacAyeal, Douglas R.] Univ Chicago, Dept Geophys Sci, 5734 S Ellis Ave, Chicago, IL 60637 USA</t>
  </si>
  <si>
    <t>University of Cambridge; University of Colorado System; University of Colorado Boulder; University of Chicago</t>
  </si>
  <si>
    <t>Banwell, AF (corresponding author), Univ Cambridge, Scott Polar Res Inst, Cambridge CB2 1ER, England.;Banwell, AF (corresponding author), Univ Colorado, Cooperat Inst Res Environm Sci, Boulder, CO 80309 USA.</t>
  </si>
  <si>
    <t>alison.banwell@colorado.edu</t>
  </si>
  <si>
    <t>Banwell, Alison/W-8180-2018</t>
  </si>
  <si>
    <t>Banwell, Alison/0000-0001-9545-829X; Willis, Ian/0000-0002-0750-7088; Macdonald, Grant/0000-0002-9295-085X</t>
  </si>
  <si>
    <t>U.S. National Science Foundation [PLR-1443126]; Leverhulme Early Career Fellowship [ECF-2014-412]; CIRES Post Doctoral Visiting Fellowship; CIRES Sabbatical Visiting Fellowship; NASA Earth and Space Science Fellowship [NNX15AN44H]; University of Colorado Boulder Libraries Open Access Fund; NASA [800309, NNX15AN44H] Funding Source: Federal RePORTER</t>
  </si>
  <si>
    <t>U.S. National Science Foundation(National Science Foundation (NSF)); Leverhulme Early Career Fellowship(Leverhulme Trust); CIRES Post Doctoral Visiting Fellowship; CIRES Sabbatical Visiting Fellowship; NASA Earth and Space Science Fellowship; University of Colorado Boulder Libraries Open Access Fund; NASA(National Aeronautics &amp; Space Administration (NASA))</t>
  </si>
  <si>
    <t>This fieldwork component of this paper was supported by the U.S. National Science Foundation under award PLR-1443126 to the University of Chicago. Additionally, A.F.B. was supported by a Leverhulme Early Career Fellowship (ECF-2014-412) and a CIRES Post Doctoral Visiting Fellowship. I.C.W. was supported by a CIRES Sabbatical Visiting Fellowship, and G.J.M. was supported by a NASA Earth and Space Science Fellowship (NNX15AN44H). The authors are grateful to the numerous people associated with the U.S. Antarctic Program, and the staff of McMurdo Station, who helped to make the field campaign possible. The authors thank UNACVO, particularly Brendan Hodge, who helped to deploy the GPS systems, scientists at the Polar Geospatial Center, notably Mike Cloutier, who provided satellite imagery (including the WorldView-2 image presented in Fig. 1) and David Mayer at USGS, who provided invaluable GIS help. Finally, the authors thank the University of Colorado Boulder Libraries Open Access Fund for partially funding this publication.</t>
  </si>
  <si>
    <t>10.1038/s41467-019-08522-5</t>
  </si>
  <si>
    <t>HL2VV</t>
  </si>
  <si>
    <t>WOS:000458567500010</t>
  </si>
  <si>
    <t>Black, JG; Stark, JS; Johnstone, GJ; McMinn, A; Boyd, P; McKinlay, J; Wootherspoon, S; Runcie, JW</t>
  </si>
  <si>
    <t>Black, James G.; Stark, Jonathan S.; Johnstone, Glenn J.; McMinn, Andrew; Boyd, Philip; McKinlay, John; Wootherspoon, Simon; Runcie, John W.</t>
  </si>
  <si>
    <t>In-situ behavioural and physiological responses of Antarctic microphytobenthos to ocean acidification</t>
  </si>
  <si>
    <t>CARBON ACQUISITION; MARINE ORGANISMS; CLIMATE-CHANGE; CO2; TEMPERATURE; LIGHT; PHYTOPLANKTON; DIATOM; GROWTH; PHOTOSYNTHESIS</t>
  </si>
  <si>
    <t>Ocean acidification (OA) is predicted to alter benthic marine community structure and function, however, there is a paucity of field experiments in benthic soft sediment communities and ecosystems. Benthic diatoms are important components of Antarctic coastal ecosystems, however very little is known of how they will respond to ocean acidification. Ocean acidification conditions were maintained by incremental computer controlled addition of high fCO(2) seawater representing OA conditions predicted for the year 2100. Respiration chambers and PAM fluorescence techniques were used to investigate acute behavioural, photosynthetic and net production responses of benthic microalgae communities to OA in in-situ field experiments. We demonstrate how OA can modify behavioural ecology, which changes photo-physiology and net production of benthic microalgae. Ocean acidification treatments significantly altered behavioural ecology, which in turn altered photophysiology. The ecological trends presented here have the potential to manifest into significant ecological change over longer time periods.</t>
  </si>
  <si>
    <t>[Black, James G.; McMinn, Andrew; Boyd, Philip] Inst Marine &amp; Antarctic Studies, Hobart, Tas, Australia; [Stark, Jonathan S.; Johnstone, Glenn J.; McKinlay, John; Wootherspoon, Simon] Australia Antarctic Div, Antarctic Conservat &amp; Management Program, 203 Channel Hwy, Kingston, Tas, Australia; [Runcie, John W.] Univ Sydney, Sch Life &amp; Environm Sci, Sydney, NSW 2006, Australia; [Runcie, John W.] Aquation Pty Ltd, POB 3146, Sydney, NSW 2257, Australia; [McMinn, Andrew] Ocean Univ China, Coll Life Sci, 5 YuShan Rd, Qingdao, Peoples R China</t>
  </si>
  <si>
    <t>University of Tasmania; Australian Antarctic Division; University of Sydney; Ocean University of China</t>
  </si>
  <si>
    <t>Black, JG (corresponding author), Inst Marine &amp; Antarctic Studies, Hobart, Tas, Australia.</t>
  </si>
  <si>
    <t>jgblack@utas.edu.au</t>
  </si>
  <si>
    <t>Wotherspoon, Simon J/B-2390-2013; Stark, Jonathan/ABF-4025-2020; McMinn, Andrew/A-9910-2008; Boyd, Philip/J-7624-2014</t>
  </si>
  <si>
    <t>Wotherspoon, Simon J/0000-0002-6947-4445; Stark, Jonathan/0000-0002-4268-8072; Johnstone, Glenn/0000-0002-9302-4794; McKinlay, John/0000-0003-4858-2604; McMinn, Andrew/0000-0002-2133-3854; Boyd, Philip/0000-0001-7850-1911</t>
  </si>
  <si>
    <t>Australian Antarctic Division [AAS 4127]; Australian Research Council's Special Research Initiative for Antarctic Gateway Partnership [SR140300001]; Australian Research Council Linkage Infrastructure, Equipment and Facilities grant [LE130100220]; University of Tasmania Institute for Marine anbd Antarctic Studies; CSIRO Oceans and Atmosphere; Monterey Bay Aquarium Research Institute (USA); Australian Research Council [LE130100220] Funding Source: Australian Research Council</t>
  </si>
  <si>
    <t>Australian Antarctic Division; Australian Research Council's Special Research Initiative for Antarctic Gateway Partnership(Australian Research Council); Australian Research Council Linkage Infrastructure, Equipment and Facilities grant(Australian Research Council); University of Tasmania Institute for Marine anbd Antarctic Studies; CSIRO Oceans and Atmosphere; Monterey Bay Aquarium Research Institute (USA); Australian Research Council(Australian Research Council)</t>
  </si>
  <si>
    <t>This project was supported by the Australian Antarctic Division (AAS 4127), and under the Australian Research Council's Special Research Initiative for Antarctic Gateway Partnership (Project ID SR140300001), an Australian Research Council Linkage Infrastructure, Equipment and Facilities grant (LE130100220) and supported by the University of Tasmania Institute for Marine and Antarctic Studies, CSIRO Oceans and Atmosphere, and the Monterey Bay Aquarium Research Institute (USA). We are grateful to the following people for their support: Mark Milnes, Steven Whiteside, William Kirkwood, Edward Peltzer, Kym Newberry, Jono Reeve, Nick Roden, Matthew Wright, Helena Baird, Cathryn Wynn-Edwards, Martin Riddle, Ian Snape, Andrew Cawthorn, Clint Berry, Mike Sparg, Glenn Dunshea, Tony Press, Nick Gales, David Lyons and Kate Berry, as well as the personnel at Casey station for their logistical support throughout the field season. Permits from the Department of the Environment, Australian Government, were provided to conduct this research.</t>
  </si>
  <si>
    <t>10.1038/s41598-018-36233-2</t>
  </si>
  <si>
    <t>HL2WS</t>
  </si>
  <si>
    <t>WOS:000458570600008</t>
  </si>
  <si>
    <t>Tixier, P; Burch, P; Richard, G; Olsson, K; Welsford, D; Lea, MA; Hindell, MA; Guinet, C; Janc, A; Gasco, N; Duhamel, G; Villanueva, MC; Suberg, L; Arangio, R; Söffker, M; Arnould, JPY</t>
  </si>
  <si>
    <t>Tixier, Paul; Burch, Paul; Richard, Gaetan; Olsson, Karin; Welsford, Dirk; Lea, Mary-Anne; Hindell, Mark A.; Guinet, Christophe; Janc, Anais; Gasco, Nicolas; Duhamel, Guy; Villanueva, Maria Ching; Suberg, Lavinia; Arangio, Rhys; Soffker, Marta; Arnould, John P. Y.</t>
  </si>
  <si>
    <t>Commercial fishing patterns influence odontocete whale-longline interactions in the Southern Ocean</t>
  </si>
  <si>
    <t>KILLER WHALES; SPERM-WHALES; PHYSETER-MACROCEPHALUS; ORCINUS-ORCA; SEASONAL OCCURRENCE; SEABIRD MORTALITY; MARINE MAMMALS; DEPREDATION; TOOTHFISH; FISHERIES</t>
  </si>
  <si>
    <t>The emergence of longline fishing around the world has been concomitant with an increase in depredation-interactions by odontocete whales (removal of fish caught on hooks), resulting in substantial socio-economic and ecological impacts. The extent, trends and underlying mechanisms driving these interactions remain poorly known. Using long-term (2003-2017) datasets from seven major Patagonian toothfish (Dissostichus eleginoides) longline fisheries, this study assessed the levels and inter-annual trends of sperm whale (Physeter macrocephalus) and/or killer whale (Orcinus orca) interactions as proportions of fishing time (days) and fishing area (spatial cells). The role of fishing patterns in explaining between-fisheries variations of probabilities of odontocete interactions was investigated. While interaction levels remained globally stable since the early 2000s, they varied greatly between fisheries from 0 to &gt; 50% of the fishing days and area. Interaction probabilities were influenced by the seasonal concentration of fishing effort, size of fishing areas, density of vessels, their mobility and the depth at which they operated. The results suggest that between-fisheries variations of interaction probabilities are largely explained by the extent to which vessels provide whales with opportunities for interactions. Determining the natural distribution of whales will, therefore, allow fishers to implement better strategies of spatio-temporal avoidance of depredation.</t>
  </si>
  <si>
    <t>[Tixier, Paul; Richard, Gaetan; Arnould, John P. Y.] Deakin Univ, Sch Life &amp; Environm Sci, Burwood Campus, Geelong, Vic, Australia; [Burch, Paul] CSIRO, Oceans &amp; Atmosphere, Hobart, Tas, Australia; [Richard, Gaetan; Guinet, Christophe; Janc, Anais] Univ La Rochelle, CNRS, CEBC, UMR 7372, Villiers En Bois, France; [Olsson, Karin; Soffker, Marta] Ctr Environm Fisheries &amp; Aquaculture Sci, Lowestoft, Suffolk, England; [Olsson, Karin] Tel Aviv Univ, Dept Zool, Elat, Israel; [Olsson, Karin] Intra Univ Inst, Elat, Israel; [Welsford, Dirk] Australian Antarctic Div, Dept Environm, Kingston, Tas, Australia; [Lea, Mary-Anne; Hindell, Mark A.] Univ Tasmania, Inst Marine &amp; Antarctic Studies, Ecol &amp; Biodivers Ctr, Hobart, Tas, Australia; [Gasco, Nicolas; Duhamel, Guy] Museum Natl Hist Nat, UMR BOREA, Dept Adaptat Vivant, Paris, France; [Villanueva, Maria Ching; Suberg, Lavinia] IFREMER, Lab Biol Halieut STH LBH, BP 70, F-29280 Plouzane, France; [Arangio, Rhys] Coalit Legal Toothfish Operators COLTO, Perth, WA, Australia</t>
  </si>
  <si>
    <t>Deakin University; Commonwealth Scientific &amp; Industrial Research Organisation (CSIRO); Centre National de la Recherche Scientifique (CNRS); CNRS - Institute of Ecology &amp; Environment (INEE); La Rochelle Universite; Centre for Environment Fisheries &amp; Aquaculture Science; Tel Aviv University; Australian Antarctic Division; University of Tasmania; Centre National de la Recherche Scientifique (CNRS); Institut de Recherche pour le Developpement (IRD); Museum National d'Histoire Naturelle (MNHN); Sorbonne Universite; Ifremer</t>
  </si>
  <si>
    <t>Tixier, P (corresponding author), Deakin Univ, Sch Life &amp; Environm Sci, Burwood Campus, Geelong, Vic, Australia.</t>
  </si>
  <si>
    <t>p.tixier@deakin.edu.au</t>
  </si>
  <si>
    <t>Soeffker, M/KBC-2650-2024; Burch, Paul/GLU-8548-2022; Guinet, Christophe/AAR-8457-2020; Tixier, Paul/AFU-7272-2022; Hindell, Mark A/K-1131-2013; Villanueva, Maria Ching/B-5870-2016; Lea, Mary-Anne/E-9054-2013; Burch, Paul/J-7641-2014; Soeffker, M/D-3258-2009</t>
  </si>
  <si>
    <t>Lea, Mary-Anne/0000-0001-8318-9299; Hindell, Mark/0000-0002-7823-7185; Burch, Paul/0000-0002-9853-462X; Richard, Gaetan/0000-0003-3709-2909; Tixier, Paul/0000-0002-7325-3573; Soeffker, M/0000-0002-7131-5486; Welsford, Dirk/0000-0001-5379-5052; Olsson, Karin/0000-0002-1695-0989; Villanueva, Maria Ching/0000-0003-2562-3282</t>
  </si>
  <si>
    <t>Coalition of Legal Toothfish Operators (COLTO)</t>
  </si>
  <si>
    <t>The contribution of captains, crews and fishery observers who collected the data is gratefully acknowledged. We thank the Museum National d'Histoire Naturelle (MNHN) de Paris (Charlotte Chazeau, Patrice Pruvost, Alexis Martin - PECHEKER database), the Centre for Environment, Fisheries and Aquaculture Science (CEFAS, Chris Darby), the Government of South Georgia, the Falkland Islands Fisheries Department/Department of Natural Resources (Alex Blake), the Australian Antarctic Division (AAD, Tim Lamb), the Australian Fisheries Management Authority (AFMA), the Magellan Industrial Toothfish Fishing operators Association (AOBAC in spanish: http://home.aobac.cl/) and the Instituto de Fomento Pesquero (IFOP - Renzo Tascheri) for managing, consolidating and sharing the data. Support was also provided by the fishing companies and by the Coalition of Legal Toothfish Operators (COLTO).</t>
  </si>
  <si>
    <t>10.1038/s41598-018-36389-x</t>
  </si>
  <si>
    <t>HL2WY</t>
  </si>
  <si>
    <t>Green Accepted, Green Published, gold, Green Submitted</t>
  </si>
  <si>
    <t>WOS:000458571300012</t>
  </si>
  <si>
    <t>Xu, SQ; Park, K; Wang, YM; Chen, LQ; Qi, D; Li, BR</t>
  </si>
  <si>
    <t>Xu, Suqing; Park, Keyhong; Wang, Yanmin; Chen, Liqi; Qi, Di; Li, Bingrui</t>
  </si>
  <si>
    <t>Variations in the summer oceanic pCO2 and carbon sink in Prydz Bay using the self-organizing map analysis approach</t>
  </si>
  <si>
    <t>NET COMMUNITY PRODUCTION; SEA-SURFACE TEMPERATURE; MIXED-LAYER DEPTH; NORTH-ATLANTIC; ANNUAL CYCLE; CO2 FLUX; IN-SITU; CONTINENTAL-SHELF; ROSS SEA; PACIFIC</t>
  </si>
  <si>
    <t>This study applies a neural network technique to produce maps of oceanic surface pCO(2) in Prydz Bay in the Southern Ocean on a weekly 0.1 degrees longitude x 0.1 degrees latitude grid based on in situ measurements obtained during the 31st CHINARE cruise from February to early March 2015. This study area was divided into three regions, namely, the openocean region, sea-ice region and shelf region. The distribution of oceanic pCO(2) was mainly affected by physical processes in the open-ocean region, where mixing and upwelling were the main controls. In the sea-ice region, oceanic pCO(2) changed sharply due to the strong change in seasonal ice. In the shelf region, biological factors were the main control. The weekly oceanic pCO(2) was estimated using a self-organizing map (SOM) with four proxy parameters (sea surface temperature, chlorophyll a concentration, mixed Layer Depth and sea surface salinity) to overcome the complex relationship between the biogeochemical and physical conditions in the Prydz Bay region. The reconstructed oceanic pCO(2) data coincide well with the in situ pCO(2) data from SOCAT, with a root mean square error of 22.14 mu atm. Prydz Bay was mainly a strong CO2 sink in February 2015, with a monthly averaged uptake of 23.57 +/- 6.36 TgC. The oceanic CO2 sink is pronounced in the shelf region due to its low oceanic pCO(2) values and peak biological production.</t>
  </si>
  <si>
    <t>[Xu, Suqing; Chen, Liqi; Qi, Di] Minist Nat Resources, Key Lab Global Change &amp; Marine Atmospher Chem, Inst Oceanog 3, Xiamen 361005, Peoples R China; [Park, Keyhong] Korea Polar Res Inst, Div Polar Ocean Sci, Incheon 21990, South Korea; [Wang, Yanmin] State Ocean Adm, Haikou Marine Environm Monitoring Cent Stn, Haikou 570100, Hainan, Peoples R China; [Li, Bingrui] Polar Res Inst China, Polar Oceanog Div, Shanghai 200136, Peoples R China</t>
  </si>
  <si>
    <t>Third Institute of Oceanography, Ministry of Natural Resources; Ministry of Natural Resources of the People's Republic of China; Korea Polar Research Institute (KOPRI); Polar Research Institute of China</t>
  </si>
  <si>
    <t>Chen, LQ (corresponding author), Minist Nat Resources, Key Lab Global Change &amp; Marine Atmospher Chem, Inst Oceanog 3, Xiamen 361005, Peoples R China.;Park, K (corresponding author), Korea Polar Res Inst, Div Polar Ocean Sci, Incheon 21990, South Korea.</t>
  </si>
  <si>
    <t>keyhongpark@kopri.re.kr; chenliqi@tio.org.cn</t>
  </si>
  <si>
    <t>National Natural Science Foundation of China [NSFC41506209, 41630969, 41476172]; Qingdao National Laboratory for marine science and technology [QNLM2016ORP0109]; Chinese Projects for Investigations and Assessments of the Arctic and Antarctic (CHINARE2012-2020 ) [01-04, 02-01, 03-04]; Korea Polar Research Institute [PE19060, PE19070]; China Scholarship Council [201704180019]; State Administration of Foreign Experts Affairs P. R. China</t>
  </si>
  <si>
    <t>National Natural Science Foundation of China(National Natural Science Foundation of China (NSFC)); Qingdao National Laboratory for marine science and technology; Chinese Projects for Investigations and Assessments of the Arctic and Antarctic (CHINARE2012-2020 ); Korea Polar Research Institute(Korea Polar Research Institute of Marine Research Placement (KOPRI)); China Scholarship Council(China Scholarship Council); State Administration of Foreign Experts Affairs P. R. China</t>
  </si>
  <si>
    <t>This work is supported by the National Natural Science Foundation of China (NSFC41506209, 41630969, 41476172), the Qingdao National Laboratory for marine science and technology (QNLM2016ORP0109), the Chinese Projects for Investigations and Assessments of the Arctic and Antarctic (CHINARE2012-2020 for 01-04, 02-01 and 03-04). This work is also supported by Korea Polar Research Institute grant nos. PE19060 and PE19070. We would like to thank the China Scholarship Council (201704180019) and the State Administration of Foreign Experts Affairs P. R. China for their support regarding this research. We would also like to thank the carbon group led by Zhongyong Gao and Heng Sun at GCMAC and the crew of the R/V Xuelong for their support on the cruise. We are thankful to contributors to the SOCAT database for validated pCO2 data and Mercator Ocean for providing the Global Forecast model output. We deeply appreciate Xianmin Hu from the Bedford Institute of Oceanography, who provided us with useful technical instructions.</t>
  </si>
  <si>
    <t>10.5194/bg-16-797-2019</t>
  </si>
  <si>
    <t>KU5GU</t>
  </si>
  <si>
    <t>WOS:000519738800001</t>
  </si>
  <si>
    <t>Baudron, AR; Pecl, G; Gardner, C; Fernandes, PG; Audzijonyte, A</t>
  </si>
  <si>
    <t>Baudron, Alan R.; Pecl, Gretta; Gardner, Caleb; Fernandes, Paul G.; Audzijonyte, Asta</t>
  </si>
  <si>
    <t>Ontogenetic deepening of Northeast Atlantic fish stocks is not driven by fishing exploitation</t>
  </si>
  <si>
    <t>[Baudron, Alan R.; Fernandes, Paul G.] Univ Aberdeen, Sch Biol Sci, Aberdeen AB24 2TZ, Scotland; [Pecl, Gretta; Gardner, Caleb; Audzijonyte, Asta] Univ Tasmania, Inst Marine &amp; Antarctic Studies, Battery Point, Tas 7001, Australia</t>
  </si>
  <si>
    <t>University of Aberdeen; University of Tasmania</t>
  </si>
  <si>
    <t>Baudron, AR (corresponding author), Univ Aberdeen, Sch Biol Sci, Aberdeen AB24 2TZ, Scotland.</t>
  </si>
  <si>
    <t>alan.baudron@abdn.ac.uk</t>
  </si>
  <si>
    <t>Audzijonyte, Asta/O-5598-2017; Pecl, Gretta/D-7267-2011; Fernandes, Paul George/H-2972-2013; Gardner, Caleb/I-7086-2013</t>
  </si>
  <si>
    <t>Pecl, Gretta/0000-0003-0192-4339; Fernandes, Paul George/0000-0003-4135-115X; Gardner, Caleb/0000-0003-0324-4337; Audzijonyte, Asta/0000-0002-9919-9376</t>
  </si>
  <si>
    <t>European Union's Horizon 2020 research and innovation project ClimeFish [677039]; Australian Research Council Future Fellowship; Australian Research Council [DP170104240]</t>
  </si>
  <si>
    <t>European Union's Horizon 2020 research and innovation project ClimeFish; Australian Research Council Future Fellowship(Australian Research Council); Australian Research Council(Australian Research Council)</t>
  </si>
  <si>
    <t>We acknowledge funding from the European Union's Horizon 2020 research and innovation project ClimeFish under Grant 677039 (to A.R.B. and P.G.F.), an Australian Research Council Future Fellowship (G.P.), and the Australian Research Council Grant DP170104240 (to A.A.).</t>
  </si>
  <si>
    <t>FEB 12</t>
  </si>
  <si>
    <t>10.1073/pnas.1817295116</t>
  </si>
  <si>
    <t>HL0DR</t>
  </si>
  <si>
    <t>Green Published, Bronze, Green Submitted</t>
  </si>
  <si>
    <t>WOS:000458365600001</t>
  </si>
  <si>
    <t>Archer, MO; Hietala, H; Hartinger, MD; Plaschke, F; Angelopoulos, V</t>
  </si>
  <si>
    <t>Archer, M. O.; Hietala, H.; Hartinger, M. D.; Plaschke, F.; Angelopoulos, V.</t>
  </si>
  <si>
    <t>Direct observations of a surface eigenmode of the dayside magnetopause</t>
  </si>
  <si>
    <t>MAGNETOSPHERIC WAVE-GUIDE; SOLAR-WIND; MAGNETIC-FIELD; ULF WAVES; FREQUENCIES; MAGNETOSHEATH; PULSATIONS; PLASMA; MODES; OSCILLATIONS</t>
  </si>
  <si>
    <t>The abrupt boundary between a magnetosphere and the surrounding plasma, the magnetopause, has long been known to support surface waves. It was proposed that impulses acting on the boundary might lead to a trapping of these waves on the dayside by the ionosphere, resulting in a standing wave or eigenmode of the magnetopause surface. No direct observational evidence of this has been found to date and searches for indirect evidence have proved inconclusive, leading to speculation that this mechanism might not occur. By using fortuitous multipoint spacecraft observations during a rare isolated fast plasma jet impinging on the boundary, here we show that the resulting magnetopause motion and magnetospheric ultra-low frequency waves at well-defined frequencies are in agreement with and can only be explained by the magnetopause surface eigenmode. We therefore show through direct observations that this mechanism, which should impact upon the magnetospheric system globally, does in fact occur.</t>
  </si>
  <si>
    <t>[Archer, M. O.] Queen Mary Univ London, Sch Phys &amp; Astron, Mile End Rd, London E1 4NS, England; [Archer, M. O.] Imperial Coll London, Space &amp; Atmospher Phys Grp, Dept Phys, South Kensington Campus, London SW7 2AZ, England; [Hietala, H.; Angelopoulos, V.] Univ Calif Los Angeles, Dept Earth Planetary &amp; Space Sci, 595 Charles Young Dr East, Los Angeles, CA 90095 USA; [Hietala, H.] Univ Turku, Dept Phys &amp; Astron, Space Res Lab, SF-20500 Turku, Finland; [Hartinger, M. D.] Space Sci Inst, 4750 Walnut St,Suite 205, Boulder, CO 80301 USA; [Hartinger, M. D.] Virginia Tech, Dept Elect &amp; Comp Engn, Perry St, Blacksburg, VA 24060 USA; [Plaschke, F.] Austrian Acad Sci, Space Res Inst, Schmiedlstr 6, A-8042 Graz, Austria</t>
  </si>
  <si>
    <t>University of London; Queen Mary University London; University College London; Imperial College London; University of California System; University of California Los Angeles; University of Turku; Virginia Polytechnic Institute &amp; State University; Austrian Academy of Sciences</t>
  </si>
  <si>
    <t>Archer, MO (corresponding author), Queen Mary Univ London, Sch Phys &amp; Astron, Mile End Rd, London E1 4NS, England.;Archer, MO (corresponding author), Imperial Coll London, Space &amp; Atmospher Phys Grp, Dept Phys, South Kensington Campus, London SW7 2AZ, England.</t>
  </si>
  <si>
    <t>m.archer@qmul.ac.uk</t>
  </si>
  <si>
    <t>; Hartinger, Michael/H-9088-2012</t>
  </si>
  <si>
    <t>Angelopoulos, Vassilis/0000-0001-7024-1561; Archer, Martin/0000-0003-1556-4573; Plaschke, Ferdinand/0000-0002-5104-6282; Hartinger, Michael/0000-0002-2643-2202; Hietala, Heli/0000-0002-3039-1255</t>
  </si>
  <si>
    <t>NASA [NNX17AI45G, NNX17AD35G, NAS5-02099]; Turku Collegium for Science and Medicine; German Ministry for Economy and Technology; German Center for Aviation and Space (DLR) [50 OC 0302]; NASA [NNX17AD35G, 1003065] Funding Source: Federal RePORTER</t>
  </si>
  <si>
    <t>NASA(National Aeronautics &amp; Space Administration (NASA)); Turku Collegium for Science and Medicine; German Ministry for Economy and Technology; German Center for Aviation and Space (DLR)(Helmholtz AssociationGerman Aerospace Centre (DLR)); NASA(National Aeronautics &amp; Space Administration (NASA))</t>
  </si>
  <si>
    <t>We acknowledge valuable discussions within the International Space Science Institute (ISSI), Bern, team 350 Jets downstream of collisionless shocks, led by F.P. and H.H. We also thank D. Burgess for helpful discussions. H.H. was supported by NASA NNX17AI45G and the Turku Collegium for Science and Medicine. M.D.H. was supported by the NASA NNX17AD35G. We acknowledge NASA contract NAS5-02099 for use of data from the THEMIS Mission. Specifically K.H.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 C. W. Carlson and J.P. McFadden for use of ESA data; D. Larson and the late R. P. Lin for use of SST data; and J. W. Bonnell and F. S. Mozer for EFI data. We acknowledge Wind plasma (courtesy of S. Bale and the late R. P. Lin) and magnetic field (courtesy of R. Lepping and A. Szabo) data. We acknowledge Oleg Troshichev and the Department of Geophysics, Arctic and Antarctic Research Institute for ground magnetometer data.</t>
  </si>
  <si>
    <t>10.1038/s41467-018-08134-5</t>
  </si>
  <si>
    <t>HL0QH</t>
  </si>
  <si>
    <t>WOS:000458398500002</t>
  </si>
  <si>
    <t>Aznar-Alemany, O; Yang, XF; Alonso, MB; Costa, ES; Torres, JPM; Malm, O; Barceló, D; Eljarrat, E</t>
  </si>
  <si>
    <t>Aznar-Alemany, Oscar; Yang, Xuefei; Alonso, Mariana B.; Costa, Erli Schneider; Torres, Joao Paulo M.; Malm, Olaf; Barcelo, Damia; Eljarrat, Ethel</t>
  </si>
  <si>
    <t>Preliminary study of long-range transport of halogenated flame retardants using Antarctic marine mammals</t>
  </si>
  <si>
    <t>Antarctic seals; Blood-brain barrier; Fur samples; Halogenated norbornenes; Emerging flame retardants</t>
  </si>
  <si>
    <t>POLYBROMINATED DIPHENYL ETHERS; PERSISTENT ORGANIC POLLUTANTS; KING GEORGE ISLAND; PRESSURIZED LIQUID EXTRACTION; SOUTH SHETLAND ISLANDS; CARP CYPRINUS-CARPIO; SEALS PHOCA-HISPIDA; DECHLORANE PLUS; MASS-SPECTROMETRY; NATURAL-PRODUCTS</t>
  </si>
  <si>
    <t>Eight PBDE congeners, three emerging brominated flame retardants, five dechloranes and eight MeO-PBDEs were monitored in tissues (muscular, adipose, brain) and fur of southern elephant seal and Antarctic fur seal of the South Shetland Islands, Antarctic Peninsula. Total PBDEs and total dechloranes concentrations ranged between n.d.-6 ng/g lw. While PBDEs were not detected in brain tissue, Dec 602 was found in brain tissue of both seal species indicating that dechloranes - with potential neurological toxicity-could cross the blood-brain barrier. Emerging brominated flame retardants were not detected in any sample and only two MeO-PBDEs, which are of natural origin, were found. The presence of the detected compounds in biota from the Antarctic evidences their long-range transportation, being of special interest the detection of emerging compounds such as dechloranes. This is the first time that these contaminants have been detected in marine mammals from the Antarctic. BDE-47 concentrations were lower than previously reported for the same species, suggesting a successful effect of the existing regulation and bans on PBDEs. Capsule abstract: Halogenated flame retardants were in tissues of Antarctic seals proving long-range transport. Dechloranes showed similar behaviour to PBDEs, additionally they crossed the BBB. (c) 2018 Elsevier B.V. All rights reserved.</t>
  </si>
  <si>
    <t>[Aznar-Alemany, Oscar; Yang, Xuefei; Barcelo, Damia; Eljarrat, Ethel] Inst Envimnmental Assessment &amp; Water Res IDAEA CS, Jordi Girona 18, Barcelona 08034, Spain; [Alonso, Mariana B.; Torres, Joao Paulo M.; Malm, Olaf] Univ Fed Rio de Janeiro, Inst Biophys Carlos Chagas Filho, Radioisotopes Lab Eduardo Penna Franca, Av Carlos Chagas Filho 373, BR-21941902 Rio De Janeiro, Brazil; [Costa, Erli Schneider] State Univ Rio Grande do Sul UERGS, Ambiente &amp; Sustentabilidade, Rua Assis Brasil 842, BR-95400000 Sao Francisco De Paula, Brazil; [Barcelo, Damia] Catalan Inst Water Res ICRA, Emili Grohit 101, Girona 17003, Spain</t>
  </si>
  <si>
    <t>Consejo Superior de Investigaciones Cientificas (CSIC); CSIC - Centro de Investigacion y Desarrollo Pascual Vila (CID-CSIC); CSIC - Instituto de Diagnostico Ambiental y Estudios del Agua (IDAEA); Universidade Federal do Rio de Janeiro; Universidade Estadual do Rio Grande do Sul (UERGS); Institut Catala de Recerca de l'Aigua (ICRA)</t>
  </si>
  <si>
    <t>Eljarrat, E (corresponding author), Carrer Jordi Girona 18-26, Barcelona 08034, Spain.</t>
  </si>
  <si>
    <t>oaaqam@cid.csic.es; xuefei.yang@upc.edu; erli-costa@uergs.edu.br; olaf@biof.ufrj.br; dbcqam@cid.csic.es; eeeqam@cid.csic.es</t>
  </si>
  <si>
    <t>Malm, Olaf/H-1724-2012; BARCELO, DAMIA/O-4558-2016; COSTA, ERLI SCHNEIDER/AAP-2375-2020; Alonso, Mariana Batha/E-3410-2014; Machado Torres, Joao Paulo/H-4950-2012</t>
  </si>
  <si>
    <t>BARCELO, DAMIA/0000-0002-8873-0491; COSTA, ERLI SCHNEIDER/0000-0002-3739-1178; Alonso, Mariana Batha/0000-0002-1043-9012; Machado Torres, Joao Paulo/0000-0002-2510-1612; Malm, Olaf/0000-0002-4116-7160; ELJARRAT, ETHEL/0000-0002-0814-6579; Yang, Xuefei/0000-0001-9695-0323</t>
  </si>
  <si>
    <t>Generalitat de Catalunya (Consolidated Research Group - Water and Soil Quality Unit) [2017 SGR 01404]; Brazilian Antarctic Program (PROANTAR); CNPq - PDEE</t>
  </si>
  <si>
    <t>Generalitat de Catalunya (Consolidated Research Group - Water and Soil Quality Unit)(Generalitat de Catalunya); Brazilian Antarctic Program (PROANTAR); CNPq - PDEE</t>
  </si>
  <si>
    <t>This work has been financially supported by the Generalitat de Catalunya (Consolidated Research Group 2017 SGR 01404 - Water and Soil Quality Unit). Biotage is acknowledged for providing SPE cartridges. The samples were collected with support of the Brazilian Antarctic Program (PROANTAR). The authors would like to thank the logistic support by Brazilian Navy and Aeronautics Forces. Project CNPq number (ESC). MBA has sandwich doctorate fellowship by CNPq - PDEE.</t>
  </si>
  <si>
    <t>FEB 10</t>
  </si>
  <si>
    <t>10.1016/j.scitotenv.2018.09.287</t>
  </si>
  <si>
    <t>GX6LB</t>
  </si>
  <si>
    <t>WOS:000447871400023</t>
  </si>
  <si>
    <t>Zangrando, R; Corami, F; Barbaro, E; Grosso, A; Barbante, C; Turetta, C; Capodaglio, G; Gambaro, A</t>
  </si>
  <si>
    <t>Zangrando, Roberta; Corami, Fabiana; Barbaro, Elena; Grosso, Anna; Barbante, Carlo; Turetta, Clara; Capodaglio, Gabriele; Gambaro, Andrea</t>
  </si>
  <si>
    <t>Free phenolic compounds in waters of the Ross Sea</t>
  </si>
  <si>
    <t>Phenolic compounds; Sea water; Ross Sea; Antarctica</t>
  </si>
  <si>
    <t>DISSOLVED ORGANIC-MATTER; NOVA BAY POLYNYA; MOLECULAR TRACERS; EMISSION FACTORS; AEROSOLS; LIGNIN; MARINE; SHELF; VARIABILITY; ANTARCTICA</t>
  </si>
  <si>
    <t>The presence of free phenolic compounds (PC) in Antarctic sea water has been investigated to explain their source and particle size distribution in the atmospheric aerosols, as determined in our previous research. The sea water samples were filtered to distinguish the PC concentrations in the particulate and dissolved fractions. Two sample preparation procedures were developed to quantify nine PC in both fractions. The highest concentrations were found in the dissolved fraction of Ross Sea water, with vanillin, vanillic acid, acetovanillone and p-coumaric acid being the most abundant PC. Dissolved PC were mainly found in the upper part of water column. This facilitated the sea water-air exchange by bubble busting processes. In the aerosol, they were mainly found in the fine fraction, where these compounds have a higher degree of oxidation than PC detected in seawater, suggesting that they were newly emitted and they have been not yet oxidized. These results supported our previous hypothesis that PC were locally emitted into the atmosphere from the Ross Sea. Three different possible sources of PC are hypothesized for Antarctic seawaters: 1) from the intrusion of Modified Circumpolar DeepWater that may transport oceanic lignin; 2) from phytoplankton biomass that may be a source of PC in Antarctic waters since diatoms produce exudates that contain vanillic acid, p-coumaric acid and syringic acid; 3) from the melting of glaciers and sea ice: glaciers contain lignin that can be degraded, while in the sea ice there are diatoms that may release PC. Statistical analysis and the low value of vanillic acid/vanillin ratio indicated that the most plausible source for PC in the dissolved fraction was the senescence of phytoplankton. As a contrast, particulate PC with higher vanillic acid/vanillin ratios were ascribed to degraded lignin or the sorption of diagenically oxidized material on particles. (C) 2018 Elsevier B.V. All rights reserved.</t>
  </si>
  <si>
    <t>[Zangrando, Roberta; Corami, Fabiana; Barbaro, Elena; Barbante, Carlo; Turetta, Clara; Capodaglio, Gabriele; Gambaro, Andrea] CNR, Inst Dynam Environm Proc, Via Torino 155, I-30170 Venice, VE, Italy; [Grosso, Anna; Capodaglio, Gabriele; Gambaro, Andrea] Ca Foscari Univ Venice, Dept Environm Sci Informat &amp; Stat, Via Torino 155, I-30170 Venice, VE, Italy</t>
  </si>
  <si>
    <t>Consiglio Nazionale delle Ricerche (CNR); Istituto per la Dinamica dei Processi Ambientali (IDPA-CNR); Universita Ca Foscari Venezia</t>
  </si>
  <si>
    <t>Zangrando, R (corresponding author), CNR, Inst Dynam Environm Proc, Via Torino 155, I-30170 Venice, VE, Italy.</t>
  </si>
  <si>
    <t>roberta.zangrando@idpa.cnr.it</t>
  </si>
  <si>
    <t>Capodaglio, Gabriele/D-5295-2014; BARBARO, ELENA/AAK-3106-2021; Turetta, Clara/O-2849-2015; Barbaro, Elena/AAX-8809-2020; Corami, Fabiana/ABC-8571-2020; Corami, Fabiana/ACG-8770-2022; Barbante, Carlo/B-3195-2011</t>
  </si>
  <si>
    <t>Capodaglio, Gabriele/0000-0002-3689-4865; Turetta, Clara/0000-0003-3130-2901; Barbaro, Elena/0000-0003-2639-7475; Corami, Fabiana/0000-0002-7484-9600; Corami, Fabiana/0000-0002-7484-9600; Barbante, Carlo/0000-0003-4177-2288</t>
  </si>
  <si>
    <t>Italian Programma Nazionale di Ricerche in Antartide (PNRA) through the project Comportamento e destino di microcomponenti nel continente antartico anche in relazione ai cambiamenti climatici [2009/A2.05]</t>
  </si>
  <si>
    <t>Italian Programma Nazionale di Ricerche in Antartide (PNRA) through the project Comportamento e destino di microcomponenti nel continente antartico anche in relazione ai cambiamenti climatici</t>
  </si>
  <si>
    <t>This work was financially supported by the Italian Programma Nazionale di Ricerche in Antartide (PNRA) through the project Comportamento e destino di microcomponenti nel continente antartico anche in relazione ai cambiamenti climatici (2009/A2.05). The authors gratefully acknowledge the help of ELGA LabWater in providing the Chorus system, which produced the ultra-pure water used in these experiments. We wish to thank S. Francesconi (University of Pisa, Italy) and S. Illuminati (Polytechnic University of Marche - Ancona, Italy) and the Prof. Budillon research group for their help and cooperation during the sampling activities in Antarctica and Dr. Warren Cairns for his careful revision of the manuscript.</t>
  </si>
  <si>
    <t>10.1016/j.scitotenv.2018.09.360</t>
  </si>
  <si>
    <t>WOS:000447871400045</t>
  </si>
  <si>
    <t>Ooi, MC; Goulden, EF; Smith, GG; Bridle, AR</t>
  </si>
  <si>
    <t>Ooi, Mei C.; Goulden, Evan F.; Smith, Gregory G.; Bridle, Andrew R.</t>
  </si>
  <si>
    <t>Haemolymph microbiome of the cultured spiny lobster Panulirus ornatus at different temperatures</t>
  </si>
  <si>
    <t>WEB-BASED TOOL; IMMUNE-RESPONSE; SP-NOV.; EMENDED DESCRIPTION; AMERICAN LOBSTERS; WATER TEMPERATURE; BACTERIAL-FLORA; CRUSTACEAN; STRESS; CRAB</t>
  </si>
  <si>
    <t>Lobsters have an open circulatory system with haemolymph that contains microorganisms even in the healthy individuals. Understanding the role of these microorganisms becomes increasingly important particularly for the diagnosis of disease as the closed life-cycle aquaculture of the spiny lobster Panulirus ornatus nears commercial reality. This study aimed to characterise haemolymph responses of healthy cultured P. ornatus juveniles at control (28 degrees C) and elevated (34 degrees C) temperatures. This was assessed by measuring immune parameters (total granulocyte counts, total haemocyte counts, clotting times), and culture-independent (pyrosequencing of haemolymph DNA) and culture-dependent (isolation using nonselective growth medium) techniques to analyse bacterial communities from lobster haemolymph sampled on days 0, 4 and 6 post-exposure to the temperature regimes. Elevated temperature (34 degrees C) affected lobster survival, total granulocyte counts, and diversity, load and functional potential of the haemolymph bacterial community. Pyrosequencing analyses showed that the core haemolymph microbiome consisted of phyla Proteobacteria and Bacteriodetes. Overall, culture-independent methods captured a higher bacterial diversity and load when compared to culture-dependent methods, however members of the Rhodobacteraceae were strongly represented in both analyses. This is the first comprehensive study providing comparisons of haemolymph bacterial communities from healthy and thermally stressed cultured juvenile P. ornatus and has the potential to be used in health monitoring programs.</t>
  </si>
  <si>
    <t>[Ooi, Mei C.; Goulden, Evan F.; Smith, Gregory G.; Bridle, Andrew R.] Univ Tasmania, Inst Marine &amp; Antarctic Studies, Hobart, Tas, Australia</t>
  </si>
  <si>
    <t>Ooi, MC (corresponding author), Univ Tasmania, Inst Marine &amp; Antarctic Studies, Hobart, Tas, Australia.</t>
  </si>
  <si>
    <t>Mei.Ooi@utas.edu.au</t>
  </si>
  <si>
    <t>Bridle, Andrew R/B-4117-2013; Mei-Chen, Ooi/F-5436-2015; Goulden, Evan/H-9691-2014; Smith, Gregory/C-9263-2013</t>
  </si>
  <si>
    <t>Mei-Chen, Ooi/0000-0002-8703-8460; Bridle, Andrew/0000-0002-5788-1297; Goulden, Evan/0000-0003-3991-5403; Smith, Gregory/0000-0002-8677-1230</t>
  </si>
  <si>
    <t>Australian Research Council Research Hub for Commercial Development of Rock Lobster Culture Systems [IH120100032]</t>
  </si>
  <si>
    <t>Australian Research Council Research Hub for Commercial Development of Rock Lobster Culture Systems</t>
  </si>
  <si>
    <t>This work was supported by the Australian Research Council Research Hub for Commercial Development of Rock Lobster Culture Systems (IH120100032). We thank Andrew Trotter for the preparation of lobster tank system and other personnel at IMAS Taroona for their kind guidance and assistance.</t>
  </si>
  <si>
    <t>FEB 8</t>
  </si>
  <si>
    <t>10.1038/s41598-019-39149-7</t>
  </si>
  <si>
    <t>HK7OH</t>
  </si>
  <si>
    <t>WOS:000458178100009</t>
  </si>
  <si>
    <t>Mardones, JI; Fuenzalida, G; Zenteno, K; Alves-de-Souza, C; Astuya, A; Dorantes-Aranda, JJ</t>
  </si>
  <si>
    <t>Mardones, Jorge, I; Fuenzalida, Gonzalo; Zenteno, Katherine; Alves-de-Souza, Catharina; Astuya, Allisson; Dorantes-Aranda, Juan Jose</t>
  </si>
  <si>
    <t>Salinity-Growth Response and Ichthyotoxic Potency of the Chilean Pseudochattonella verruculosa</t>
  </si>
  <si>
    <t>molecular identification; fish-kills; fish cell line assay; ichthyotoxicity; Chilean fjords</t>
  </si>
  <si>
    <t>FISH GILL DAMAGE; LIFE-HISTORY; CHATTONELLA-VERRUCULOSA; NOV DICTYOCHOPHYCEAE; MOLECULAR PHYLOGENY; FARCIMEN; BLOOM; DINOPHYCEAE; HETEROKONTA; SALMON</t>
  </si>
  <si>
    <t>Despite salmon farmers suffering the worst damage from a harmful algal bloom in Chile's history (US$800M) due to a massive outbreak of the dictyochophyte Pseudochattonella verruculosa in 2016 (similar to 7000-20,000 cells ml(-1)), the effect of environmental drivers and the potency of lytic toxins produced by the local clones of this species remain still largely unexplored. Based on the drastic oceanographic anomalies observed in the Chilean fjords during the 2016-El Nino Godzilla event, the role of salinity (15 to 35 psu) on Pseudochattonella cell growth and cytotoxicity was studied by culturing, scanning electron microscopy (SEM) and using a rainbow trout cell line RTgill-W1 assay to define: (1) vegetative growth rates, (2) cell taxonomy, (3) ichthyotoxicity of monoclonal cultures at 25 and 35 psu in salinity, (4) differences in toxicity of lysed cells and supernatant at different cell concentrations (from 10 to 100,000 cells ml(-1)), and (5) temporal stability of lytic compounds. This study formally confirms the presence of P. verruculosa in Chilean waters using the large subunit (LSU) of the nuclear ribosomal RNA gene. The Chilean P. verruculosa ARC498 strain showed maximum cell densities at 30 psu (max. 84,333 +/- 4,833 cells ml(-1)) and maximum growth rates (mu(max)) at 20 psu (1.44 cells d(-1)). Cultures at 15 psu showed suppressed maximum cell density (max. 269 +/- 71 cell ml(-1)) but high mu(max) were recorded at the beginning of the exponential growth (1.31 cells d(-1)). No significant differences were observed between lysed cells and supernatant treatments in the two salinity levels, suggesting that the most lytic portion is released into the cell-free media instead of remaining cell bound. Cytotoxicity was correlated to cell abundance, reducing gill cell viability down to 80 and 65% compared to controls at 10,000 and 100,000 cells ml(-1), respectively. Unexpectedly, lytic compounds from P. verruculosa ARC498 at 35 psu showed to be less toxic than cultures at 25, where a noticeable presence of peripheral mucocysts were observed by SEM. Lytic compounds from in vitro experiments are weakly toxic even at high cell concentrations, highly unstable and rapidly degraded in the light after 5 days of storage at 15 degrees C. Our results point to the important effect of salinity on growth and ichthyotoxic potency of Pseudochattonella species and highlight the need for a deeper insight into the role of mucocysts in fish gill damage, which would provide a greater understanding as to the harmful modes of action of this species.</t>
  </si>
  <si>
    <t>[Mardones, Jorge, I; Fuenzalida, Gonzalo] Inst Fomento Pesquero, Ctr Estudios Algas Nocivas, Puerto Montt, Chile; [Zenteno, Katherine] Pontificia Univ Catolica Chile, Fac Ciencias Biol, Santiago, Chile; [Alves-de-Souza, Catharina] Univ N Carolina, Ctr Marine Sci, MARBIONC, Algal Resources Collect, Wilmington, NC 28401 USA; [Astuya, Allisson] Univ Concepcion, Dept Oceanog, Fac Ciencias Nat &amp; Oceanog, Lab Cult Celular &amp; Genom Marina, Concepcion, Chile; [Astuya, Allisson] Univ Concepcion, Ctr Invest Oceanog COPAS Sur Austral, Concepcion, Chile; [Dorantes-Aranda, Juan Jose] Univ Tasmania, Inst Marine &amp; Antarctic Studies, Hobart, Tas, Australia</t>
  </si>
  <si>
    <t>Instituto de Fomento Pesquero (Valparaiso); Pontificia Universidad Catolica de Chile; University of North Carolina; University of North Carolina Wilmington; Universidad de Concepcion; Universidad de Concepcion; University of Tasmania</t>
  </si>
  <si>
    <t>Mardones, JI (corresponding author), Inst Fomento Pesquero, Ctr Estudios Algas Nocivas, Puerto Montt, Chile.</t>
  </si>
  <si>
    <t>jorge.mardones@ifop.cl</t>
  </si>
  <si>
    <t>Dorantes-Aranda, Juan Jose/J-7737-2014; Alves-de-Souza, Catharina/G-3286-2014</t>
  </si>
  <si>
    <t>Alves-de-Souza, Catharina/0000-0001-9577-8090</t>
  </si>
  <si>
    <t>Instituto de Fomento Pesquero-IFOP [MR 656-103, CORFO 480-018]; UNCW's Marine Biotechnology Program (MARBIONC) - State of North Carolina (United States)</t>
  </si>
  <si>
    <t>Instituto de Fomento Pesquero-IFOP; UNCW's Marine Biotechnology Program (MARBIONC) - State of North Carolina (United States)</t>
  </si>
  <si>
    <t>Funding was provided by the Instituto de Fomento Pesquero-IFOP (Grants: MR 656-103 and CORFO 480-018) and UNCW's Marine Biotechnology Program (MARBIONC) funded by the State of North Carolina (United States).</t>
  </si>
  <si>
    <t>FEB 7</t>
  </si>
  <si>
    <t>10.3389/fmars.2019.00024</t>
  </si>
  <si>
    <t>HQ8GW</t>
  </si>
  <si>
    <t>WOS:000462663400001</t>
  </si>
  <si>
    <t>Giubertoni, G; Meister, K; DeVries, AL; Bakker, HJ</t>
  </si>
  <si>
    <t>Giubertoni, Giulia; Meister, Konrad; DeVries, Arthur L.; Bakker, Huib J.</t>
  </si>
  <si>
    <t>Determination of the Solution Structure of Antifreeze Glycoproteins Using Two-Dimensional Infrared Spectroscopy</t>
  </si>
  <si>
    <t>JOURNAL OF PHYSICAL CHEMISTRY LETTERS</t>
  </si>
  <si>
    <t>ANTARCTIC FISH; AMIDE-I; PROTEIN; ICE; DYNAMICS; WATER; CONFORMATION; RELAXATION; ABSORPTION; PEPTIDES</t>
  </si>
  <si>
    <t>We study the solution structure of antifreeze glycoproteins (AFGPs) with linear and two-dimensional infrared spectroscopy (2D-IR). With 2D-IR, we study the coupling between the amide I and amide II vibrations of AFGPs. The measured nonlinear spectral response constitutes a much more clearly resolved amide I spectrum than the linear absorption spectrum of the amide I vibrations and allows us to identify the different structural elements of AFGPs in solution. We find clear evidence for the presence of polyproline II (PPII) helical structures already at room temperature, and we find that the fraction of PPII structures increases when the temperature is decreased to the biological working temperature of AFGP. We observe that inhibition of the antifreeze activity of AFGP using borate buffer or enhancing the antifreeze activity using sulfate buffer does not lead to significant changes in the protein conformation. This finding indicates that AFGPs bind to ice with their sugar side chains.</t>
  </si>
  <si>
    <t>[Giubertoni, Giulia; Bakker, Huib J.] AMOLF, Sci Pk 104, NL-1098 XG Amsterdam, Netherlands; [Meister, Konrad] Max Planck Inst Polymer Res, D-55128 Mainz, Germany; [DeVries, Arthur L.] Univ Illinois, Urbana, IL 61801 USA</t>
  </si>
  <si>
    <t>AMOLF; Max Planck Society; University of Illinois System; University of Illinois Urbana-Champaign</t>
  </si>
  <si>
    <t>Bakker, HJ (corresponding author), AMOLF, Sci Pk 104, NL-1098 XG Amsterdam, Netherlands.</t>
  </si>
  <si>
    <t>H.Bakker@amolf.nl</t>
  </si>
  <si>
    <t>Meister, Konrad/0000-0002-6853-6325; Giubertoni, Giulia/0000-0002-3417-4987</t>
  </si>
  <si>
    <t>1948-7185</t>
  </si>
  <si>
    <t>J PHYS CHEM LETT</t>
  </si>
  <si>
    <t>J. Phys. Chem. Lett.</t>
  </si>
  <si>
    <t>10.1021/acs.jpclett.8b03468</t>
  </si>
  <si>
    <t>Chemistry, Physical; Nanoscience &amp; Nanotechnology; Materials Science, Multidisciplinary; Physics, Atomic, Molecular &amp; Chemical</t>
  </si>
  <si>
    <t>Chemistry; Science &amp; Technology - Other Topics; Materials Science; Physics</t>
  </si>
  <si>
    <t>HL4PM</t>
  </si>
  <si>
    <t>WOS:000458704800006</t>
  </si>
  <si>
    <t>Jadwiszczak, P; Rothschild, BM</t>
  </si>
  <si>
    <t>Jadwiszczak, Piotr; Rothschild, Bruce M.</t>
  </si>
  <si>
    <t>The first evidence of an infectious disease in early penguins</t>
  </si>
  <si>
    <t>HISTORICAL BIOLOGY</t>
  </si>
  <si>
    <t>Antarctic Peninsula; Eocene; Sphenisciformes; paleopathology; osteomyelitis; bone fracture</t>
  </si>
  <si>
    <t>EOCENE</t>
  </si>
  <si>
    <t>Traces of skeletal response to trauma are poorly documented for early (i.e. Paleogene, 66-23 Ma) penguins (Sphenisciformes) and infectious diseases that afflicted these seabirds have not been previously put on record. We report osteomyelitis (OM), typically a bacterial infection of bone, in a proximal pedal phalanx of a 'giant' penguin from the Eocene (56-34 Ma) of West Antarctica. Osteomyelitis had apparently complicated healing of a fracture. The injury left an oblique scar within the proximal aspect of the plantar surface, resulting in deformation of the articular surface. The recognised evidence of OM includes characteristic periosteal reaction as well as focal bone-loss and necrosis.</t>
  </si>
  <si>
    <t>[Jadwiszczak, Piotr] Univ Bialystok, Inst Biol, Bialystok, Poland; [Rothschild, Bruce M.] West Virginia Univ, Dept Med, Sch Med, Morgantown, WV 26506 USA; [Rothschild, Bruce M.] Carnegie Museum, Dept Vertebrate Paleontol, Pittsburgh, PA USA</t>
  </si>
  <si>
    <t>University of Bialystok; West Virginia University</t>
  </si>
  <si>
    <t>Jadwiszczak, P (corresponding author), Univ Bialystok, Inst Biol, Bialystok, Poland.</t>
  </si>
  <si>
    <t>piotrj@uwb.edu.pl</t>
  </si>
  <si>
    <t>Jadwiszczak, Piotr/P-4336-2019</t>
  </si>
  <si>
    <t>Jadwiszczak, Piotr/0000-0002-5263-1125</t>
  </si>
  <si>
    <t>0891-2963</t>
  </si>
  <si>
    <t>1029-2381</t>
  </si>
  <si>
    <t>HIST BIOL</t>
  </si>
  <si>
    <t>Hist. Biol.</t>
  </si>
  <si>
    <t>10.1080/08912963.2017.1353606</t>
  </si>
  <si>
    <t>Biology; Paleontology</t>
  </si>
  <si>
    <t>Life Sciences &amp; Biomedicine - Other Topics; Paleontology</t>
  </si>
  <si>
    <t>HH8VW</t>
  </si>
  <si>
    <t>WOS:000456012500008</t>
  </si>
  <si>
    <t>Edwards, TL; Brandon, MA; Durand, G; Edwards, NR; Golledge, NR; Holden, PB; Nias, IJ; Payne, AJ; Ritz, C; Wernecke, A</t>
  </si>
  <si>
    <t>Edwards, Tamsin L.; Brandon, Mark A.; Durand, Gael; Edwards, Neil R.; Golledge, Nicholas R.; Holden, Philip B.; Nias, Isabel J.; Payne, Antony J.; Ritz, Catherine; Wernecke, Andreas</t>
  </si>
  <si>
    <t>Revisiting Antarctic ice loss due to marine ice-cliff instability</t>
  </si>
  <si>
    <t>SEA-LEVEL; PINE ISLAND; SHEET; RETREAT; CLIMATE; WIDESPREAD; MELTWATER; GLACIERS; THWAITES</t>
  </si>
  <si>
    <t>Predictions for sea-level rise this century due to melt from Antarctica range from zero to more than one metre. The highest predictions are driven by the controversial marine ice-cliff instability (MICI) hypothesis, which assumes that coastal ice cliffs can rapidly collapse after ice shelves disintegrate, as a result of surface and sub-shelf melting caused by global warming. But MICI has not been observed in the modern era and it remains unclear whether it is required to reproduce sea-level variations in the geological past. Here we quantify ice-sheet modelling uncertainties for the original MICI study and show that the probability distributions are skewed towards lower values (under very high greenhouse gas concentrations, the most likely value is 45 centimetres). However, MICI is not required to reproduce sea-level changes due to Antarctic ice loss in the mid-Pliocene epoch, the last interglacial period or 1992-2017; without it we find that the projections agree with previous studies (all 95th percentiles are less than 43 centimetres). We conclude that previous interpretations of these MICI projections over-estimate sea-level rise this century; because the MICI hypothesis is not well constrained, confidence in projections with MICI would require a greater range of observationally constrained models of ice-shelf vulnerability and ice-cliff collapse.</t>
  </si>
  <si>
    <t>[Edwards, Tamsin L.] Kings Coll London, Dept Geog, London, England; [Brandon, Mark A.; Edwards, Neil R.; Holden, Philip B.; Wernecke, Andreas] Open Univ, Fac Sci Technol Engn &amp; Math, Sch Environm Earth &amp; Ecosyst Sci, Milton Keynes, Bucks, England; [Durand, Gael; Ritz, Catherine] Univ Grenoble Alpes, CNRS, IRD, IGE, Grenoble, France; [Golledge, Nicholas R.] Victoria Univ Wellington, Antarctic Res Ctr, Wellington, New Zealand; [Golledge, Nicholas R.] GNS Sci, Lower Hutt, New Zealand; [Nias, Isabel J.] Earth Syst Sci Interdisciplinary Ctr, College Pk, MD USA; [Payne, Antony J.] Univ Bristol, Sch Geog Sci, Ctr Polar Observat &amp; Modelling, Bristol, Avon, England</t>
  </si>
  <si>
    <t>University of London; King's College London; Open University - UK; Institut de Recherche pour le Developpement (IRD); Communaute Universite Grenoble Alpes; Universite Grenoble Alpes (UGA); Centre National de la Recherche Scientifique (CNRS); Victoria University Wellington; GNS Science - New Zealand; University of Bristol</t>
  </si>
  <si>
    <t>Edwards, TL (corresponding author), Kings Coll London, Dept Geog, London, England.</t>
  </si>
  <si>
    <t>tamsin.edwards@kcl.ac.uk</t>
  </si>
  <si>
    <t>Holden, Philip/K-6152-2013; Brandon, Mark A/A-5804-2010; payne, antony/A-8916-2008</t>
  </si>
  <si>
    <t>Holden, Philip/0000-0002-2369-0062; Durand, Gael/0000-0001-8979-2355; payne, antony/0000-0001-8825-8425; Golledge, Nicholas/0000-0001-7676-8970; Wernecke, Andreas/0000-0001-9057-3272; Nias, Isabel/0000-0002-5657-8691; Edwards, Tamsin/0000-0002-4760-4704; Brandon, Mark/0000-0002-7779-0958; Ritz, Catherine/0000-0003-0785-8571; Edwards, Neil/0000-0001-6045-8804</t>
  </si>
  <si>
    <t>EPSRC Research on Changes of Variability and Environmental Risk under the Quantifying Uncertainty in Antarctic Ice Sheet Instability (QUAntIS) project [ReCoVER: EP/M008495/1, RFFLP 006]; EPSRC-funded Past Earth Network [EP/M008363/1]; Universite Joseph Fourier-Grenoble International visitor fund 'Campagne INVITES'; Royal Society Te Aparangi [VUW1501]; NERC iSTAR-C project Dynamical control on the response of Pine Island Glacier [NE/J005738/1]; NASA Sea Level Change programme; Open University Faculty of Science, Technology, Engineering and Mathematics; EPSRC [EP/M008495/1] Funding Source: UKRI; NERC [cpom30001, NE/J005738/1, NE/T009470/1, NE/I010874/1] Funding Source: UKRI; Natural Environment Research Council [NE/I010874/1, NE/J005738/1] Funding Source: researchfish</t>
  </si>
  <si>
    <t>EPSRC Research on Changes of Variability and Environmental Risk under the Quantifying Uncertainty in Antarctic Ice Sheet Instability (QUAntIS) project(UK Research &amp; Innovation (UKRI)Engineering &amp; Physical Sciences Research Council (EPSRC)); EPSRC-funded Past Earth Network(UK Research &amp; Innovation (UKRI)Engineering &amp; Physical Sciences Research Council (EPSRC)); Universite Joseph Fourier-Grenoble International visitor fund 'Campagne INVITES'; Royal Society Te Aparangi(Royal Society of New Zealand); NERC iSTAR-C project Dynamical control on the response of Pine Island Glacier; NASA Sea Level Change programme; Open University Faculty of Science, Technology, Engineering and Mathematics; EPSRC(UK Research &amp; Innovation (UKRI)Engineering &amp; Physical Sciences Research Council (EPSRC)); NERC(UK Research &amp; Innovation (UKRI)Natural Environment Research Council (NERC)); Natural Environment Research Council(UK Research &amp; Innovation (UKRI)Natural Environment Research Council (NERC))</t>
  </si>
  <si>
    <t>T.L.E., N.R.E. and P.B.H. were supported by EPSRC Research on Changes of Variability and Environmental Risk (ReCoVER: EP/M008495/1) under the Quantifying Uncertainty in Antarctic Ice Sheet Instability (QUAntIS) project (RFFLP 006). T.L.E. was also supported by the EPSRC-funded Past Earth Network (EP/M008363/1) and the Universite Joseph Fourier-Grenoble International visitor fund 'Campagne INVITES'. N.R.G. is supported by contract VUW1501 from the Royal Society Te Aparangi. I.J.N. was supported by the NERC iSTAR-C project Dynamical control on the response of Pine Island Glacier (NE/J005738/1) and now by the NASA Sea Level Change programme. A.W. is supported by the Open University Faculty of Science, Technology, Engineering and Mathematics. We thank R. DeConto for running additional simulations necessary for the analysis, suggestions and discussions, and K. Ruckert and A. Levermann for providing data. We thank the statisticians who attended the Past Earth Network events 'Assessing Palaeoclimate Uncertainty' (held jointly with the Environmental Statistics Section of the Royal Statistics Society, Cambridge, August 2016), 'Emulators workshop' (Leeds, June 2017) and writing retreat (Callow Hall, August 2017) for advice, particularly I. Vernon, P. Challenor and J. Rougier. We thank D. Le Bars, D. McNeall, D. Demeritt and the King's Geography Hazards, Risk and Regulation reading group (G. Adamson, F. Liu, A. Razli, L. Ball and A. Heilbron) for comments on the manuscript. We also thank K.-K. Shiu and D. Campbell for supporting T.L.E. in this work.</t>
  </si>
  <si>
    <t>10.1038/s41586-019-0901-4</t>
  </si>
  <si>
    <t>HK5CE</t>
  </si>
  <si>
    <t>WOS:000457981800039</t>
  </si>
  <si>
    <t>Golledge, NR; Keller, ED; Gomez, N; Naughten, KA; Bernales, J; Trusel, LD; Edwards, TL</t>
  </si>
  <si>
    <t>Golledge, Nicholas R.; Keller, Elizabeth D.; Gomez, Natalya; Naughten, Kaitlin A.; Bernales, Jorge; Trusel, Luke D.; Edwards, Tamsin L.</t>
  </si>
  <si>
    <t>Global environmental consequences of twenty-first-century ice-sheet melt</t>
  </si>
  <si>
    <t>SEA-LEVEL RISE; SURFACE MASS-BALANCE; MODELS HISTORICAL BIAS; SOUTHERN-OCEAN; GROUNDING LINE; PINE ISLAND; FRESH-WATER; THERMOHALINE CIRCULATION; ISOSTATIC-ADJUSTMENT; THWAITES GLACIER</t>
  </si>
  <si>
    <t>Government policies currently commit us to surface warming of three to four degrees Celsius above pre-industrial levels by 2100, which will lead to enhanced ice-sheet melt. Ice-sheet discharge was not explicitly included in Coupled Model Intercomparison Project phase 5, so effects on climate from this melt are not currently captured in the simulations most commonly used to inform governmental policy. Here we show, using simulations of the Greenland and Antarctic ice sheets constrained by satellite-based measurements of recent changes in ice mass, that increasing meltwater from Greenland will lead to substantial slowing of the Atlantic overturning circulation, and that meltwater from Antarctica will trap warm water below the sea surface, creating a positive feedback that increases Antarctic ice loss. In our simulations, future ice-sheet melt enhances global temperature variability and contributes up to 25 centimetres to sea level by 2100. However, uncertainties in the way in which future changes in ice dynamics are modelled remain, underlining the need for continued observations and comprehensive multi-model assessments.</t>
  </si>
  <si>
    <t>[Golledge, Nicholas R.] Victoria Univ Wellington, Antarctic Res Ctr, Wellington, New Zealand; [Golledge, Nicholas R.; Keller, Elizabeth D.] GNS Sci, Lower Hutt, New Zealand; [Gomez, Natalya] McGill Univ, Earth &amp; Planetary Sci, Montreal, PQ, Canada; [Naughten, Kaitlin A.] British Antarctic Survey, Cambridge, England; [Bernales, Jorge] Univ Bremen, MARUM Ctr Marine Environm Sci, Bremen, Germany; [Trusel, Luke D.] Rowan Univ, Dept Geol, Glassboro, NJ USA; [Edwards, Tamsin L.] Kings Coll London, Dept Geog, London, England</t>
  </si>
  <si>
    <t>Victoria University Wellington; GNS Science - New Zealand; McGill University; UK Research &amp; Innovation (UKRI); Natural Environment Research Council (NERC); NERC British Antarctic Survey; University of Bremen; Rowan University; University of London; King's College London</t>
  </si>
  <si>
    <t>Golledge, NR (corresponding author), Victoria Univ Wellington, Antarctic Res Ctr, Wellington, New Zealand.;Golledge, NR (corresponding author), GNS Sci, Lower Hutt, New Zealand.</t>
  </si>
  <si>
    <t>nicholas.golledge@vuw.ac.nz</t>
  </si>
  <si>
    <t>Gomez, Natalya/AAU-4323-2020; Trusel, Luke D/E-2578-2013; Keller, Elizabeth Diane/GLN-5354-2022; Keller, Elizabeth/O-1520-2013</t>
  </si>
  <si>
    <t>Golledge, Nicholas/0000-0001-7676-8970; Keller, Elizabeth/0000-0002-9408-9215; Naughten, Kaitlin/0000-0001-9475-9162; Gomez, Natalya/0000-0002-2463-7917; Trusel, Luke/0000-0002-7792-6173; Edwards, Tamsin/0000-0002-4760-4704</t>
  </si>
  <si>
    <t>NASA [NNX13AM16G, NNX13AK27G]; Royal Society Te Aparangi [VUW1501]; Antarctic Research Centre; Victoria University of Wellington; GNS Science through the Ministry for Business, Innovation and Employment [CO5X1001]; Natural Sciences and Engineering Research Council of Canada; Canada Research Chairs programme; MAGIC-DML project through DFG SPP 1158 [RO 4262/1-6]; NSF Antarctic Glaciology Program [1643733]; Natural Environment Research Council [NE/L013770/1] Funding Source: researchfish; Office of Polar Programs (OPP); Directorate For Geosciences [1643733] Funding Source: National Science Foundation; NERC [NE/L013770/1, bas0100033] Funding Source: UKRI</t>
  </si>
  <si>
    <t>NASA(National Aeronautics &amp; Space Administration (NASA)); Royal Society Te Aparangi(Royal Society of New Zealand); Antarctic Research Centre; Victoria University of Wellington; GNS Science through the Ministry for Business, Innovation and Employment; Natural Sciences and Engineering Research Council of Canada(Natural Sciences and Engineering Research Council of Canada (NSERC)CGIAR); Canada Research Chairs programme(Canada Research Chairs); MAGIC-DML project through DFG SPP 1158(German Research Foundation (DFG)); NSF Antarctic Glaciology Program(National Science Foundation (NSF)NSF - Directorate for Geosciences (GEO)); 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</si>
  <si>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We acknowledge K. Buckley (Victoria University high-performance compute cluster), the Parallel Ice Sheet Model groups at University of Alaska, Fairbanks, the Potsdam Institute for Climate Impact Research and the CMIP community for making their data openly available. PISM is supported by NASA grants NNX13AM16G and NNX13AK27G. This work was funded by contract VUW1501 to N.R.G. from the Royal Society Te Aparangi, with support from the Antarctic Research Centre, Victoria University of Wellington, and GNS Science through the Ministry for Business, Innovation and Employment contract CO5X1001. N.G. was supported by the Natural Sciences and Engineering Research Council of Canada and the Canada Research Chairs programme. J.B. was supported by the MAGIC-DML project through DFG SPP 1158 (RO 4262/1-6). L.D.T. acknowledges support from the NSF Antarctic Glaciology Program (award 1643733).</t>
  </si>
  <si>
    <t>10.1038/s41586-019-0889-9</t>
  </si>
  <si>
    <t>WOS:000457981800040</t>
  </si>
  <si>
    <t>Barr, C; Tibby, J; Leng, MJ; Tyler, JJ; Henderson, ACG; Overpeck, JT; Simpson, GL; Cole, JE; Phipps, SJ; Marshall, JC; McGregor, GB; Hua, Q; McRobie, FH</t>
  </si>
  <si>
    <t>Barr, C.; Tibby, J.; Leng, M. J.; Tyler, J. J.; Henderson, A. C. G.; Overpeck, J. T.; Simpson, G. L.; Cole, J. E.; Phipps, S. J.; Marshall, J. C.; McGregor, G. B.; Hua, Q.; McRobie, F. H.</t>
  </si>
  <si>
    <t>Holocene El Nino-Southern Oscillation variability reflected in subtropical Australian precipitation</t>
  </si>
  <si>
    <t>CARBON-ISOTOPE DISCRIMINATION; CLIMATE SYSTEM; ENSO VARIABILITY; ATMOSPHERIC CO2; GLOBAL PATTERNS; ANTARCTIC ICE; PACIFIC; MIDHOLOCENE; OCEAN; TELECONNECTION</t>
  </si>
  <si>
    <t>The La Nina and El Nino phases of the El Nino-Southern Oscillation (ENSO) have major impacts on regional rainfall patterns around the globe, with substantial environmental, societal and economic implications. Long-term perspectives on ENSO behaviour, under changing background conditions, are essential to anticipating how ENSO phases may respond under future climate scenarios. Here, we derive a 7700-year, quantitative precipitation record using carbon isotope ratios from a single species of leaf preserved in lake sediments from subtropical eastern Australia. We find a generally wet (more La Ninalike) mid-Holocene that shifted towards drier and more variable climates after 3200 cal. yr BP, primarily driven by increasing frequency and strength of the El Nino phase. Climate model simulations implicate a progressive orbitally-driven weakening of the Pacific Walker Circulation as contributing to this change. At centennial scales, high rainfall characterised the Little Ice Age (similar to 1450-1850 CE) in subtropical eastern Australia, contrasting with oceanic proxies that suggest El Nino-like conditions prevail during this period. Our data provide a new western Pacific perspective on Holocene ENSO variability and highlight the need to address ENSO reconstruction with a geographically diverse network of sites to characterise how both ENSO, and its impacts, vary in a changing climate.</t>
  </si>
  <si>
    <t>[Barr, C.; Tibby, J.] Univ Adelaide, Dept Geog Environm &amp; Populat, North Terrace, Adelaide, SA 5005, Australia; [Barr, C.; Tibby, J.; Tyler, J. J.] Univ Adelaide, Sprigg Geobiol Ctr, North Terrace, Adelaide, SA 5005, Australia; [Leng, M. J.] Univ Nottingham, Sch Biosci, Sutton Bonington Campus, Loughborough LE12 5RD, Leics, England; [Leng, M. J.] British Geol Survey, Ctr Environm Geochem, Stable Isotope Facil, Nottingham NG12 5GG, England; [Tyler, J. J.] Univ Adelaide, Dept Earth Sci, North Terrace, Adelaide, SA 5005, Australia; [Henderson, A. C. G.] Newcastle Univ, Sch Geog Polit &amp; Sociol, Newcastle Upon Tyne NE1 7RU, Tyne &amp; Wear, England; [Overpeck, J. T.] Univ Michigan, Sch Environm &amp; Sustainabil, Ann Arbor, MI 48109 USA; [Simpson, G. L.] Univ Regina, Inst Environm Change &amp; Soc, Regina, SK S4S 0A2, Canada; [Cole, J. E.] Univ Michigan, Dept Earth &amp; Environm Sci, Ann Arbor, MI 48109 USA; [Phipps, S. J.] Univ Tasmania, Inst Marine &amp; Antarctic Studies, Hobart, Tas, Australia; [Marshall, J. C.; McGregor, G. B.] Queensland Dept Environm &amp; Sci, Dutton Pk, Qld 4102, Australia; [Hua, Q.] Australian Nucl Sci &amp; Technol Org, Locked Bag 2001, Kirrawee Dc, NSW 2232, Australia; [McRobie, F. H.] Univ Western Australia, Sch Math &amp; Stat, Crawley, WA 6009, Australia</t>
  </si>
  <si>
    <t>University of Adelaide; University of Adelaide; University of Nottingham; UK Research &amp; Innovation (UKRI); Natural Environment Research Council (NERC); NERC British Geological Survey; University of Adelaide; Newcastle University - UK; University of Michigan System; University of Michigan; University of Regina; University of Michigan System; University of Michigan; University of Tasmania; Australian Nuclear Science &amp; Technology Organisation; University of Western Australia</t>
  </si>
  <si>
    <t>Barr, C (corresponding author), Univ Adelaide, Dept Geog Environm &amp; Populat, North Terrace, Adelaide, SA 5005, Australia.;Barr, C (corresponding author), Univ Adelaide, Sprigg Geobiol Ctr, North Terrace, Adelaide, SA 5005, Australia.</t>
  </si>
  <si>
    <t>cameron.barr@adelaide.edu.au</t>
  </si>
  <si>
    <t>Simpson, Gavin L/C-1671-2008; Hua, Quan/F-9593-2014; Simpson, Gavin/KFQ-1110-2024; Henderson, Andrew C. G./A-1434-2009; Cole, Julia/ABA-5759-2020; Phipps, Steven/B-3135-2008</t>
  </si>
  <si>
    <t>Simpson, Gavin/0000-0002-9084-8413; Henderson, Andrew C. G./0000-0002-5944-3135; Cole, Julia/0000-0002-3389-7809; Tibby, John/0000-0002-5897-2932; Phipps, Steven/0000-0001-5657-8782; Marshall, Jonathan/0000-0002-7177-4543; Barr, Cameron/0000-0003-0436-8702; Tyler, Jonathan/0000-0001-8046-0215</t>
  </si>
  <si>
    <t>Australian Research Council [LP0990124, DP150103875]; Australian Institute of Nuclear Science Engineering [ALNGRA11005P, ALNGRA15524]; U.S. National Science Foundation EaSM2 Grant [AGS1243125]; Australian Research Council's Special Research Initiative for the Antarctic Gateway Partnership [SR140300001]; Australian Research Council [LP0990124] Funding Source: Australian Research Council</t>
  </si>
  <si>
    <t>Australian Research Council(Australian Research Council); Australian Institute of Nuclear Science Engineering; U.S. National Science Foundation EaSM2 Grant(National Science Foundation (NSF)); Australian Research Council's Special Research Initiative for the Antarctic Gateway Partnership(Australian Research Council); Australian Research Council(Australian Research Council)</t>
  </si>
  <si>
    <t>We acknowledge Minjerribah (North Stradbroke Island) and the surrounding waters as Quandamooka Country and would like to thank Aunty Marg, Minjerribah Moorgumpin elders, for support to undertake research on Country. The project was supported by the Australian Research Council (grants LP0990124 and DP150103875) and the Australian Institute of Nuclear Science Engineering (grants ALNGRA11005P and ALNGRA15524). JTO and JEC were supported by U.S. National Science Foundation EaSM2 Grant (AGS1243125). S.J.P. was supported under the Australian Research Council's Special Research Initiative for the Antarctic Gateway Partnership (Project ID SR140300001).</t>
  </si>
  <si>
    <t>10.1038/s41598-019-38626-3</t>
  </si>
  <si>
    <t>HK5PC</t>
  </si>
  <si>
    <t>WOS:000458017800095</t>
  </si>
  <si>
    <t>Marsà, JAG; Agnolín, FL; Novas, F</t>
  </si>
  <si>
    <t>Garcia Marsa, Jordi Alexis; Agnolin, Federico L.; Novas, Fernando</t>
  </si>
  <si>
    <t>Bone microstructure of Vegavis iaai (Aves, Anseriformes) from the Upper Cretaceous of Vega Island, Antarctic Peninsula</t>
  </si>
  <si>
    <t>Paleohistology; Vegavis iaai; Antarctica; Late Cretaceous; diving habits</t>
  </si>
  <si>
    <t>FOSSIL EVIDENCE; EVOLUTION; GROWTH; MICROANATOMY; RADIATION; PALEOGENE; AMNIOTES; PENGUINS; BIRDS</t>
  </si>
  <si>
    <t>Vegavis iaai is a neornithine bird coming from the Late Cretaceous Sandwich Bluff Member of the Lopez de Bertodano Formation (Maastrichtian), Antarctic Peninsula. Vegavis constitutes the only unquestionable Cretaceous neornithine bird, and is known by the holotype and specimen MACN-PV 19.748. The goal of this paper is to present a detailed osteohistological analysis of V. iaai. Vegavis shows a highly vascularized fibrolamellar matrix lacking lines of arrested growths, features widespread among modern birds. This is consistent with previous hypotheses indicating that modern birds were dominant at high latitudes. This is probably related to high-metabolic rates shared by modern birds, whereas archaic taxa as Enantiornithes are absent or form a minority part of High-Latitude bird assemblages. Vegavis was a diver, characterised by a certain degree of limb osteosclerosis, with an increase of bone inner compactness, and inhibition of secondary remodelling, with no effect on the external dimensions of the bone, a combination of characters related to diving lifestyle. Based on Relative Bone Thickness it is possible to infer that Vegavis was a foot-propelled diving bird, similar to some extant anseriforms. Occurrence of osteosclerotic limb bones in Vegavis and Polarornis may constitute a derived shared feature, sustaining the hypothesis that both taxa are phylogenetically related.</t>
  </si>
  <si>
    <t>[Garcia Marsa, Jordi Alexis; Agnolin, Federico L.; Novas, Fernando] Museo Argentino Ciencias Nat Bernardino Rivadavia, Lab Anat Comparada &amp; Evoluc Vertebrados, Buenos Aires, DF, Argentina; [Garcia Marsa, Jordi Alexis; Novas, Fernando] Consejo Nacl Invest Cient &amp; Tecn, Buenos Aires, DF, Argentina; [Agnolin, Federico L.] Univ Maimomides, Fdn Hist Nat Felix de Azara, Buenos Aires, DF, Argentina</t>
  </si>
  <si>
    <t>Museo Argentino de Ciencias Naturales Bernardino Rivadavia (MACN); Consejo Nacional de Investigaciones Cientificas y Tecnicas (CONICET)</t>
  </si>
  <si>
    <t>Marsà, JAG (corresponding author), Museo Argentino Ciencias Nat Bernardino Rivadavia, Lab Anat Comparada &amp; Evoluc Vertebrados, Buenos Aires, DF, Argentina.;Marsà, JAG (corresponding author), Consejo Nacl Invest Cient &amp; Tecn, Buenos Aires, DF, Argentina.</t>
  </si>
  <si>
    <t>jagmdarwinista@gmail.com</t>
  </si>
  <si>
    <t>CONICET</t>
  </si>
  <si>
    <t>CONICET(Consejo Nacional de Investigaciones Cientificas y Tecnicas (CONICET))</t>
  </si>
  <si>
    <t>This work was supported by the CONICET.</t>
  </si>
  <si>
    <t>10.1080/08912963.2017.1348503</t>
  </si>
  <si>
    <t>WOS:000456012500006</t>
  </si>
  <si>
    <t>Pan, BJ; Vernet, M; Reynolds, RA; Mitchell, BG</t>
  </si>
  <si>
    <t>Pan, B. Jack; Vernet, Maria; Reynolds, Rick A.; Mitchell, B. Greg</t>
  </si>
  <si>
    <t>The optical and biological properties of glacial meltwater in an Antarctic fjord</t>
  </si>
  <si>
    <t>SUSPENDED SEDIMENT; ICE-SHELF; SEA-ICE; BIOOPTICAL CHARACTERIZATION; LIGHT BACKSCATTERING; COASTAL WATERS; MASS-BALANCE; MELTING ICE; PENINSULA; WEST</t>
  </si>
  <si>
    <t>As the Western Antarctic Peninsula (WAP) region responds to a warmer climate, the impacts of glacial meltwater on the Southern Ocean are expected to intensify. The Antarctic Peninsula fjord system offers an ideal system to understand meltwater's properties, providing an extreme in the meltwater's spatial gradient from the glacio-marine boundary to the WAP continental shelf. Glacial meltwater discharge in Arctic and Greenland fjords is typically characterized as relatively lower temperature, fresh and with high turbidity. During two cruises conducted in December 2015 and April 2016 in Andvord Bay, we found a water lens of low salinity and low temperature along the glacio-marine interface. Oxygen isotope ratios identified this water lens as a mixture of glacial ice and deep water in Gerlache Strait suggesting this is glacial meltwater. Conventional hydrographic measurements were combined with optical properties to effectively quantify its spatial extent. Fine suspended sediments associated with meltwater (nanoparticles of similar to 5nm) had a significant impact on the underwater light field and enabled the detection of meltwater characteristics and spatial distribution. In this study, we illustrate that glacial meltwater in Andvord Bay alters the inherent and apparent optical properties of the water column, and develop statistical models to predict the meltwater content from hydrographic and optical measurements. The predicted meltwater fraction is in good agreement with in-situ values. These models offer a potential for remote sensing and high-resolution detection of glacial meltwater in Antarctic waters. Furthermore, the possible influence of meltwater on phytoplankton abundance in the surface is highlighted; a significant correlation is found between meltwater fraction and chlorophyll concentration.</t>
  </si>
  <si>
    <t>[Pan, B. Jack; Vernet, Maria; Mitchell, B. Greg] Univ Calif San Diego, Scripps Inst Oceanog, Integrat Oceanog Div, La Jolla, CA 92093 USA; [Reynolds, Rick A.] Univ Calif San Diego, Scripps Inst Oceanog, Marine Phys Lab, La Jolla, CA 92093 USA</t>
  </si>
  <si>
    <t>University of California System; University of California San Diego; Scripps Institution of Oceanography; University of California System; University of California San Diego; Scripps Institution of Oceanography</t>
  </si>
  <si>
    <t>Pan, BJ (corresponding author), Univ Calif San Diego, Scripps Inst Oceanog, Integrat Oceanog Div, La Jolla, CA 92093 USA.</t>
  </si>
  <si>
    <t>b4pan@ucsd.edu</t>
  </si>
  <si>
    <t>Reynolds, Rick A/C-7470-2014</t>
  </si>
  <si>
    <t>Reynolds, Rick A/0000-0002-1579-3600</t>
  </si>
  <si>
    <t>U.S. National Science Foundation [PLR-1443705]; NASA [NNX15AC98G]; NASA [NNX15AC98G, 809342] Funding Source: Federal RePORTER</t>
  </si>
  <si>
    <t>U.S. National Science Foundation(National Science Foundation (NSF)); NASA(National Aeronautics &amp; Space Administration (NASA)); NASA(National Aeronautics &amp; Space Administration (NASA))</t>
  </si>
  <si>
    <t>This study was supported by the U.S. National Science Foundation grant, award#: PLR-1443705; https://www.nsf.gov/awardsearch/showAward?AWD_ID=1443705 to MV. BGM was supported by NASA Award NNX15AC98G. The funders had no role in study design, data collection and analysis, decision to publish, or preparation of the manuscript.</t>
  </si>
  <si>
    <t>FEB 6</t>
  </si>
  <si>
    <t>e0211107</t>
  </si>
  <si>
    <t>10.1371/journal.pone.0211107</t>
  </si>
  <si>
    <t>HK4EL</t>
  </si>
  <si>
    <t>WOS:000457874000053</t>
  </si>
  <si>
    <t>Solomin, E; Kirpichnikova, I; Amerkhanov, R; Korobatov, D; Lutovats, M; Martyanov, A</t>
  </si>
  <si>
    <t>Solomin, E.; Kirpichnikova, I.; Amerkhanov, R.; Korobatov, D.; Lutovats, M.; Martyanov, A.</t>
  </si>
  <si>
    <t>Wind-hydrogen standalone uninterrupted power supply plant for all-climate application</t>
  </si>
  <si>
    <t>INTERNATIONAL JOURNAL OF HYDROGEN ENERGY</t>
  </si>
  <si>
    <t>Wind energy; Hydrogen based uninterruptible power supply; Renewable energy; Power generation; Vertical axis wind turbine; Optimal multi-tier development</t>
  </si>
  <si>
    <t>ALGORITHMS; SYSTEM; WATER</t>
  </si>
  <si>
    <t>The paper reports about the project for powering the off grid standalone 3 kW power consumer in Arctic, which could be further replicated and scaled up to 50 kW power with minor changes. The project was targeted on the development of autonomous Wind-Hydrogen Powered Plant with the Wind Turbine for initial power generation and Hydrogen Module serving as Uninterruptible Power Supply, for universal usage in any point of the World including the cold zones of Arctic and Antarctic, deserts of Africa and isolated islands characterized by destructive sea salt fogs. At the same time, the equipment is clean, continuous operating, long-lasting and maximally reliable, with no polluting or greenhouse emissions. The components of the Power Plant are developed for the unified DC voltage with an option of adding more on the DC bus bar, scaling the power of the Plant up. It presents a flexibility and modularity in combination with the scalable Hydrogen Storage capacity suitable for different demands of distributed energy consumers including both residential and small business. The comprehensive analysis of the renewable energy sources and in particular wind turbines included the study of the main known types and classes. As a result, the choice was made in favor of proprietary design of innovative multi-tier scalable Vertical Axis Wind Turbine as a main power source, the uninterrupted supply part of which is based on the looped cycle Hydrogen Module containing Electrolyser Module, Fuel Cells Assembly System and Hydrogen Storage with communication and control equipment. The intelligent control algorithms optimize the operation of the Plant minimizing the start-stop cycling phases, stretching the servicing periods and extending the lifetime of the equipment. Remote control provides monitoring and managing all processes of power generation and hydrogen storage via Internet anytime, almost anywhere. The project has proved the presented equipment as long-live, reliable and environmentally friendly, as well as modular and flexible, easily scaled under consumer's control, covering the big power consumption range from personal to small business scale. The developed Power Plant is affordable for the remote energy consumers as the estimated equipment value is correlating with the cost of power line installation using no deep engineering or technological skills. (C) 2018 Hydrogen Energy Publications LLC. Published by Elsevier Ltd. All rights reserved.</t>
  </si>
  <si>
    <t>[Solomin, E.; Kirpichnikova, I.; Korobatov, D.; Martyanov, A.] South Urals State Univ, 76 Lenin St, Chelyabinsk 454080, Russia; [Amerkhanov, R.] Kuban State Agr Univ, 13 Kalinina St, Krasnodar 350044, Russia; [Lutovats, M.] Union Univ, Fac Business &amp; Ind Management, Belgrade, Serbia</t>
  </si>
  <si>
    <t>South Ural State University; Kuban State Agrarian University</t>
  </si>
  <si>
    <t>Solomin, E (corresponding author), South Urals State Univ, 76 Lenin St, Chelyabinsk 454080, Russia.</t>
  </si>
  <si>
    <t>nii-uralmet@mail.ru</t>
  </si>
  <si>
    <t>Martyanov, Andrey/AAU-6241-2020; Solomin, Evgeny/A-2409-2014</t>
  </si>
  <si>
    <t>Martyanov, Andrey/0000-0002-9997-9989; Kirpichnikova, Irina/0000-0002-4078-8790; Solomin, Evgeny/0000-0002-4694-0490</t>
  </si>
  <si>
    <t>US Department of Energy via Lawrence Berkeley National Laboratory and International Science and Technology Center [2568p, LBNL-T2-0203-RU/RUE-2-010620-CH-06]; Act 211 Government of RF [02.A03.21.0011]</t>
  </si>
  <si>
    <t>US Department of Energy via Lawrence Berkeley National Laboratory and International Science and Technology Center; Act 211 Government of RF</t>
  </si>
  <si>
    <t>This project was partly funded by US Department of Energy via Lawrence Berkeley National Laboratory and International Science and Technology Center, under grant #2568p (contract #LBNL-T2-0203-RU/RUE-2-010620-CH-06), and was supported by Act 211 Government of RF, contract No 02.A03.21.0011. Any options, findings, and conclusions or recommendations expressed in this material are those of the author(s) and do not necessarily reflect the views of the funding organizations.</t>
  </si>
  <si>
    <t>0360-3199</t>
  </si>
  <si>
    <t>1879-3487</t>
  </si>
  <si>
    <t>INT J HYDROGEN ENERG</t>
  </si>
  <si>
    <t>Int. J. Hydrog. Energy</t>
  </si>
  <si>
    <t>FEB 5</t>
  </si>
  <si>
    <t>10.1016/j.ijhydene.2018.12.001</t>
  </si>
  <si>
    <t>Chemistry, Physical; Electrochemistry; Energy &amp; Fuels</t>
  </si>
  <si>
    <t>Chemistry; Electrochemistry; Energy &amp; Fuels</t>
  </si>
  <si>
    <t>HK4RZ</t>
  </si>
  <si>
    <t>WOS:000457952100001</t>
  </si>
  <si>
    <t>Haslett, SL; Taylor, JW; Deetz, K; Vogel, B; Babic, K; Kalthoff, N; Wieser, A; Dione, C; Lohou, F; Brito, J; Dupuy, R; Schwarzenboeck, A; Zieger, P; Coe, H</t>
  </si>
  <si>
    <t>Haslett, Sophie L.; Taylor, Jonathan W.; Deetz, Konrad; Vogel, Bernhard; Babic, Karmen; Kalthoff, Norbert; Wieser, Andreas; Dione, Cheikh; Lohou, Fabienne; Brito, Joel; Dupuy, Regis; Schwarzenboeck, Alfons; Zieger, Paul; Coe, Hugh</t>
  </si>
  <si>
    <t>The radiative impact of out-of-cloud aerosol hygroscopic growth during the summer monsoon in southern West Africa</t>
  </si>
  <si>
    <t>LOW-LEVEL CLOUDS; ATMOSPHERIC BOUNDARY-LAYER; PARTICLE SOOT PHOTOMETER; CHEMICAL-COMPOSITION; RELATIVE-HUMIDITY; LIGHT-SCATTERING; FIELD CAMPAIGN; URBAN AEROSOL; TOF-AMS; DYNAMICS</t>
  </si>
  <si>
    <t>Water in the atmosphere can exist in the solid, liquid or gas phase. At high humidities, if the aerosol population remains constant, more water vapour will condense onto the particles and cause them to swell, sometimes up to several times their original size. This significant change in size and chemical composition is termed hygroscopic growth and alters a particle's optical properties. Even in unsaturated conditions, this can change the aerosol direct effect, for example by increasing the extinction of incoming sunlight. This can have an impact on a region's energy balance and affect visibility. Here, aerosol and relative humidity measurements collected from aircraft and radiosondes during the Dynamics-Aerosol-Chemistry-Cloud Interactions in West Africa (DACCIWA) campaign were used to estimate the effect of highly humid layers of air on aerosol optical properties during the monsoon season in southern West Africa. The effects of hygroscopic growth in this region are of particular interest due to the regular occurrence of high humidity and the high levels of pollution in the region. The Zdanovskii, Stokes and Robinson (ZSR) mixing rule is used to estimate the hygroscopic growth of particles under different conditions based on chemical composition. These results are used to estimate the aerosol optical depth (AOD) at lambda = 525 nm for 63 relative humidity profiles. The median AOD in the region from these calculations was 0.36, the same as that measured by sun photometers at the ground site. The spread in the calculated AODs was less than the spread from the sun photometer measurements. In both cases, values above 0.5 were seen predominantly in the mornings and corresponded with high humidities. Observations of modest variations in aerosol load and composition are unable to explain the high and variable AODs observed using sun photometers, which can only be recreated by accounting for the very elevated and variable relative humidities (RHs) in the boundary layer. Most importantly, the highest AODs present in the mornings are not possible without the presence of high RH in excess of 95 %. Humid layers are found to have the most significant impact on AOD when they reach RH greater than 98 %, which can result in a wet AOD more than 1.8 times the dry AOD. Unsaturated humid layers were found to reach these high levels of RH in 37% of observed cases. It can therefore be concluded that the high AODs present across the region are driven by the high humidities and are then moderated by changes in aerosol abundance. Aerosol concentrations in southern West Africa are projected to increase substantially in the coming years; results presented here show that the presence of highly humid layers in the region is likely to enhance the consequent effect on AOD significantly.</t>
  </si>
  <si>
    <t>[Haslett, Sophie L.; Taylor, Jonathan W.; Coe, Hugh] Univ Manchester, Sch Earth &amp; Environm Sci, Manchester, Lancs, England; [Deetz, Konrad; Vogel, Bernhard; Babic, Karmen; Kalthoff, Norbert; Wieser, Andreas] Karlsruhe Inst Technol, Inst Meteorol &amp; Climate Res, Karlsruhe, Germany; [Dione, Cheikh; Lohou, Fabienne] Univ Paul Sabatier Toulouse III UPS, Lab Aerol, Toulouse, France; [Brito, Joel; Dupuy, Regis; Schwarzenboeck, Alfons] Univ Clermont Auvergne, Lab Meteorol Phys, Aubiere, France; [Haslett, Sophie L.; Zieger, Paul] Stockholm Univ, Dept Environm Sci &amp; Analyt Chem, Stockholm, Sweden; [Zieger, Paul] Stockholm Univ, Bolin Ctr Climate Res, Stockholm, Sweden</t>
  </si>
  <si>
    <t>University of Manchester; Helmholtz Association; Karlsruhe Institute of Technology; Universite de Toulouse; Universite Toulouse III - Paul Sabatier; Centre National de la Recherche Scientifique (CNRS); Universite Clermont Auvergne (UCA); Stockholm University</t>
  </si>
  <si>
    <t>Coe, H (corresponding author), Univ Manchester, Sch Earth &amp; Environm Sci, Manchester, Lancs, England.</t>
  </si>
  <si>
    <t>hugh.coe@manchester.ac.uk</t>
  </si>
  <si>
    <t>Coe, Hugh/C-8733-2013; Haslett, Sophie/ABB-9845-2020; Taylor, Jonathan/AAD-2004-2022; Dupuy, Regis/AAO-7895-2020; F. de Brito, Joel/B-6181-2013; Vogel, Bernhard/A-9558-2013; Zieger, Paul/C-3408-2011</t>
  </si>
  <si>
    <t>Taylor, Jonathan/0000-0002-2120-186X; Dupuy, Regis/0000-0001-5908-0699; F. de Brito, Joel/0000-0002-4420-9442; Vogel, Bernhard/0000-0002-8894-0165; Lohou, Fabienne/0000-0002-4374-0127; Coe, Hugh/0000-0002-3264-1713; Haslett, Sophie/0000-0003-2985-4846; Zieger, Paul/0000-0001-7000-6879; DIONE, Cheikh/0000-0002-8457-6175; Babic, Karmen/0000-0002-4878-6167</t>
  </si>
  <si>
    <t>European Union 7th Framework Programme (FP7/2007-2013) [603502]; NERC Doctoral Training Programme [NE/L002469/1]; British Antarctic Survey (BAS); Service des Avions Francais Instrument's pour la Recherche en Environnement (SAFIRE); Deutsches Zentrum fur Luft-und Raumfahrt; NERC [NE/L013584/1] Funding Source: UKRI</t>
  </si>
  <si>
    <t>European Union 7th Framework Programme (FP7/2007-2013)(European Union (EU)); NERC Doctoral Training Programme; British Antarctic Survey (BAS); Service des Avions Francais Instrument's pour la Recherche en Environnement (SAFIRE); Deutsches Zentrum fur Luft-und Raumfahrt(Helmholtz AssociationGerman Aerospace Centre (DLR)); NERC(UK Research &amp; Innovation (UKRI)Natural Environment Research Council (NERC))</t>
  </si>
  <si>
    <t>The research leading to these results has received funding from the European Union 7th Framework Programme (FP7/2007-2013) under grant agreement no. 603502 (EU project DACCIWA: Dynamics-Aerosol-Chemistry-Cloud Interactions in West Africa). The lead author was supported by the NERC Doctoral Training Programme (grant ref: NE/L002469/1). Thanks to the German Weather Service (DWD) for providing access to the ICON forecast data. We thank British Antarctic Survey (BAS, operator of the Twin Otter aircraft), the Service des Avions Francais Instrument's pour la Recherche en Environnement (SAFIRE) and the Deutsches Zentrum fur Luft-und Raumfahrt for their support during the aircraft campaign.</t>
  </si>
  <si>
    <t>10.5194/acp-19-1505-2019</t>
  </si>
  <si>
    <t>HK3QJ</t>
  </si>
  <si>
    <t>WOS:000457831900001</t>
  </si>
  <si>
    <t>Schröder, L; Horwath, M; Dietrich, R; Helm, V; van den Broeke, MR; Ligtenberg, SRM</t>
  </si>
  <si>
    <t>Schroeder, Ludwig; Horwath, Martin; Dietrich, Reinhard; Helm, Veit; van den Broeke, Michiel R.; Ligtenberg, Stefan R. M.</t>
  </si>
  <si>
    <t>Four decades of Antarctic surface elevation changes from multi-mission satellite altimetry</t>
  </si>
  <si>
    <t>SEA-LEVEL RISE; ICE MASS-LOSS; EAST ANTARCTICA; RADAR ALTIMETRY; ISOSTATIC-ADJUSTMENT; ENVISAT ALTIMETER; WEST ANTARCTICA; VOLUME-CHANGE; SHEET; GREENLAND</t>
  </si>
  <si>
    <t>We developed a multi-mission satellite altimetry analysis over the Antarctic Ice Sheet which comprises Seasat, Geosat, ERS-1, ERS-2, Envisat, ICESat and CryoSat-2. After a consistent reprocessing and a stepwise calibration of the inter-mission offsets, we obtained monthly grids of multi-mission surface elevation change (SEC) with respect to the reference epoch 09/2010 (in the format of month/year) from 1978 to 2017. A validation with independent elevation changes from in situ and airborne observations as well as a comparison with a firn model proves that the different missions and observation modes have been successfully combined to a seamless multi-mission time series. For coastal East Antarctica, even Seasat and Geosat provide reliable information and, hence, allow for the analysis of four decades of elevation changes. The spatial and temporal resolution of our result allows for the identification of when and where significant changes in elevation occurred. These time series add detailed information to the evolution of surface elevation in such key regions as Pine Island Glacier, Totten Glacier, Dronning Maud Land or Lake Vostok. After applying a density mask, we calculated time series of mass changes and found that the Antarctic Ice Sheet north of 81.5 degrees S was losing mass at an average rate of -85 +/- 16 Gt yr(-1) between 1992 and 2017, which accelerated to -137 +/- 25 Gt yr(-1) after 2010.</t>
  </si>
  <si>
    <t>[Schroeder, Ludwig; Horwath, Martin; Dietrich, Reinhard] Tech Univ Dresden, Inst Planetare Geodasie, Dresden, Germany; [Schroeder, Ludwig; Helm, Veit] Helmholtz Ctr Polar &amp; Marine Res, Alfred Wegener Inst, Bremerhaven, Germany; [van den Broeke, Michiel R.; Ligtenberg, Stefan R. M.] Univ Utrecht, Inst Marine &amp; Atmospher Res Utrecht, Utrecht, Netherlands</t>
  </si>
  <si>
    <t>Technische Universitat Dresden; Helmholtz Association; Alfred Wegener Institute, Helmholtz Centre for Polar &amp; Marine Research; Utrecht University</t>
  </si>
  <si>
    <t>Schröder, L (corresponding author), Tech Univ Dresden, Inst Planetare Geodasie, Dresden, Germany.;Schröder, L (corresponding author), Helmholtz Ctr Polar &amp; Marine Res, Alfred Wegener Inst, Bremerhaven, Germany.</t>
  </si>
  <si>
    <t>ludwig.schroeder@tu-dresden.de</t>
  </si>
  <si>
    <t>Ligtenberg, Stefan/AAF-8290-2020; Van den Broeke, Michiel R./F-7867-2011; Horwath, Martin/ABH-4320-2020</t>
  </si>
  <si>
    <t>Van den Broeke, Michiel R./0000-0003-4662-7565; Helm, Veit/0000-0001-7788-9328; Schroder, Ludwig/0000-0002-6862-0930; Horwath, Martin/0000-0001-5797-244X</t>
  </si>
  <si>
    <t>Deutsche Bundesstiftung Umwelt (DBU, German Federal Environmental Foundation)); German Ministry of Economics and Technology [50EE1331]; Open Access Publication Funds of the SLUB/TU Dresden</t>
  </si>
  <si>
    <t>Deutsche Bundesstiftung Umwelt (DBU, German Federal Environmental Foundation)); German Ministry of Economics and Technology(Federal Ministry for Economic Affairs and Energy (BMWi)); Open Access Publication Funds of the SLUB/TU Dresden</t>
  </si>
  <si>
    <t>This work is supported by the Deutsche Bundesstiftung Umwelt (DBU, German Federal Environmental Foundation)) and the German Ministry of Economics and Technology (grant 50EE1331 to Veit Helm). We thank the European Space Agency, the National Snow and Ice Data Center and the NASA Goddard Space Flight Center for providing the altimetry data products. We would especially like to thank Jairo Santana for his support in accessing the GSFC data. We are very grateful for the comments from the anonymous referees, Andrew Shepherd and the editor Etienne Berthier, which significantly helped to improve and clarify the manuscript. We acknowledge support by the Open Access Publication Funds of the SLUB/TU Dresden.</t>
  </si>
  <si>
    <t>10.5194/tc-13-427-2019</t>
  </si>
  <si>
    <t>HK3QU</t>
  </si>
  <si>
    <t>WOS:000457833200001</t>
  </si>
  <si>
    <t>Hernández, F; Calisto-Ulloa, N; Gómez-Fuentes, C; Gómez, M; Ferrer, J; González-Rocha, G; Bello-Toledo, H; Botero-Coy, AM; Boix, C; Ibáñez, M; Montory, M</t>
  </si>
  <si>
    <t>Hernandez, F.; Calisto-Ulloa, N.; Gomez-Fuentes, C.; Gomez, M.; Ferrer, J.; Gonzalez-Rocha, G.; Bello-Toledo, H.; Botero-Coy, A. M.; Boix, C.; Ibanez, M.; Montory, M.</t>
  </si>
  <si>
    <t>Occurrence of antibiotics and bacterial resistance in wastewater and sea water from the Antarctic</t>
  </si>
  <si>
    <t>JOURNAL OF HAZARDOUS MATERIALS</t>
  </si>
  <si>
    <t>Antarctic; Antibiotics; Bacterial resistance; Wastewater; Sea water; Liquid chromatography-tandem mass spectrometry</t>
  </si>
  <si>
    <t>PERSONAL CARE PRODUCTS; EMERGING CONTAMINANTS; TREATMENT PLANTS; ILLICIT DRUGS; FRESH-WATER; PHARMACEUTICALS; STATION; ENVIRONMENT; REMOVAL; RISK</t>
  </si>
  <si>
    <t>The potential presence of introduced antibiotics in the aquatic environment is a hot topic of concern, particularly in the Antarctic, a highly vulnerable area protected under the Madrid protocol. The increasing presence of human population, especially during summer, might led to the appearance of pharmaceuticals in wastewater. The previous discovery of Escherichia coli strains resistant to antibiotics in sea water and wastewater collected in King George Island motivated our investigation on antibiotics occurrence in these samples. The application of a multi-residue LC-MS/MS method for 20 antibiotics, revealed the presence of 8 compounds in treated wastewater, mainly the quinolones ciprofloxacin and norfloxacin (92% and 54% of the samples analyzed, average concentrations 0.89 mu g/L and 0.75 mu g/L, respectively) and the macrolides azithromycin and clarithromycin (15% positive samples, and average concentrations near 0.4 mu g/L), and erythromycin (38% positive samples, average concentration 0.003 mu g/L). Metronidazole and clindamycin were found in one sample, at 0.17 and 0.1 mu g/L, respectively; and trimethoprim in two samples, at 0.001 mu g/L. Analysis of sea water collected near the outfall of the wastewater discharges also showed the sporadic presence of 3 antibiotics (ciprofloxacin, clindamycin, trimethoprim) at low ng/L level, illustrating the impact of pharmaceuticals consumption and the poor removal of these compounds in conventional WWTPs. The most widespread antibiotic in sea water was ciprofloxacin, which was found in 15 out of 34 sea water samples analyzed, at concentrations ranging from 4 to 218 ng/L. Bacteria resistance was observed for some antibiotics identified in the samples (e.g. trimetropim and nalidixic acid -a first generation quinolone). However, resistance to some groups of antibiotics could not be correlated to their presence in the water samples due to analytical limitations (penicillins, tetraciclines). On the contrary, for some groups of antibiotics detected in samples (macrolides), the antibacterial activity against E. Coli was not investigated because these antibiotics do not include this bacterial species in their spectrum of activity. Our preliminary data demonstrate that antibiotics occurrence in the Antarctic aquatic environment is an issue that needs to be properly addressed. Periodical monitoring of water samples and the implementation of additional treatments in the WWTPs are recommended as a first step to prevent potential problems related to the presence of antibiotics and other emerging contaminants in the near future in Antarctica.</t>
  </si>
  <si>
    <t>[Hernandez, F.; Botero-Coy, A. M.; Boix, C.; Ibanez, M.] Univ Jaume 1, Res Inst Pesticides &amp; Water, Castellon de La Plana, Spain; [Calisto-Ulloa, N.; Gomez-Fuentes, C.] Univ Magallanes, Fac Engn, Dept Chem Engn, CIMAA, Punta Arenas, Chile; [Gomez, M.; Ferrer, J.; Montory, M.] Univ Concepcion, Fac Agr Engn, Dept Water Resources, Lab Hydroenvironm Biotechnol, Concepcion, Chile; [Gonzalez-Rocha, G.; Bello-Toledo, H.] Univ Concepcion, Fac Ciencias Biol, Dept Microbiol, LIAA, Concepcion, Chile</t>
  </si>
  <si>
    <t>Universitat Jaume I; Universidad de Magallanes; Universidad de Concepcion; Universidad de Concepcion</t>
  </si>
  <si>
    <t>Hernández, F (corresponding author), Univ Jaume 1, Res Inst Pesticides &amp; Water, Castellon de La Plana, Spain.;Montory, M (corresponding author), Univ Concepcion, Fac Agr Engn, Dept Water Resources, Lab Hydroenvironm Biotechnol, Concepcion, Chile.</t>
  </si>
  <si>
    <t>felix.hernandez@uji.es; montory@udec.cl</t>
  </si>
  <si>
    <t>Bello-Toledo, H/AAA-2387-2022; Hernandéz, Félix/AAJ-6736-2020; Gonzalez, Gerardo/KHE-5265-2024; Gonzalez-Rocha, Gerardo/AAP-1793-2021; Hernandez, Felix/M-1530-2014; Ibanez Martinez, Maria/R-1773-2018</t>
  </si>
  <si>
    <t>Bello-Toledo, H/0000-0002-9277-4681; Gonzalez-Rocha, Gerardo/0000-0003-2351-1236; Hernandez, Felix/0000-0003-1268-3083; Botero-Coy, Ana Maria/0000-0002-2118-7797; Ibanez Martinez, Maria/0000-0002-4930-8933; Boix, Clara/0000-0001-8911-5338; Calisto Ulloa, Nancy Cristina/0000-0002-5517-1750</t>
  </si>
  <si>
    <t>Generalitat Valenciana [Prometeo II 2014/023]; [INACH RT-09-15]; [MA-01-12]</t>
  </si>
  <si>
    <t>Generalitat Valenciana(Center for Forestry Research &amp; Experimentation (CIEF)); ;</t>
  </si>
  <si>
    <t>This study was supported by the projects INACH RT-09-15 and MA-01-12. The authors acknowledge logistic and scientific support of INACH during the Antarctic expeditions. The IUPA research team, University Jaume I of Castellon, acknowledges the financial support of Generalitat Valenciana (Group of Excellence Prometeo II 2014/023).</t>
  </si>
  <si>
    <t>0304-3894</t>
  </si>
  <si>
    <t>1873-3336</t>
  </si>
  <si>
    <t>J HAZARD MATER</t>
  </si>
  <si>
    <t>J. Hazard. Mater.</t>
  </si>
  <si>
    <t>10.1016/j.jhazmat.2018.07.027</t>
  </si>
  <si>
    <t>HA0IO</t>
  </si>
  <si>
    <t>WOS:000449891900049</t>
  </si>
  <si>
    <t>Ashok, A; Doriya, K; Rao, JV; Qureshi, A; Tiwari, AK; Kumar, DS</t>
  </si>
  <si>
    <t>Ashok, Anup; Doriya, Kruthi; Rao, Jyothi Vithal; Qureshi, Asif; Tiwari, Anoop Kumar; Kumar, Devarai Santhosh</t>
  </si>
  <si>
    <t>Microbes Producing L-Asparaginase free of Glutaminase and Urease isolated from Extreme Locations of Antarctic Soil and Moss</t>
  </si>
  <si>
    <t>ACUTE LYMPHOBLASTIC-LEUKEMIA; SCHIRMACHER OASIS; OPTIMIZATION; FUNGI; IDENTIFICATION; FERMENTATION; PURIFICATION; BACTERIUM</t>
  </si>
  <si>
    <t>L-Asparaginase (L-asparagine aminohydrolase, E. C. 3.5.1.1) has been proven to be competent in treating Acute Lymphoblastic Leukaemia (ALL), which is widely observed in paediatric and adult groups. Currently, clinical L-Asparaginase formulations are derived from bacterial sources such as Escherichia coli and Erwinia chrysanthemi. These formulations when administered to ALL patients lead to several immunological and hypersensitive reactions. Hence, additional purification steps are required to remove toxicity induced by the amalgamation of other enzymes like glutaminase and urease. Production of L-Asparaginase that is free of glutaminase and urease is a major area of research. In this paper, we report the screening and isolation of fungal species collected from the soil and mosses in the Schirmacher Hills, Dronning Maud Land, Antarctica, that produce L-Asparaginase free of glutaminase and urease. A total of 55 isolates were obtained from 33 environmental samples that were tested by conventional plate techniques using Phenol red and Bromothymol blue as indicators. Among the isolated fungi, 30 isolates showed L-Asparaginase free of glutaminase and urease. The L-Asparaginase producing strain Trichosporon asahii IBBLA1, which showed the highest zone index, was then optimized with a Taguchi design. Optimum enzyme activity of 20.57 U mL(-1) was obtained at a temperature of 30 degrees C and pH of 7.0 after 60 hours. Our work suggests that isolation of fungi from extreme environments such as Antarctica may lead to an important advancement in therapeutic applications with fewer side effects.</t>
  </si>
  <si>
    <t>[Ashok, Anup; Doriya, Kruthi; Rao, Jyothi Vithal; Kumar, Devarai Santhosh] Indian Inst Technol Hyderabad, Dept Chem Engn, IBBL, Sangareddy 502285, Telangana, India; [Qureshi, Asif] Indian Inst Technol Hyderabad, Dept Civil Engn, ECG, Sangareddy 502285, Telangana, India; [Tiwari, Anoop Kumar] NCPOR, Vasco Da Gama 403804, Goa, India</t>
  </si>
  <si>
    <t>Indian Institute of Technology System (IIT System); Indian Institute of Technology (IIT) - Hyderabad; Indian Institute of Technology System (IIT System); Indian Institute of Technology (IIT) - Hyderabad; Ministry of Earth Sciences (MoES) - India; National Centre for Polar and Ocean Research (NCPOR)</t>
  </si>
  <si>
    <t>Kumar, DS (corresponding author), Indian Inst Technol Hyderabad, Dept Chem Engn, IBBL, Sangareddy 502285, Telangana, India.</t>
  </si>
  <si>
    <t>devarai@iith.ac.in</t>
  </si>
  <si>
    <t>TIWARI, ANOOP KUMAR/AAY-8915-2021; Ashok, Anup/ABF-5257-2020; Kumar, Devarai Santhosh/HTO-7598-2023</t>
  </si>
  <si>
    <t>Ashok, Anup/0000-0002-5008-8616; Qureshi, Asif/0000-0003-3329-0166; Doriya, Kruthi/0000-0001-9994-7883</t>
  </si>
  <si>
    <t>Indian Institute of Technology (IIT) Hyderabad; Ministry of Earth Science [NCAOR 66/2018]; Science and Engineering Research Board, Department of Science and Technology [SERB-DST: SB-EMEQ-048/2014]; DST-Inspire Grant [IFA-13 EAS-10]; Centre for Excellence in Sustainable Development IIT Hyderabad</t>
  </si>
  <si>
    <t>Indian Institute of Technology (IIT) Hyderabad; Ministry of Earth Science; Science and Engineering Research Board, Department of Science and Technology; DST-Inspire Grant; Centre for Excellence in Sustainable Development IIT Hyderabad</t>
  </si>
  <si>
    <t>The authors sincerely thank the Director, Indian Institute of Technology (IIT) Hyderabad for the support at IIT Hyderabad, and the Ministry of Earth Science for the Indian Scientific Expedition to Antarctica with contribution from NCAOR 66/2018. Dr. Devarai Santhosh Kumar's work is supported by funds from the Science and Engineering Research Board, Department of Science and Technology (SERB-DST: SB-EMEQ-048/2014), Dr. Asif Qureshi's work is supported by funds from DST-Inspire Grant (IFA-13 EAS-10) and the Centre for Excellence in Sustainable Development IIT Hyderabad. We also thank Dr. Anamika Bhargav and team for their help with certain isolation procedures and microscopic imaging. We would like to extend our gratitude to Dr. Nandini Ramesh Sankar who helped us with language editing.</t>
  </si>
  <si>
    <t>10.1038/s41598-018-38094-1</t>
  </si>
  <si>
    <t>HK2OR</t>
  </si>
  <si>
    <t>WOS:000457753000020</t>
  </si>
  <si>
    <t>Mishra, KB; Vítek, P; Bartak, M</t>
  </si>
  <si>
    <t>Mishra, Kumud Bandhu; Vitek, Petr; Bartak, Milos</t>
  </si>
  <si>
    <t>A correlative approach, combining chlorophyll a fluorescence, reflectance, and Raman spectroscopy, for monitoring hydration induced changes in Antarctic lichen Dermatocarpon polyphyllizum</t>
  </si>
  <si>
    <t>SPECTROCHIMICA ACTA PART A-MOLECULAR AND BIOMOLECULAR SPECTROSCOPY</t>
  </si>
  <si>
    <t>Carotenoids; Chlorophyll a fluorescence transient; Extremophile organisms; Optical signal; Raman mapping; Reflectance spectra</t>
  </si>
  <si>
    <t>BLUE-GREEN-ALGAE; WATER-VAPOR UPTAKE; SPECTRAL SIGNATURES; PHOTOSYNTHESIS; DESERT; DESICCATION; THALLI; PHOTOPROTECTION; PHOTOINHIBITION; CYANOBACTERIA</t>
  </si>
  <si>
    <t>Lichens are successful colonizers in extreme environments worldwide, and they are considered to have played an important role during the evolution of life. Here, we have used a correlative approach, combining three optical signals (chlorophyll a fluorescence (ChlF), reflectance, and Raman spectra), to monitor hydration induced changes in photosynthetic properties of an Antarctic chlorolichen Dermatocarpon polyphyllizum. We measured these three signals from this lichen at different stages (after 4 h, 24 h, and 48 h) of hydration, and compared the data obtained from this lichen in dry state as well as in different hydrated state. We found that dry state of this lichen has: (1) no variable ChlF, (2) high reflectance, with no red-edge and almost zero photochemical reflectance index (PRI), and (3) low-intensity Raman bands of their carotenoids. Furthermore, 4 h of hydration, increased its relative water content (RWC) by 93%, showed red-edge in reflectance spectra, and changed the maximum quantum yield of NH photochemistry (F-v/F-m) from 0 to 0.57 +/- 0.01. We found that reflectance indices, normalized difference index (NDVI) and PRI, significantly differed between brown and black/green surface areas, at all hydration stages; whereas, a shift in the Raman v(l) (C=C) band, between brown and black/green surface areas, occurred in 24 h or 48 h hydrated samples. These data indicate that hydration shortly (within 4 h) activated functions of photosynthetic apparatus, and the de novo synthesis of carotenoids occured in 24 h or 48 h. Furthermore, exposure to high irradiance (2000 mu mol photons m(-2) s(-1)), in 48 h hydrated lichen, significantly reduced F-v/F-m (signifies photoinhibition) and increased PRI (represents changes in xanthophyll pigments). We conclude that the implication of such a correlative approach is highly useful for understanding survival and protective mechanisms on extremophile photosynthetic organisms. (C) 2018 Published by Elsevier B.V.</t>
  </si>
  <si>
    <t>[Mishra, Kumud Bandhu; Bartak, Milos] Masaryk Univ, Fac Sci, Dept Expt Biol, Kamenice 5, Brno 62500, Czech Republic; [Mishra, Kumud Bandhu; Vitek, Petr] Czech Acad Sci, Global Change Res Inst, Belidla 986-4a, Brno 60300, Czech Republic</t>
  </si>
  <si>
    <t>Masaryk University Brno; Czech Academy of Sciences; Global Change Research Centre of the Czech Academy of Sciences</t>
  </si>
  <si>
    <t>Mishra, KB (corresponding author), Belidla 986-4a, Brno 60300, Czech Republic.</t>
  </si>
  <si>
    <t>mishra.k@czechglobe.cz</t>
  </si>
  <si>
    <t>Barták, Miloš/F-4714-2019; Mishra, Kumud Bandhu/C-1150-2013; Vitek, Petr/R-8022-2016</t>
  </si>
  <si>
    <t>Mishra, Kumud Bandhu/0000-0002-1969-0828; Bartak, Milos/0000-0002-3898-3626</t>
  </si>
  <si>
    <t>Ministry of Education, Youth and Sports of the Czech Republic [CZ.02.1.01/0.0/0.0/16_013/0001609, L01415]; ECOPOLARIS project [CZ.02.1.01/0.0/0.0/16_013/0001708]</t>
  </si>
  <si>
    <t>Ministry of Education, Youth and Sports of the Czech Republic(Ministry of Education, Youth &amp; Sports - Czech Republic); ECOPOLARIS project</t>
  </si>
  <si>
    <t>The authors are grateful to the CzechPolar-2 infrastructure (LM2015078) that enabled sample collection and its handling from Antarctica. The experimental part of work has been done in the EEL laboratory (CzechPolar infrastructure) and CzechGlobe laboratory and supported by the ECOPOLARIS project (CZ.02.1.01/0.0/0.0/16_013/0001708) and Ministry of Education, Youth and Sports of the Czech Republic within grants no. CZ.02.1.01/0.0/0.0/16_013/0001609 (CzeCOS ProCES) and L01415 (NPU I). We thank Prof. Govindjee (University of Illinois, Urbana -Champaign, USA) for critical reading of this manuscript</t>
  </si>
  <si>
    <t>1386-1425</t>
  </si>
  <si>
    <t>1873-3557</t>
  </si>
  <si>
    <t>SPECTROCHIM ACTA A</t>
  </si>
  <si>
    <t>Spectroc. Acta Pt. A-Molec. Biomolec. Spectr.</t>
  </si>
  <si>
    <t>10.1016/j.saa.2018.09.036</t>
  </si>
  <si>
    <t>Spectroscopy</t>
  </si>
  <si>
    <t>HA0LY</t>
  </si>
  <si>
    <t>WOS:000449900700003</t>
  </si>
  <si>
    <t>Sun, BW; Liu, CY; Wang, F</t>
  </si>
  <si>
    <t>Sun, Bowen; Liu, Chuanyu; Wang, Fan</t>
  </si>
  <si>
    <t>Global meridional eddy heat transport inferred from Argo and altimetry observations</t>
  </si>
  <si>
    <t>MESOSCALE EDDIES; OCEAN CIRCULATION; NORTH PACIFIC; SEA</t>
  </si>
  <si>
    <t>Proportion and pathways of the eddy-induced heat transport are critical in maintaining world's ocean and climate states. However, an observation-based three-dimensional picture of how oceanic eddies contribute to the global heat transport is yet not quantitatively specified, particularly due to insufficiency of data. Here, using refined methods, we have achieved this goal by analyzing millions of high-quality Argo hydrographic profiles and high-resolution satellite altimetric data. We first presented the spatial differences of individual eddies by reconstructing 254 representative eddies all over the ocean, and then calculated heat fluxes associated with eddies in 5 degrees x 5 degrees boxes. It is revealed that all parameters of eddies vary significantly with both latitudes and longitudes, which is crucial in yielding spatially varying heat fluxes and transports. The eddies not only transport heat towards high latitudes (down-gradient), but also towards low latitudes (up-gradient), particularly at subsurface layers of mid-latitude northern Pacific Ocean and low-latitude Atlantic Ocean. The eddy heat transport is mainly confined in the upper 1000 m of the western part and mid-latitudes of the world's ocean basins, coinciding with maximum meridional temperature gradients. It peaks at 0.8 PW and 0.3 PW (1 PW = 10(15) W) at 45 degrees S and 35 degrees N, respectively, stronger than previous estimates based on model results, and accounts for about one half and one third of the estimated total oceanic heat transport at the same latitudes, respectively. In any location except for the areas associated with the Antarctic Circumpolar Current, the eddy stirring component is distinctly (1-10 times) larger than the eddy trapping component.</t>
  </si>
  <si>
    <t>[Sun, Bowen; Liu, Chuanyu; Wang, Fan] Chinese Acad Sci, Inst Oceanol, IOCAS, CAS Key Lab Ocean Circulat &amp; Waves, Qingdao, Peoples R China; [Sun, Bowen] Univ Chinese Acad Sci, Beijing, Peoples R China; [Liu, Chuanyu; Wang, Fan] Pilot Natl Lab Marine Sci &amp; Technol Qingdao QNLM, Marine Dynam Proc &amp; Climate Funct Lab, Qingdao, Peoples R China; [Liu, Chuanyu; Wang, Fan] Chinese Acad Sci, Ctr Ocean Mega Sci, Qingdao, Peoples R China</t>
  </si>
  <si>
    <t>Chinese Academy of Sciences; Institute of Oceanology, CAS; Chinese Academy of Sciences; University of Chinese Academy of Sciences, CAS; Laoshan Laboratory; Chinese Academy of Sciences</t>
  </si>
  <si>
    <t>Liu, CY; Wang, F (corresponding author), Chinese Acad Sci, Inst Oceanol, IOCAS, CAS Key Lab Ocean Circulat &amp; Waves, Qingdao, Peoples R China.;Liu, CY; Wang, F (corresponding author), Pilot Natl Lab Marine Sci &amp; Technol Qingdao QNLM, Marine Dynam Proc &amp; Climate Funct Lab, Qingdao, Peoples R China.;Liu, CY; Wang, F (corresponding author), Chinese Acad Sci, Ctr Ocean Mega Sci, Qingdao, Peoples R China.</t>
  </si>
  <si>
    <t>chuanyu.liu@qdio.ac.cn; fwang@qdio.ac.cn</t>
  </si>
  <si>
    <t>Wang, Fan/J-5119-2012; Sun, Bowen/ABE-7625-2021</t>
  </si>
  <si>
    <t>Wang, Fan/0000-0001-5932-7567;</t>
  </si>
  <si>
    <t>National Key Research Program of China [2016YFC1401703]; National Natural Science Foundation of China (NSFC) [41606026, 41730534]; Aoshan Talents Program by the Qingdao National Laboratory for Marine Science and Technology [2017ASTCP-ES03, 2015ASTP]; Key Research Program of Frontier Sciences, CAS [QYZDB-SSW-DQC030]; NSFC; CAS [Y72143101B, Y82122101L]</t>
  </si>
  <si>
    <t>National Key Research Program of China; National Natural Science Foundation of China (NSFC)(National Natural Science Foundation of China (NSFC)); Aoshan Talents Program by the Qingdao National Laboratory for Marine Science and Technology; Key Research Program of Frontier Sciences, CAS; NSFC(National Natural Science Foundation of China (NSFC)); CAS(Chinese Academy of Sciences)</t>
  </si>
  <si>
    <t>This study is supported by the National Key Research Program of China (2016YFC1401703), the National Natural Science Foundation of China (NSFC) (41606026, 41730534), the Aoshan Talents Program by the Qingdao National Laboratory for Marine Science and Technology (2017ASTCP-ES03 and 2015ASTP), the Key Research Program of Frontier Sciences, CAS (QYZDB-SSW-DQC030) and the youth programs of the NSFC and CAS (Y72143101B and Y82122101L).</t>
  </si>
  <si>
    <t>FEB 4</t>
  </si>
  <si>
    <t>10.1038/s41598-018-38069-2</t>
  </si>
  <si>
    <t>HK0UA</t>
  </si>
  <si>
    <t>WOS:000457616300233</t>
  </si>
  <si>
    <t>Salwoom, L; Abd Rahman, RNZR; Salleh, A; Shariff, FM; Convey, P; Pearce, D; Ali, MSM</t>
  </si>
  <si>
    <t>Salwoom, Leelatulasi; Abd Rahman, Raja Noor Zaliha Raja; Salleh, Abu Bakar; Shariff, Fairolniza Mohd.; Convey, Peter; Pearce, David; Ali, Mohd Shukuri Mohamad</t>
  </si>
  <si>
    <t>Isolation, Characterisation, and Lipase Production of a Cold-Adapted Bacterial Strain Pseudomonas sp. LSK25 Isolated from Signy Island, Antarctica</t>
  </si>
  <si>
    <t>Antarctica; cold adapted lipase; Pseudomonas sp; LSK25; lipase production</t>
  </si>
  <si>
    <t>SOLVENT TOLERANT LIPASE; ORGANIC-SOLVENT; EXTRACELLULAR LIPASE; LIPOLYTIC-ACTIVITY; MICROBIAL LIPASES; ACTIVE LIPASE; SP NOV.; ENZYMES; PURIFICATION; PROTEASE</t>
  </si>
  <si>
    <t>In recent years, studies on psychrophilic lipases have been an emerging area of research in the field of enzymology. This study focuses on bacterial strains isolated from anthropogenically-influenced soil samples collected around Signy Island Research Station (South Orkney Islands, maritime Antarctic). Limited information on lipase activities from bacteria isolated from Signy station is currently available. The presence of lipase genes was determined using real time quantification PCR (qPCR) in samples obtained from three different locations on Signy Island. Twenty strains from the location with highest lipase gene detection were screened for lipolytic activities at a temperature of 4 degrees C, and from this one strain was selected for further examination based on the highest enzymatic activities obtained. Analysis of 16S rRNA sequence data of this strain showed the highest level of sequence similarity (98%) to a Pseudomonas sp. strain also isolated from Antarctica. In order to increase lipase production of this psychrophilic strain, optimisation of different parameters of physical and nutritional factors were investigated. Optimal production was obtained at 10 degrees C and pH 7.0, at 150 rev/min shaking rate over 36 h incubation.</t>
  </si>
  <si>
    <t>[Salwoom, Leelatulasi; Abd Rahman, Raja Noor Zaliha Raja; Salleh, Abu Bakar; Shariff, Fairolniza Mohd.; Ali, Mohd Shukuri Mohamad] Univ Putra Malaysia, Fac Biotechnol &amp; Biomol Sci, Enzyme &amp; Microbial Technol Res Ctr, Serdang 43400, Selangor, Malaysia; [Salwoom, Leelatulasi] Univ Malaya, NARC, B303,Block B,Level 3,IPS Bldg, Kuala Lumpur 50603, Malaysia; [Abd Rahman, Raja Noor Zaliha Raja; Shariff, Fairolniza Mohd.] Univ Putra Malaysia, Fac Biotechnol &amp; Biomol Sci, Dept Microbiol, Serdang 43400, Selangor, Malaysia; [Convey, Peter; Pearce, David] British Antarctic Survey, NERC, Madingley Rd, Cambridge CB3 OET, England; [Pearce, David] Univ Northumbria Newcastle, Fac Hlth &amp; Life Sci, Dept Appl Sci, Newcastle Upon Tyne NE1 8ST, Tyne &amp; Wear, England; [Ali, Mohd Shukuri Mohamad] Univ Putra Malaysia, Fac Biotechnol &amp; Biomol Sci, Dept Biochem, Serdang 43400, Selangor, Malaysia</t>
  </si>
  <si>
    <t>Universiti Putra Malaysia; Universiti Malaya; Universiti Putra Malaysia; UK Research &amp; Innovation (UKRI); Natural Environment Research Council (NERC); NERC British Antarctic Survey; Northumbria University; Universiti Putra Malaysia</t>
  </si>
  <si>
    <t>lt.salwoom@gmail.com; rnzaliha@upm.edu.my; abubakar@upm.edu.my; fairolniza@upm.edu.my; pcon@bas.ac.uk; david.pearce@northumbria.ac.uk; mshukuri@upm.edu.my</t>
  </si>
  <si>
    <t>Shariff, Fairolniza Mohd/AAL-2880-2020; Shariff, Fairolniza Mohd/IYJ-2362-2023; ALI, MOHD/IUM-6916-2023; Salwoom, Leelatulasi/AAY-3883-2021; Convey, Peter/AAV-5728-2020; Ali, Mohd Shukuri Mohamad/AAG-5453-2021</t>
  </si>
  <si>
    <t>Salwoom, Leelatulasi/0000-0002-1506-9129; Convey, Peter/0000-0001-8497-9903; Ali, Mohd Shukuri Mohamad/0000-0003-2751-9649; Mohd Shariff, Fairolniza/0000-0001-7586-4784; Pearce, David/0000-0001-5292-4596; Raja Abd. Rahman, Raja Noor Zaliha/0000-0002-6316-6177</t>
  </si>
  <si>
    <t>Sultan Mizan Antarctic Research Fellowship Grant (YPASM); University Putra Malaysia [GP-IPS/2015/9471200]; NERC [bas0100036] Funding Source: UKRI</t>
  </si>
  <si>
    <t>Sultan Mizan Antarctic Research Fellowship Grant (YPASM); University Putra Malaysia; NERC(UK Research &amp; Innovation (UKRI)Natural Environment Research Council (NERC))</t>
  </si>
  <si>
    <t>This research was funded by Sultan Mizan Antarctic Research Fellowship Grant (YPASM) and University Putra Malaysia research grant (GP-IPS/2015/9471200).</t>
  </si>
  <si>
    <t>FEB 2</t>
  </si>
  <si>
    <t>10.3390/molecules24040715</t>
  </si>
  <si>
    <t>HO3FS</t>
  </si>
  <si>
    <t>WOS:000460805900061</t>
  </si>
  <si>
    <t>Zhai, YL; Shao, ZZ; Cai, MM; Zheng, LY; Li, GY; Yu, ZN; Zhang, JB</t>
  </si>
  <si>
    <t>Zhai, Yile; Shao, Zongze; Cai, Minmin; Zheng, Longyu; Li, Guangyu; Yu, Ziniu; Zhang, Jibin</t>
  </si>
  <si>
    <t>Cyclo(l-Pro-l-Leu) of Pseudomonas putida MCCC 1A00316 Isolated from Antarctic Soil: Identification and Characterization of Activity against Meloidogyne incognita</t>
  </si>
  <si>
    <t>Pseudomonas putida MCCC 1A00316; Meloidogyne incognita; cyclo(l-Pro-l-Leu); nematicidal activity</t>
  </si>
  <si>
    <t>ROOT-KNOT NEMATODE; BIOLOGICAL-CONTROL; GROWTH; AGENTS; FUNGUS</t>
  </si>
  <si>
    <t>Pseudomonas putida MCCC 1A00316 was originally isolated from an Antarctic soil and has demonstrated potential nematicidal activity. Thus, it has promising applications for the biological control of Meloidogyne incognita. The larval mortality and egg-hatching inhibition rates of M. incognita will increase with the rising concentration of culture filtrates of P. putida MCCC 1A00316 and the duration of exposure. Thus, this study aimed to separate, purify, and identify nematicidal compounds from P. putida MCCC 1A00316 and to validate their anti-M. incognita activities. Compounds were purified through silica gel column chromatography and thin-layer chromatography combined with high-performance liquid chromatography (HPLC). Structural identification was conducted through liquid chromatography time-of-flight mass spectrometry, H-1 nuclear magnetic resonance (NMR) spectroscopy, C-13-NMR, and Marfey's method. The isolated compounds were identified as cyclo(l-Pro-l-Leu) on the basis of the results of the above analyses and previously reported data. The effects of various concentrations of cyclo(l-Pro-l-Leu) on the mortality rates of second-stage juveniles (J2) of M. incognita were investigated. Results showed that HPLC-purified cyclo(l-Pro-l-Leu) displayed nematicidal activities. The mortality rate of M. incognita J2 reached 84.3% after 72 h of exposure to 67.5 mg/L cyclo(l-Pro-l-Leu). The lowest egg-hatching rate (9.74%) was observed after 8 days of incubation with 2000 mg/L cyclo(l-Pro-l-Leu). An egg-hatching rate of 53.11% was obtained under the control treatment (sterile distilled water). However, cyclo(l-Pro-l-Leu) did not elicit chemotaxis activity to M. incognita. This is the first work to investigate the anti-M. incognita characteristics of cyclo(l-Pro-l-Leu).</t>
  </si>
  <si>
    <t>[Zhai, Yile; Cai, Minmin; Zheng, Longyu; Yu, Ziniu; Zhang, Jibin] Huazhong Agr Univ, State Key Lab Agr Microbiol, Coll Life Sci &amp; Technol, Wuhan 430070, Hubei, Peoples R China; [Zhai, Yile; Cai, Minmin; Zheng, Longyu; Yu, Ziniu; Zhang, Jibin] Huazhong Agr Univ, Natl Engn Res Ctr Microbe Pesticides, Coll Life Sci &amp; Technol, Wuhan 430070, Hubei, Peoples R China; [Shao, Zongze; Li, Guangyu] State Ocean Adm, Inst Oceanog 3, Key Lab Marine Biogenet Resources, Xiamen 361005, Peoples R China</t>
  </si>
  <si>
    <t>Huazhong Agricultural University; Huazhong Agricultural University; Third Institute of Oceanography, Ministry of Natural Resources</t>
  </si>
  <si>
    <t>Zhang, JB (corresponding author), Huazhong Agr Univ, State Key Lab Agr Microbiol, Coll Life Sci &amp; Technol, Wuhan 430070, Hubei, Peoples R China.;Zhang, JB (corresponding author), Huazhong Agr Univ, Natl Engn Res Ctr Microbe Pesticides, Coll Life Sci &amp; Technol, Wuhan 430070, Hubei, Peoples R China.</t>
  </si>
  <si>
    <t>zhaiyile1991@163.com; shaozz@163.com; cmm114@mail.hzau.edu.cn; ly.zheng@mail.hzau.edu.cn; mccc_ligy@163.com; yz41@mail.hzau.edu.cn; zhangjb05@163.com</t>
  </si>
  <si>
    <t>Zheng, Longyu/A-9219-2017</t>
  </si>
  <si>
    <t>Major Projects of Technological Innovation in Hubei Province, China [2017ABA072, 2662016PY110]; Fundamental Research Funds for the Central Universities</t>
  </si>
  <si>
    <t>Major Projects of Technological Innovation in Hubei Province, China; Fundamental Research Funds for the Central Universities(Fundamental Research Funds for the Central Universities)</t>
  </si>
  <si>
    <t>This work was supported by the Major Projects of Technological Innovation in Hubei Province, China (2017ABA072), project (2662016PY110) from the Fundamental Research Funds for the Central Universities.</t>
  </si>
  <si>
    <t>10.3390/molecules24040768</t>
  </si>
  <si>
    <t>WOS:000460805900114</t>
  </si>
  <si>
    <t>Han, H; Lee, S; Kim, JI; Kim, SH; Kim, HC</t>
  </si>
  <si>
    <t>Han, Hyangsun; Lee, Sungjae; Kim, Jae-In; Kim, Seung Hee; Kim, Hyun-cheol</t>
  </si>
  <si>
    <t>Changes in a Giant Iceberg Created from the Collapse of the Larsen C Ice Shelf, Antarctic Peninsula, Derived from Sentinel-1 and CryoSat-2 Data</t>
  </si>
  <si>
    <t>iceberg A68A; Larsen C Ice Shelf; Antarctic Peninsula; Sentinel-1; CryoSat-2; MERRA-2</t>
  </si>
  <si>
    <t>ROSS SEA; MASS-BALANCE; TRACKING; SIZE; GREENLAND; THICKNESS; EVENTS; TONGUE; IMPACT</t>
  </si>
  <si>
    <t>The giant tabular iceberg A68 broke away from the Larsen C Ice Shelf, Antarctic Peninsula, in July 2017. The evolution of A68 would have been affected by both the Larsen C Ice Shelf, the surrounding sea ice, and the nearby shallow seafloor. In this study, we analyze the initial evolution of iceberg A68Athe largest originating from A68in terms of changes in its area, drift speed, rotation, and freeboard using Sentinel-1 synthetic aperture radar (SAR) images and CryoSat-2 SAR/Interferometric Radar Altimeter observations. The area of iceberg A68A sharply decreased in mid-August 2017 and mid-May 2018 via large calving events. In September 2018, its surface area increased, possibly due to its longitudinal stretching by melting of surrounding sea ice. The decrease in the area of A68A was only 2% over 1.5 years. A68A was relatively stationary until mid-July 2018, while it was surrounded by the Larsen C Ice Shelf front and a high concentration of sea ice, and when its movement was interrupted by the shallow seabed. The iceberg passed through a bay-shaped region in front of the Larsen C Ice Shelf after July 2018, showing a nearly circular motion with higher speed and greater rotation. Drift was mainly inherited from its rotation, because it was still located near the Bawden Ice Rise and could not pass through by the shallow seabed. The freeboard of iceberg A68A decreased at an average rate of -0.80 +/- 0.29 m/year during February-November 2018, which could have been due to basal melting by warm seawater in the Antarctic summer and increasing relative velocity of iceberg and ocean currents in the winter of that year. The freeboard of the iceberg measured using CryoSat-2 could represent the returned signal from the snow surface on the iceberg. Based on this, the average rate of thickness change was estimated at -12.89 +/- 3.34 m/year during the study period considering an average rate of snow accumulation of 0.82 +/- 0.06 m/year predicted by reanalysis data from the Modern-Era Retrospective analysis for Research and Applications, version 2 (MERRA-2). The results of this study reveal the initial evolution mechanism of iceberg A68A, which cannot yet drift freely due to the surrounding terrain and sea ice.</t>
  </si>
  <si>
    <t>[Han, Hyangsun; Lee, Sungjae; Kim, Jae-In; Kim, Seung Hee; Kim, Hyun-cheol] Korea Polar Res Inst KOPRI, Unit Arctic Sea Ice Predict, Incheon 21990, South Korea</t>
  </si>
  <si>
    <t>Korea Polar Research Institute (KOPRI)</t>
  </si>
  <si>
    <t>Han, H (corresponding author), Korea Polar Res Inst KOPRI, Unit Arctic Sea Ice Predict, Incheon 21990, South Korea.</t>
  </si>
  <si>
    <t>hyangsun@kopri.re.kr; sungjae@kopri.re.kr; jikim0312@kopri.re.kr; seunghee@kopri.re.kr; kimhc@kopri.re.kr</t>
  </si>
  <si>
    <t>Kim, Jae-In/AAV-5344-2020; Lee, Sungjae/AAC-9537-2020; Kim, Hyun-Cheol/AAP-1250-2020; Han, Hyangsun/AAE-7670-2022</t>
  </si>
  <si>
    <t>Kim, Jae-In/0000-0003-0813-8808; Kim, Hyun-Cheol/0000-0002-6831-9291; Han, Hyangsun/0000-0002-0414-519X; lee, sungjae/0000-0003-0926-2755; Kim, Seung Hee/0000-0002-6434-5388</t>
  </si>
  <si>
    <t>Korea Polar Research Institute (KOPRI) [PE18250, PE19120]</t>
  </si>
  <si>
    <t>This research was funded by the Korea Polar Research Institute (KOPRI), grant number PE18250 and PE19120.</t>
  </si>
  <si>
    <t>10.3390/rs11040404</t>
  </si>
  <si>
    <t>HO2SL</t>
  </si>
  <si>
    <t>WOS:000460766100034</t>
  </si>
  <si>
    <t>Li, WH; Li, F; Zhang, SK; Lei, JT; Zhang, QC; Yuan, LX</t>
  </si>
  <si>
    <t>Li, Wenhao; Li, Fei; Zhang, Shengkai; Lei, Jintao; Zhang, Qingchuan; Yuan, Lexian</t>
  </si>
  <si>
    <t>Spatiotemporal Filtering and Noise Analysis for Regional GNSS Network in Antarctica Using Independent Component Analysis</t>
  </si>
  <si>
    <t>GPS; ICA; common mode error; Antarctica; noise model</t>
  </si>
  <si>
    <t>COORDINATE TIME-SERIES; BEDROCK-UPLIFT; ERROR ANALYSIS; GPS STATION; DEFORMATION; PENINSULA; PATTERNS</t>
  </si>
  <si>
    <t>The common mode error (CME) and optimal noise model are the two most important factors affecting the accuracy of time series in regional Global Navigation Satellite System (GNSS) networks. Removing the CME and selecting the optimal noise model can effectively improve the accuracy of GNSS coordinate time series. The CME, a major source of error, is related to the spatiotemporal distribution; hence, its detrimental effects on time series can be effectively reduced through spatial filtering. Independent component analysis (ICA) is used to filter the time series recorded by 79 GPS stations in Antarctica from 2010 to 2018. After removing stations exhibiting strong local effects using their spatial responses, the filtering results of residual time series derived from principal component analysis (PCA) and ICA are compared and analyzed. The Akaike information criterion (AIC) is then used to determine the optimal noise model of the GPS time series before and after ICA/PCA filtering. The results show that ICA is superior to PCA regarding both the filter results and the consistency of the optimal noise model. In terms of the filtering results, ICA can extract multisource error signals. After ICA filtering, the root mean square (RMS) values of the residual time series are reduced by 14.45%, 8.97%, and 13.27% in the east (E), north (N), and vertical (U) components, respectively, and the associated speed uncertainties are reduced by 13.50%, 8.06% and 11.82%, respectively. Furthermore, different GNSS time series in Antarctica have different optimal noise models with different noise characteristics in different components. The main noise models are the white noise plus flicker noise (WN+FN) and white noise plus power law noise (WN+PN) models. Additionally, the spectrum index of most PN is close to that of FN. Finally, there are more stations with consistent optimal noise models after ICA filtering than there are after PCA filtering.</t>
  </si>
  <si>
    <t>[Li, Wenhao; Li, Fei; Zhang, Shengkai; Lei, Jintao; Zhang, Qingchuan; Yuan, Lexian] Wuhan Univ, Chinese Antarctic Ctr Surveying &amp; Mapping, Wuhan 430079, Hubei, Peoples R China; [Li, Fei] Wuhan Univ, State Key Lab Informat Engn Surveying Mapping &amp; R, Wuhan 430079, Hubei, Peoples R China</t>
  </si>
  <si>
    <t>Zhang, SK (corresponding author), Wuhan Univ, Chinese Antarctic Ctr Surveying &amp; Mapping, Wuhan 430079, Hubei, Peoples R China.</t>
  </si>
  <si>
    <t>wh_li@whu.edu.cn; fli@whu.edu.cn; zskai@whu.edu.cn; jintao.lei@whu.edu.cn; zqc1945@126.com; yuanlexian@whu.edu.cn</t>
  </si>
  <si>
    <t>LEI, Jintao/HHZ-6471-2022</t>
  </si>
  <si>
    <t>Lei, Jintao/0000-0002-4497-5868; Zhang, Shengkai/0000-0001-7436-2504</t>
  </si>
  <si>
    <t>National Key Research and Development Program of China [2017YFA0603104]; State Key Program of National Natural Science Foundation of China [41531069]; Independent Scientific Research Program for Cross-disciplinary of Wuhan University [2042017kf0209]</t>
  </si>
  <si>
    <t>National Key Research and Development Program of China; State Key Program of National Natural Science Foundation of China(National Natural Science Foundation of China (NSFC)); Independent Scientific Research Program for Cross-disciplinary of Wuhan University</t>
  </si>
  <si>
    <t>This research was supported by the National Key Research and Development Program of China (2017YFA0603104), the State Key Program of National Natural Science Foundation of China under Grant (41531069), and Independent Scientific Research Program for Cross-disciplinary of Wuhan University (2042017kf0209).</t>
  </si>
  <si>
    <t>10.3390/rs11040386</t>
  </si>
  <si>
    <t>WOS:000460766100016</t>
  </si>
  <si>
    <t>Li, CJ; Re, JW; Xiao, CD; Ding, MH; Xie, AH; Du, ZH; Ma, XY; Qin, DH</t>
  </si>
  <si>
    <t>Li, ChuanJin; Re, JiaWen; Xiao, CunDe; Ding, MingHu; Xie, AiHong; Du, ZhiHeng; Ma, XiangYu; Qin, DaHe</t>
  </si>
  <si>
    <t>Accumulation and geochemical evidence for the Little Ice Age episode in eastern Antarctica</t>
  </si>
  <si>
    <t>SCIENCES IN COLD AND ARID REGIONS</t>
  </si>
  <si>
    <t>accumulation rates; sea salt; chemical compounds; Little Ice Age; eastern Antarctica</t>
  </si>
  <si>
    <t>SPATIAL VARIABILITY; TRAVERSE ROUTE; SNOW PITS; DOME-C; DUST; DEPOSITION; CLIMATE; VOSTOK; CORES</t>
  </si>
  <si>
    <t>Data on accumulation and concentration of chemical compounds recorded in an essentially unexplored area (Dome Argus ) of the Indian Ocean sector of eastern Antarctica during the past 2,680 years (680 B.C. to 1999 A.D.) are presented. During the first 1,700 years (680 B.C. to 1000 A.D.), the accumulation data shows a slightly decreasing trend, while chemical ions appear to be stable, representing a stable climatic condition. An intensive increasing trend of the accumulation occurred during the 12th to 14th century. The period from 15th to 19th century was characterized by a rapid reducing accumulation and concentrations of volatile compounds suffering post-depositional loss linked to sparse precipitation amount, which was temporally consistent with the Little Ice Age (LIA) episode. Comparison between observed accumulation rates with other eastern Antarctic ice cores show a consistent decreasing trend during LIA, while sea salt and dust-originated ions increased due to sea ice extent and intensified atmospheric transportation. Distribution of volcanic originated sulfate over the Antarctic continent show a significant change during the 15th century, coincident with the onset of the LIA. These results are important for the assessment of Antarctic continent mass balance and associated interpretation of the Dome A deep ice core records.</t>
  </si>
  <si>
    <t>[Li, ChuanJin; Re, JiaWen; Xiao, CunDe; Ding, MingHu; Xie, AiHong; Du, ZhiHeng; Ma, XiangYu; Qin, DaHe] Chinese Acad Sci, Northwest Inst Ecoenvironm &amp; Resources, State Key Lab Cryospher Sci, Lanzhou 730000, Gansu, Peoples R China; [Xiao, CunDe] Beijing Normal Univ, State Key Lab Earth Surface Proc &amp; Resource Ecol, Beijing 100875, Peoples R China; [Ding, MingHu] Chinese Acad Meteorol Sci, Inst Climate Syst Polar Meteorol, Beijing 100081, Peoples R China</t>
  </si>
  <si>
    <t>Chinese Academy of Sciences; Beijing Normal University; China Meteorological Administration; Chinese Academy of Meteorological Sciences (CAMS)</t>
  </si>
  <si>
    <t>Li, CJ (corresponding author), Chinese Acad Sci, Northwest Inst Ecoenvironm &amp; Resources, State Key Lab Cryospher Sci, Lanzhou 730000, Gansu, Peoples R China.</t>
  </si>
  <si>
    <t>lichuanjin@lzb.ac.cn</t>
  </si>
  <si>
    <t>Ding, Minghu/AFU-3600-2022</t>
  </si>
  <si>
    <t>Ding, Minghu/0000-0002-1142-6598</t>
  </si>
  <si>
    <t>National Natural Science Foundation of China [41671063, 41425003, 41476164, 41671073, 41721091]; State Oceanic Administration; Youth Innovation Promotion Association; State Key Laboratory of the Cryospheric Science; NIEER</t>
  </si>
  <si>
    <t>National Natural Science Foundation of China(National Natural Science Foundation of China (NSFC)); State Oceanic Administration; Youth Innovation Promotion Association; State Key Laboratory of the Cryospheric Science; NIEER</t>
  </si>
  <si>
    <t>We thank all the members of the fifteenth and twenty first CHINARE for their help in sampling the snow pit and extracting the ice cores. Special thanks to the anonymous reviewers, their comments are important for improving the quality of this manuscript. We thank XiaoXiang Wang and XiaoQing Cui for their excellent analysis work. This study is financially supported by the National Natural Science Foundation of China (41671063, 41425003, 41476164, 41671073, and 41721091). Supporting funds also include that from the State Oceanic Administration, the Youth Innovation Promotion Association, NIEER, and the State Key Laboratory of the Cryospheric Science.</t>
  </si>
  <si>
    <t>EPHRATA</t>
  </si>
  <si>
    <t>300 WEST CHESNUT ST, EPHRATA, PA 17522 USA</t>
  </si>
  <si>
    <t>1674-3822</t>
  </si>
  <si>
    <t>SCI COLD ARID REG</t>
  </si>
  <si>
    <t>Sci. Cold Arid Reg.</t>
  </si>
  <si>
    <t>FEB</t>
  </si>
  <si>
    <t>10.3724/SP.J.1226.2019.00050</t>
  </si>
  <si>
    <t>Geography, Physical</t>
  </si>
  <si>
    <t>Physical Geography</t>
  </si>
  <si>
    <t>HV7QR</t>
  </si>
  <si>
    <t>WOS:000466176100005</t>
  </si>
  <si>
    <t>Lederman, W</t>
  </si>
  <si>
    <t>Lederman, Walter</t>
  </si>
  <si>
    <t>Real time history of 21st century bacteria: giants and martians</t>
  </si>
  <si>
    <t>REVISTA CHILENA DE INFECTOLOGIA</t>
  </si>
  <si>
    <t>Spanish</t>
  </si>
  <si>
    <t>Giant bacteria; mars bacteria; adventure investigation</t>
  </si>
  <si>
    <t>SULFUR BACTERIUM; THIOPLOCA; GUT</t>
  </si>
  <si>
    <t>We denominate 21st century bacteria two types of strange and amazing creatures from the kingdom Protista, discovered between the last years of the twentieth and the present days: the giant bacteria and those with a possible Martian origin. Searching for them, bold investigators have travelled to distant and hostile lands, desolate places and deep waters, performing a kind of investigation that we only can describe as investigation-adventure. This paper presents expeditions to the Red Sea, fishing the Epulopiscium; to Lake Mono, searching a bacteria able to growth with arsenic; to the Antarctic Circle, finding a meteorite with petrified alien microorganisms; and. to the quiet laboratory, a not less dangerous place.</t>
  </si>
  <si>
    <t>[Lederman, Walter] Ctr Estudios Humanistas Julio Prado, Santiago, Chile</t>
  </si>
  <si>
    <t>Lederman, W (corresponding author), Ctr Estudios Humanistas Julio Prado, Santiago, Chile.</t>
  </si>
  <si>
    <t>oncemayor@gmail.com</t>
  </si>
  <si>
    <t>SOC CHILENA INFECTOLOGIA</t>
  </si>
  <si>
    <t>PROVIDENCIA</t>
  </si>
  <si>
    <t>BERNARDA MORIN 488, 2 PISO, PROVIDENCIA, SANTIAGO 00000, CHILE</t>
  </si>
  <si>
    <t>0716-1018</t>
  </si>
  <si>
    <t>0717-6341</t>
  </si>
  <si>
    <t>REV CHIL INFECTOL</t>
  </si>
  <si>
    <t>Rev. Chil. Infectol.</t>
  </si>
  <si>
    <t>Infectious Diseases</t>
  </si>
  <si>
    <t>HU8BL</t>
  </si>
  <si>
    <t>WOS:000465507200011</t>
  </si>
  <si>
    <t>Korneva, IA; Rybak, OO; Volodin, EM</t>
  </si>
  <si>
    <t>Korneva, I. A.; Rybak, O. O.; Volodin, E. M.</t>
  </si>
  <si>
    <t>Applying the Energy- and Water Balance Model for Incorporation of the Cryospheric Component into a Climate Model. Part III. Modeling Mass Balance on the Surface of the Antarctic Ice Sheet</t>
  </si>
  <si>
    <t>Antarctica; climate; surface mass balance; Antarctic ice sheet; mathematical model; Earth system model</t>
  </si>
  <si>
    <t>TEMPERATURE</t>
  </si>
  <si>
    <t>The Earth system models have been actively developed during recent decades. They integrate the blocks describing the dynamics of the atmosphere, the ocean and the cryosphere. The Antarctic ice sheet (AIS) is one of the most important components of the Earth's cryosphere. Therefore, the incorporation of the AIS model into the Earth system model will significantly improve the accuracy of reconstructions of climate parameters for paleoclimate studies and for climate predictions. This paper presents a description of the energy balance block of the AIS model. This is a continuation of our recent work on integration of the cryosphere block to the climate model. The testing of the block (the EWBM-A buffer model) was carried out using the climate data generated by the INMCM model developed in the Institute of Numerical Mathematics of RAS. The results of the calculations of the surface mass balance components of the Antarctic ice sheet are presented for the 30-year pre-industrial period and are compared with the recent results obtained in the literature.</t>
  </si>
  <si>
    <t>[Korneva, I. A.; Rybak, O. O.; Volodin, E. M.] Russian Acad Sci, Marchyk Inst Numer Math, Ul Gubkina 8, Moscow 119333, Russia; [Korneva, I. A.] Izrael Inst Global Climate &amp; Ecol, Glebovskaya 20b, Moscow 107258, Russia; [Rybak, O. O.] Russian Acad Sci, Sochi Res Ctr, Ul Theatralnaya 8a, Soci 354000, Russia</t>
  </si>
  <si>
    <t>Russian Academy of Sciences; Russian Academy of Sciences; Sochi Research Center, RAS</t>
  </si>
  <si>
    <t>Korneva, IA (corresponding author), Russian Acad Sci, Marchyk Inst Numer Math, Ul Gubkina 8, Moscow 119333, Russia.;Korneva, IA (corresponding author), Izrael Inst Global Climate &amp; Ecol, Glebovskaya 20b, Moscow 107258, Russia.</t>
  </si>
  <si>
    <t>comissa@mail.ru</t>
  </si>
  <si>
    <t>Rybak, Oleg/AAQ-8467-2020; \\volodin, Evgeny/F-9571-2013; Korneva, Irina/J-2245-2018</t>
  </si>
  <si>
    <t>Rybak, Oleg/0000-0002-7234-0544; Korneva, Irina/0000-0002-6453-8315</t>
  </si>
  <si>
    <t>Russian Science Foundation [14-27-00126]; Russian Science Foundation [14-27-00126] Funding Source: Russian Science Foundation</t>
  </si>
  <si>
    <t>The research was carried out in the Institute of Numerical Mathematics of Russian Academy of Sciences and was supported by the Russian Science Foundation (Project No. 14-27-00126 Study of the Earth Climate with the Next Generation Earth System Model).</t>
  </si>
  <si>
    <t>10.3103/S1068373919020018</t>
  </si>
  <si>
    <t>HU5OL</t>
  </si>
  <si>
    <t>WOS:000465328000001</t>
  </si>
  <si>
    <t>Ivanova, NS; Kruchenitskii, GM; Kuznetsova, IN; Lapchenko, VA; Statnikov, KA</t>
  </si>
  <si>
    <t>Ivanova, N. S.; Kruchenitskii, G. M.; Kuznetsova, I. N.; Lapchenko, V. A.; Statnikov, K. A.</t>
  </si>
  <si>
    <t>Ozone Content over the Russian Federation in 2018</t>
  </si>
  <si>
    <t>Total ozone monitoring in the CIS and Baltic countries; total ozone anomaly in the fourth quarter of 2018 and for the whole year; spring Antarctic ozone anomaly; surface ozone values</t>
  </si>
  <si>
    <t>The review is compiled on the basis of the results of the operation of the total ozone (TO) monitoring in the CIS and Baltic countries functioning in the operational mode at the Central Aerological Observatory (CAO). The monitoring system uses data from the national network equipped with M-124 filter ozonometers being under the methodological supervision of the Main Geophysical Observatory. The quality of the entire system functioning is operationally controlled in CAO based on the OMI satellite equipment observations (NASA, USA). Basic TO observation data are generalized for each month of the fourth quarter of 2018, for the fourth quarter, and for the whole year. Data of routine observations of surface ozone values in the Moscow region, Crimea, and on the Kola Peninsula are also considered.</t>
  </si>
  <si>
    <t>[Ivanova, N. S.; Kruchenitskii, G. M.] Cent Aerol Observ, Ul Pervomaiskaya 3, Dolgoprudnyi 141700, Moscow Oblast, Russia; [Kuznetsova, I. N.] Hydrometeorol Res Ctr Russian Federat, Bolshoi Predtechenskii Per 11-13, Moscow 123242, Russia; [Lapchenko, V. A.] Russian Acad Sci, Vyazemskii Kara Dag Sci Stn Nat Reserve, Ul Nauki 24, Feodosiya 298188, Republic Of Cri, Russia; [Statnikov, K. A.] Moscow Inst Phys &amp; Technol, Inst Skii Per 9, Dolgoprudnyi 141700, Moscow Oblast, Russia</t>
  </si>
  <si>
    <t>Russian Academy of Sciences; Moscow Institute of Physics &amp; Technology</t>
  </si>
  <si>
    <t>Ivanova, NS (corresponding author), Cent Aerol Observ, Ul Pervomaiskaya 3, Dolgoprudnyi 141700, Moscow Oblast, Russia.</t>
  </si>
  <si>
    <t>oom@cao-rhms.ru</t>
  </si>
  <si>
    <t>Russian Foundation for Basic Research [16-05-00901a]</t>
  </si>
  <si>
    <t>The work on the present review was partly supported by the Russian Foundation for Basic Research (grant 16-05-00901a).</t>
  </si>
  <si>
    <t>10.3103/S1068373919020092</t>
  </si>
  <si>
    <t>WOS:000465328000009</t>
  </si>
  <si>
    <t>Tamm, M; Ligi, M; Panksep, K; Teeveer, K; Freiberg, R; Laas, P; Paavel, B; Kutser, T; Reinart, A; Tonno, I; Noges, T</t>
  </si>
  <si>
    <t>Tamm, Marju; Ligi, Martin; Panksep, Kristel; Teeveer, Karolin; Freiberg, Rene; Laas, Peeter; Paavel, Birgot; Kutser, Tiit; Reinart, Anu; Tonno, Ilmar; Noges, Tiina</t>
  </si>
  <si>
    <t>Boosting the monitoring of phytoplankton in optically complex coastal waters by combining pigment-based chemotaxonomy and in situ radiometry</t>
  </si>
  <si>
    <t>ECOLOGICAL INDICATORS</t>
  </si>
  <si>
    <t>Reflectance; Marine optics; CHEMTAX; Baltic Sea; Quantitative PCR; Cyanobacteria</t>
  </si>
  <si>
    <t>REAL-TIME PCR; CYANOBACTERIAL BLOOMS; BALTIC SEA; NODULARIA-SPUMIGENA; CHLOROPHYLL-A; HPLC; ANABAENA; LIGHT; QUALITY; BIOMASS</t>
  </si>
  <si>
    <t>Research about the occurrence and extent of the cyanobacterial blooms in the Baltic Sea is critical due to their increased magnitude and frequency. Monitoring of the blooms is complicated due to their spatially and temporally heterogeneous nature. For adequate assessment of the water quality, phytoplankton dynamics needs to be tracked in large areas with high monitoring frequency. The main objectives of this study were (1) to describe phytoplankton community composition by pigment-based chemotaxonomy and validate the results with microscopy; (2) to improve the retrieval of information about phytoplankton community by combining remote sensing with laboratory based approaches (3) to develop a region-specific algorithm to calculate cyanobacterial blomass from reflectance spectra; (4) to detect and quantify potentially toxic bloom-forming cyanobacteria with molecular methods. In our study the reflectance-based chlorophyll a (Chl a) values overestimated the High-performance Liquid Chromatography (HPLC) values although the correlations with HPLC Chl a measurements were very strong (r(p) similar to 0.8, p &lt; 0.001). We found that 709 nm/620 nm reflectance ratio correlated strongly (r(p) = 0.75, p &lt; 0.01) to cyanobacteria wet biomass in CDOM-rich Vainameri even at low cyanobacterial biomass levels. Correlations between pigment-based chemotaxonomy and microscopy were significant in case of cyanobacteria (r(p) = 0.73, p &lt; 0.01), cryptophytes (r(p) = 0.71, p &lt; 0.05) and dinoflagellates (r(p) = 0.64, p &lt; 0.05).</t>
  </si>
  <si>
    <t>[Tamm, Marju; Panksep, Kristel; Freiberg, Rene; Tonno, Ilmar; Noges, Tiina] Estonian Univ Life Sci, Inst Agr &amp; Environm Sci, Hydrobiol &amp; Fishery, EE-51006 Tartu, Tartu County, Estonia; [Ligi, Martin; Reinart, Anu] Tartu Observ, EE-61602 Tartu, Tartu County, Estonia; [Teeveer, Karolin; Paavel, Birgot; Kutser, Tiit] Univ Tartu, Estonian Marine Inst, EE-12618 Tallinn, Estonia; [Laas, Peeter] Univ Florida, Ft Lauderdale Res &amp; Educ Ctr, Dept Microbiol &amp; Cell Sci, UF IFAS, Davie, FL 33314 USA</t>
  </si>
  <si>
    <t>Estonian University of Life Sciences; University of Tartu; Tartu Observatory; University of Tartu; Estonian Marine Institute; State University System of Florida; University of Florida</t>
  </si>
  <si>
    <t>Tamm, M (corresponding author), Estonian Univ Life Sci, Inst Agr &amp; Environm Sci, Hydrobiol &amp; Fishery, EE-51006 Tartu, Tartu County, Estonia.</t>
  </si>
  <si>
    <t>marju.tamm@emu.ee</t>
  </si>
  <si>
    <t>Panksep, Kristel/AAC-8130-2019; Panksep, Kristel/H-3360-2016; Panksep, Kristel/G-1677-2017; Kutser, Tiit/H-1304-2015; Noges, Tiina/AAL-5373-2020; Tõnno, Ilmar/G-5043-2016; Ligi, Martin/HNI-2517-2023; Laas, Peeter/O-1466-2019; Ligi, Martin/AAP-1132-2020</t>
  </si>
  <si>
    <t>Panksep, Kristel/0000-0003-4743-6111; Panksep, Kristel/0000-0003-4743-6111; Kutser, Tiit/0000-0001-9679-1422; Noges, Tiina/0000-0002-4558-7373; Ligi, Martin/0000-0003-2442-5719; Ligi, Martin/0000-0003-2442-5719; Laas, Peeter/0000-0001-9393-9022; Tamm, Marju/0000-0003-1314-7450</t>
  </si>
  <si>
    <t>Estonian Ministry of Education and Research [IUT 21-02]; Estonian Science Foundation [ETF9102, ETF8576]; Estonian Research Council [PUTJD719]; Estonian University of Life Sciences [P180023PKKH]; Estonian Doctoral School of Earth Sciences and Ecology; CYANOCOST-COST [ES 1105]</t>
  </si>
  <si>
    <t>Estonian Ministry of Education and Research(Ministry of Education and Research, Estonia); Estonian Science Foundation; Estonian Research Council(Estonian Research Council); Estonian University of Life Sciences; Estonian Doctoral School of Earth Sciences and Ecology; CYANOCOST-COST</t>
  </si>
  <si>
    <t>This work was supported by Estonian Ministry of Education and Research (IUT 21-02), Estonian Science Foundation (ETF9102, ETF8576), Estonian Research Council (PUTJD719), base-financed project P180023PKKH of Estonian University of Life Sciences and by Estonian Doctoral School of Earth Sciences and Ecology. We thank Dr Teele Ligi (University of Tartu) for valuable help, Simon Wright and other developers of CHEMTAX program (Australian Antarctic Division, CSIRO). The authors acknowledge CYANOCOST-COST ES 1105 for networking and sharing knowledge.</t>
  </si>
  <si>
    <t>1470-160X</t>
  </si>
  <si>
    <t>1872-7034</t>
  </si>
  <si>
    <t>ECOL INDIC</t>
  </si>
  <si>
    <t>Ecol. Indic.</t>
  </si>
  <si>
    <t>10.1016/j.ecolind.2018.10.024</t>
  </si>
  <si>
    <t>Biodiversity Conservation; Environmental Sciences</t>
  </si>
  <si>
    <t>HT9LN</t>
  </si>
  <si>
    <t>WOS:000464891000034</t>
  </si>
  <si>
    <t>Bezcioglu, M; Yigit, CO; El-Mowafy, A</t>
  </si>
  <si>
    <t>Bezcioglu, Mert; Yigit, Cemal Ozer; El-Mowafy, Ahmed</t>
  </si>
  <si>
    <t>Kinematic PPP-AR in Antarctic Comparing Methods for Precise Positioning</t>
  </si>
  <si>
    <t>SEA TECHNOLOGY</t>
  </si>
  <si>
    <t>[Bezcioglu, Mert; Yigit, Cemal Ozer] Gebze Tech Univ, Geomat Engn Dept, Gebze, Turkey; [Yigit, Cemal Ozer] Curtin Univ, Perth, WA, Australia; [El-Mowafy, Ahmed] Curtin Univ, Sch Earth &amp; Planetary Sci, Perth, WA, Australia</t>
  </si>
  <si>
    <t>Gebze Technical University; Curtin University; Curtin University</t>
  </si>
  <si>
    <t>Bezcioglu, M (corresponding author), Gebze Tech Univ, Geomat Engn Dept, Gebze, Turkey.</t>
  </si>
  <si>
    <t>mbezcioglu@gtu.edu.tr</t>
  </si>
  <si>
    <t>Yigit, Cemal Ozer/E-6059-2016; Bezcioglu, Mert/AAH-9316-2019</t>
  </si>
  <si>
    <t>Yigit, Cemal Ozer/0000-0002-1942-7667; El-Mowafy, Ahmed/0000-0001-7060-4123; Bezcioglu, Mert/0000-0001-7179-8361</t>
  </si>
  <si>
    <t>Turkish Republic Presidency; Ministry of Science, Industry and Technology; Scientific and Technological Research Council of Turkey</t>
  </si>
  <si>
    <t>Turkish Republic Presidency; Ministry of Science, Industry and Technology; Scientific and Technological Research Council of Turkey(Turkiye Bilimsel ve Teknolojik Arastirma Kurumu (TUBITAK))</t>
  </si>
  <si>
    <t>This study was carried out under the auspices of the Turkish Republic Presidency, supported by the Ministry of Science, Industry and Technology, and coordinated by Istanbul Technical University Polar Research Center. The authors would like to thank Bulgarian Antarctic Base for its contribution and Natural Resources Canada for providing the CSRS-PPP service.; Dr. Cemal Ozer Yigit was awarded a grant by the Scientific and Technological Research Council of Turkey for post-doctoral research at Curtin University in Australia and would like to thank the council for its support.</t>
  </si>
  <si>
    <t>COMPASS PUBLICATIONS, INC</t>
  </si>
  <si>
    <t>ARLINGTON</t>
  </si>
  <si>
    <t>1501 WILSON BLVD., STE 1001, ARLINGTON, VA 22209-2403 USA</t>
  </si>
  <si>
    <t>0093-3651</t>
  </si>
  <si>
    <t>SEA TECHNOL</t>
  </si>
  <si>
    <t>Sea Technol.</t>
  </si>
  <si>
    <t>Engineering, Ocean</t>
  </si>
  <si>
    <t>Engineering</t>
  </si>
  <si>
    <t>HU3RT</t>
  </si>
  <si>
    <t>WOS:000465192200004</t>
  </si>
  <si>
    <t>Belcher, A; Saunders, RA; Tarling, GA</t>
  </si>
  <si>
    <t>Belcher, Anna; Saunders, Ryan A.; Tarling, Geraint A.</t>
  </si>
  <si>
    <t>Respiration rates and active carbon flux of mesopelagic fishes (Family Myctophidae) in the Scotia Sea, Southern Ocean</t>
  </si>
  <si>
    <t>Myctophid; Respiration; Lantern fish; Carbon; Active flux; Southern Ocean</t>
  </si>
  <si>
    <t>ZOOPLANKTON FECAL PELLETS; BODY-MASS; COMMUNITY STRUCTURE; OXYGEN-CONSUMPTION; FEEDING ECOLOGY; MIDWATER FISHES; METABOLIC-RATES; TRANSPORT; BIOMASS; EXPORT</t>
  </si>
  <si>
    <t>Mesopelagic fish have recently been highlighted as an important, but poorly studied component of marine ecosystems, particularly regarding their role in the marine pelagic food webs and biogeochemical cycles. Myctophids (Family Myctophidae) are one of the most biomass-dominant groups of mesopelagic fishes, and their large vertical migrations provide means of rapid transfer of carbon to the deep ocean where it can be sequestered for centuries or more. In this study, we develop a simple regression for the respiration rate of myctophid fish using literature-based wet mass and habitat temperature data. We apply this regression to net haul data collected across the Scotia-Weddell sector of the Southern Ocean to estimate respiration rates of the biomass-dominant myctophid species. Electrona carlsbergi, Electrona antarctica, and Gymnoscopelus braueri made a high contribution (up to 85 %) to total myctophid respiration. Despite the lower temperatures of the southern Scotia Sea (-1.46 to 0.95 degrees C), total respiration here was as high (reaching 1.1 mg C m(-2) d(-1) ) as in the warmer waters of the mid and northern Scotia Sea. The maximum respiratory carbon flux of the vertically migrating community was 0.05 to 0.28 mg C m(-2) d(-1), equivalent to up to 47 % of the gravitational particulate organic carbon flux in some parts of the Scotia-Weddell region. Our study provides the first baseline estimates of respiration rates and carbon flux of myctophids in the Southern Ocean. However, direct measurements of myctophid respiration, and of mesopelagic fish generally, are needed to constrain these estimates further and incorporate these fluxes into carbon budgets.</t>
  </si>
  <si>
    <t>[Belcher, Anna; Saunders, Ryan A.; Tarling, Geraint A.] British Antarctic Survey, Nat Environm Res Council, Cambridge CB3 0ET, England</t>
  </si>
  <si>
    <t>Belcher, A (corresponding author), British Antarctic Survey, Nat Environm Res Council, Cambridge CB3 0ET, England.</t>
  </si>
  <si>
    <t>BAS Ecosystems programme; NERC [NE/M020762/1]; NERC [NE/M020762/1, NE/R016038/1, NE/M020835/1, NE/M020835/2, bas0100035] Funding Source: UKRI</t>
  </si>
  <si>
    <t>BAS Ecosystems programme; NERC(UK Research &amp; Innovation (UKRI)Natural Environment Research Council (NERC)); NERC(UK Research &amp; Innovation (UKRI)Natural Environment Research Council (NERC))</t>
  </si>
  <si>
    <t>We thank all the officers, crew and scientists on the R.R.S. 'James Clark Ross' during cruises JR161, 177, and 200 for their hard work obtaining the Discovery 2010 data. In particular, we thank Pete Enderlein, Sophie Fielding, Gabrielle Stowasser, and Martin Collins for conducting net deployments. This work was supported by the BAS Ecosystems programme and the NERC funded Large Grant, COMICS (NE/M020762/1).</t>
  </si>
  <si>
    <t>FEB 1</t>
  </si>
  <si>
    <t>10.3354/meps12861</t>
  </si>
  <si>
    <t>HT4EF</t>
  </si>
  <si>
    <t>WOS:000464515700011</t>
  </si>
  <si>
    <t>Thakur, RC; Thamban, M</t>
  </si>
  <si>
    <t>Thakur, Roseline C.; Thamban, Meloth</t>
  </si>
  <si>
    <t>Influence of gaseous and particulate species on neutralization processes of polar aerosol and snow-A case study from Ny-Alesund</t>
  </si>
  <si>
    <t>JOURNAL OF ENVIRONMENTAL SCIENCES</t>
  </si>
  <si>
    <t>Particulate; Aerosol; Scavenging; Neutralization; Arctic</t>
  </si>
  <si>
    <t>REACTIVE NITROGEN-COMPOUNDS; BOUNDARY-LAYER AEROSOL; SOLID AMMONIUM-SULFATE; PEROXYACETYL NITRATE; CHEMICAL-COMPOSITION; MODELING CHEMISTRY; ARCTIC TROPOSPHERE; SEASONAL CYCLE; BLACK CARBON; NITRIC-ACID</t>
  </si>
  <si>
    <t>The inter-conversion of nitrogen and sulfur species between the gas and particulate phases and their interaction with alkaline species influences the acidity of the aerosols and surface snow. To better understand these processes, a short field campaign was undertaken in Ny-Alesund, Svalbard, during 13th April 2012 to 24th April 2012. Air measurements were carried out through a particulate sampler equipped with denuders and filter packs for simultaneous collection of trace gases (HNO3, NO2, SO2 and reactive nitrogen compounds) and aerosols, with daily collection of snow samples. Ionic composition of the samples was analyzed using ion chromatography technique. The results suggested that nitrate-rich aerosols are formed when PAN (peroxy acetyl nitrate) disassociates to form NO2 and HNO3 which further hydrolyzes to form pNO(3) (particulate nitrate). This resulted in a high contribution of pNO(3)(-) (62%) to the total nitrogen budget over the study area. The acidity of the aerosols and snow evaluated through cation/anion ratio (C/A) indicated alkaline conditions with C/A &gt; 2. The bicarbonates/carbonates of Mg2+ played an important role in neutralization processes of surface snow while the role of NH3 was dominant in aerosol neutralization processes. Such neutralization processes can increase the aerosol hygroscopicity causing warming. Chloride depletion in the snow was significant as compared to the aerosols, indicating two important processes, scavenging of coarse sea salt by the snow and gaseous adsorption of SO2 on the snow surface. However, a more systematic and long term study is required for a better understanding of the neutralization processes and chemical inter-conversions. (C) 2018 The Research Center for Eco-Environmental Sciences, Chinese Academy of Sciences. Published by Elsevier B.V.</t>
  </si>
  <si>
    <t>[Thakur, Roseline C.; Thamban, Meloth] Natl Ctr Antarctic &amp; Ocean Res, ESSO, Vasco Da Gama 403804, Goa, India; [Thakur, Roseline C.] Univ Helsinki, Inst Atmospher &amp; Earth Syst Res, FIN-00014 Helsinki, Finland</t>
  </si>
  <si>
    <t>Earth System Science Organization (ESSO); Ministry of Earth Sciences (MoES) - India; National Centre for Polar and Ocean Research (NCPOR); University of Helsinki</t>
  </si>
  <si>
    <t>Thakur, RC (corresponding author), Natl Ctr Antarctic &amp; Ocean Res, ESSO, Vasco Da Gama 403804, Goa, India.;Thakur, RC (corresponding author), Univ Helsinki, Inst Atmospher &amp; Earth Syst Res, FIN-00014 Helsinki, Finland.</t>
  </si>
  <si>
    <t>roseline.thakur@helsinki.fi</t>
  </si>
  <si>
    <t>Thakur, Roseline/AHC-1408-2022</t>
  </si>
  <si>
    <t>Thakur, Roseline/0000-0002-3238-4171; Thamban, Meloth/0000-0003-3379-8189</t>
  </si>
  <si>
    <t>Ministry of Earth Sciences, Government of India [MoES/P. O.(Seismo) 3(44)/2013]</t>
  </si>
  <si>
    <t>We thank the Director, National Centre for Antarctic and Ocean Research, Goa, for encouragement and the Ministry of Earth Sciences, Government of India for financial support on the project (MoES/P. O.(Seismo) 3(44)/2013). We are grateful Ashish Painginkar for the laboratory analytical support. The authors gratefully acknowledge the Institute for Atmospheric Science and Climate National Research Council of Italy (ISAC-CNR) for providing the meteorological data for the study period which forms an important part of this study. The authors also acknowledge the National Oceanic and Atmospheric Administration (NOAA) Air Resources Laboratory for the provision of the HYSPLIT for the back trajectory files. This is National Centre for Antarctic and Ocean Research (NCAOR) contribution No. 07/2018.</t>
  </si>
  <si>
    <t>1001-0742</t>
  </si>
  <si>
    <t>1878-7320</t>
  </si>
  <si>
    <t>J ENVIRON SCI</t>
  </si>
  <si>
    <t>J. Environ. Sci.</t>
  </si>
  <si>
    <t>10.1016/j.jes.2018.03.002</t>
  </si>
  <si>
    <t>HR7ZG</t>
  </si>
  <si>
    <t>WOS:000463373300002</t>
  </si>
  <si>
    <t>Liu, CC; Zhang, ZZ; Feng, YY; Gu, QQ; Li, DH; Zhu, TJ</t>
  </si>
  <si>
    <t>Liu, Cong-Cong; Zhang, Zhen-Zhen; Feng, Yan-Yan; Gu, Qian-Qun; Li, De-Hai; Zhu, Tian-Jiao</t>
  </si>
  <si>
    <t>Secondary metabolites from Antarctic marine-derived fungus Penicillium crustosum HDN153086</t>
  </si>
  <si>
    <t>NATURAL PRODUCT RESEARCH</t>
  </si>
  <si>
    <t>Secondary metabolites; Antarctic; marine-derived fungus; Penicillium crustosum; cytotoxicity</t>
  </si>
  <si>
    <t>AROMATIC POLYKETIDES; A-C; DIKETOPIPERAZINES</t>
  </si>
  <si>
    <t>A new polyene compound (1) and a new diketopiperazine (2), as well as three known compounds (3-5), were isolated from the Antarctic marine-derived fungus Penicillium crustosum HDN153086. The structures of 1-5 were deduced based on MS, NMR and TD-DFT calculations of specific ECD spectra. These compounds were evaluated for their cytotoxic activities against K562 cell line and only compound 2 exhibited cytotoxicity against K562 cell, with IC50 value of 12.7 mu M. [GRAPHICS] .</t>
  </si>
  <si>
    <t>[Liu, Cong-Cong; Zhang, Zhen-Zhen; Feng, Yan-Yan; Gu, Qian-Qun; Li, De-Hai; Zhu, Tian-Jiao] Ocean Univ China, Sch Med &amp; Pharm, Key Lab Marine Drugs, Chinese Minist Educ, Qingdao, Shandong, Peoples R China; [Li, De-Hai; Zhu, Tian-Jiao] Qingdao Natl Lab Marine Sci &amp; Technol, Lab Marine Drugs &amp; Bioprod, Qingdao, Shandong, Peoples R China</t>
  </si>
  <si>
    <t>Ocean University of China; Laoshan Laboratory</t>
  </si>
  <si>
    <t>Zhu, TJ (corresponding author), Ocean Univ China, Sch Med &amp; Pharm, Key Lab Marine Drugs, Chinese Minist Educ, Qingdao, Shandong, Peoples R China.;Zhu, TJ (corresponding author), Qingdao Natl Lab Marine Sci &amp; Technol, Lab Marine Drugs &amp; Bioprod, Qingdao, Shandong, Peoples R China.</t>
  </si>
  <si>
    <t>zhutj@ouc.edu.cn</t>
  </si>
  <si>
    <t>Li, Dehai/G-7656-2012</t>
  </si>
  <si>
    <t>Li, Dehai/0000-0002-7191-2002</t>
  </si>
  <si>
    <t>National Natural Science Foundation of China [41376147]; NSFC-Shandong Joint Fund for Marine Science Research Centers [U1606403]; Fund of Key Laboratory of Marine bioactive substances and Modern Analytical Technology, State Oceanic Administration [MBSMAT-2016-01]; Scientific and Technological Innovation Project - Qingdao National Laboratory for Marine Science and Technology [2015ASKJ02]; Shandong province key research and development program [2016GSF201204]</t>
  </si>
  <si>
    <t>National Natural Science Foundation of China(National Natural Science Foundation of China (NSFC)); NSFC-Shandong Joint Fund for Marine Science Research Centers; Fund of Key Laboratory of Marine bioactive substances and Modern Analytical Technology, State Oceanic Administration; Scientific and Technological Innovation Project - Qingdao National Laboratory for Marine Science and Technology; Shandong province key research and development program</t>
  </si>
  <si>
    <t>The work was financially supported by the National Natural Science Foundation of China [grant number 41376147] and NSFC-Shandong Joint Fund for Marine Science Research Centers [grant number U1606403], Fund of Key Laboratory of Marine bioactive substances and Modern Analytical Technology, State Oceanic Administration [grant number MBSMAT-2016-01], the Scientific and Technological Innovation Project Financially Supported by Qingdao National Laboratory for Marine Science and Technology [grant number 2015ASKJ02], Shandong province key research and development program [grant number 2016GSF201204].</t>
  </si>
  <si>
    <t>1478-6419</t>
  </si>
  <si>
    <t>1478-6427</t>
  </si>
  <si>
    <t>NAT PROD RES</t>
  </si>
  <si>
    <t>Nat. Prod. Res.</t>
  </si>
  <si>
    <t>10.1080/14786419.2018.1455045</t>
  </si>
  <si>
    <t>Chemistry, Applied; Chemistry, Medicinal</t>
  </si>
  <si>
    <t>Chemistry; Pharmacology &amp; Pharmacy</t>
  </si>
  <si>
    <t>HS4FW</t>
  </si>
  <si>
    <t>WOS:000463818400018</t>
  </si>
  <si>
    <t>Toxopeus, J; McKinnon, AH; Stetina, T; Turnbull, KF; Sinclair, BJ</t>
  </si>
  <si>
    <t>Toxopeus, Jantina; McKinnon, Alexander H.; Stetina, Tomas; Turnbull, Kurtis F.; Sinclair, Brent J.</t>
  </si>
  <si>
    <t>Laboratory acclimation to autumn-like conditions induces freeze tolerance in the spring field cricket Gryllus veletis (Orthoptera: Gryllidae)</t>
  </si>
  <si>
    <t>JOURNAL OF INSECT PHYSIOLOGY</t>
  </si>
  <si>
    <t>Freeze tolerance; Cold tolerance; Acclimation; Ice nucleation; Metabolic rate; Insect</t>
  </si>
  <si>
    <t>NEW-ZEALAND ALPINE; DISCONTINUOUS GAS-EXCHANGE; INSECT COLD TOLERANCE; ICE-ACTIVE PROTEINS; GALL FLY; ANTARCTIC-NEMATODE; LARVAE; COCKROACH; WETA; RECRYSTALLIZATION</t>
  </si>
  <si>
    <t>Many temperate insects encounter temperatures low enough to freeze their body fluids. Remarkably, some insects are freeze-tolerant, surviving this internal ice formation. However, the mechanisms underlying freeze tolerance are not well-understood, in part due to a lack of tractable model organisms. We describe a novel laboratory model to study insect freeze tolerance, the spring field cricket Gryllus veletis (Orthopera: Gryllidae). Following acclimation to six weeks of decreasing temperature and photoperiod, G. veletis become freeze-tolerant, similar to those exposed to natural autumn conditions in London, Ontario, Canada. Acclimated crickets suppress their metabolic rate by c. 33%, and survive freezing for up to one week at -8 degrees C, and to temperatures as low as -12 degrees C. Freeze-tolerant G. veletis protect fat body cells from freeze injury in vivo, and fat body tissue from freeze-tolerant cricket survives brief freeze treatments when frozen ex vivo. Freeze-tolerant crickets freeze at c. -6 degrees C, which may be initiated by accumulation of ice-nucleating agents in hemolymph or gut tissue. Although we hypothesize that control of ice formation facilitates freeze tolerance, initiating ice formation at high subzero temperatures does not confer freeze tolerance on freeze-intolerant nymphs. Acclimation increases hemolymph osmolality from c. 400 to c. 650 mOsm, which may facilitate freeze tolerance by reducing ice content. Hemolymph ion concentrations do not change with acclimation, and we therefore predict that freeze-tolerant G. veletis elevate hemolymph osmolality by accumulating other molecules. Gryllus veletis is easily reared and manipulated in a controlled laboratory environment, and is therefore a suitable candidate for further investigating the mechanisms underlying freeze tolerance.</t>
  </si>
  <si>
    <t>[Toxopeus, Jantina; McKinnon, Alexander H.; Turnbull, Kurtis F.; Sinclair, Brent J.] Univ Western Ontario, Dept Biol, 1151 Richmond St N, London, ON N6A 5B7, Canada; [Stetina, Tomas] Univ South Bohemia, Fac Sci, Branisovska 31, Ceske Budejovice 37005, Czech Republic; [McKinnon, Alexander H.] Univ Manitoba, Fac Med, 66 Chancellors Cir, Winnipeg, MB R3T 2N2, Canada</t>
  </si>
  <si>
    <t>Western University (University of Western Ontario); University of South Bohemia Ceske Budejovice; University of Manitoba</t>
  </si>
  <si>
    <t>Toxopeus, J (corresponding author), Univ Colorado, Dept Integrat Biol, 1151 Arapahoe St, Denver, CO 80204 USA.</t>
  </si>
  <si>
    <t>jantina.toxopeus@ucdenver.edu</t>
  </si>
  <si>
    <t>Sinclair, Brent J/C-6133-2012; Toxopeus, Jantina/AAU-4969-2020; Stetina, Tomas/AAB-5364-2021</t>
  </si>
  <si>
    <t>Toxopeus, Jantina/0000-0002-0761-801X; Stetina, Tomas/0000-0001-7289-5534</t>
  </si>
  <si>
    <t>Natural Sciences and Engineering Research Council of Canada (NSERC); NSERC Canada Graduate Scholarships; Ontario Graduate Scholarships; OGS</t>
  </si>
  <si>
    <t>Natural Sciences and Engineering Research Council of Canada (NSERC)(Natural Sciences and Engineering Research Council of Canada (NSERC)); NSERC Canada Graduate Scholarships(Natural Sciences and Engineering Research Council of Canada (NSERC)); Ontario Graduate Scholarships(Ontario Graduate Scholarship); OGS(Ontario Graduate Scholarship)</t>
  </si>
  <si>
    <t>This work was supported by a Discovery Grant from the Natural Sciences and Engineering Research Council of Canada (NSERC) to BJS, by NSERC Canada Graduate Scholarships and Ontario Graduate Scholarships (OGS) to JT and KFT, and by an OGS to AHM. These funding bodies played no role in study design; collection, analysis and interpretation of data; writing the manuscript; or in the decision to submit the article for publication.</t>
  </si>
  <si>
    <t>0022-1910</t>
  </si>
  <si>
    <t>1879-1611</t>
  </si>
  <si>
    <t>J INSECT PHYSIOL</t>
  </si>
  <si>
    <t>J. Insect Physiol.</t>
  </si>
  <si>
    <t>FEB-MAR</t>
  </si>
  <si>
    <t>10.1016/j.jinsphys.2018.12.007</t>
  </si>
  <si>
    <t>Entomology; Physiology; Zoology</t>
  </si>
  <si>
    <t>HR4MZ</t>
  </si>
  <si>
    <t>WOS:000463121900002</t>
  </si>
  <si>
    <t>Auvinet, J; Graça, P; Ghigliotti, L; Pisano, E; Dettaï, A; Ozouf-Costaz, C; Higuet, D</t>
  </si>
  <si>
    <t>Auvinet, Juliette; Graca, Paula; Ghigliotti, Laura; Pisano, Eva; Dettai, Agnes; Ozouf-Costaz, Catherine; Higuet, Dominique</t>
  </si>
  <si>
    <t>Insertion Hot Spots of DIRS1 Retrotransposon and Chromosomal Diversifications among the Antarctic Teleosts Nototheniidae</t>
  </si>
  <si>
    <t>Nototheniidae; chromosomal rearrangements; species radiation; retrotransposons; FISH; DIRS1; insertion hot spots</t>
  </si>
  <si>
    <t>TERRA-NOVA BAY; TRANSPOSABLE ELEMENTS; ADAPTIVE RADIATION; GENOME SIZE; CICHLID FISH; EVOLUTION; DIVERSITY; SEQUENCE; PERCIFORMES; REARRANGEMENTS</t>
  </si>
  <si>
    <t>By their faculty to transpose, transposable elements are known to play a key role in eukaryote genomes, impacting both their structuration and remodeling. Their integration in targeted sites may lead to recombination mechanisms involved in chromosomal rearrangements. The Antarctic fish family Nototheniidae went through several waves of species radiations. It is a suitable model to study transposable element (TE)-mediated mechanisms associated to genome and chromosomal diversifications. After the characterization of Gypsy (GyNoto), Copia (CoNoto), and DIRS1 (YNoto) retrotransposons in the genomes of Nototheniidae (diversity, distribution, conservation), we focused on their chromosome location with an emphasis on the three identified nototheniid radiations (the Trematomus, the plunderfishes, and the icefishes). The strong intrafamily TE conservation and wide distribution across species of the whole family suggest an ancestral acquisition with potential secondary losses in some lineages. GyNoto and CoNoto (including Hydra and GalEa clades) mostly produced interspersed signals along chromosomal arms. On the contrary, insertion hot spots accumulating in localized regions (mainly next to centromeric and pericentromeric regions) highlighted the potential role of YNoto in chromosomal diversifications as facilitator of the fusions which occurred in many nototheniid lineages, but not of the fissions.</t>
  </si>
  <si>
    <t>[Auvinet, Juliette; Graca, Paula; Ozouf-Costaz, Catherine; Higuet, Dominique] Univ Antilles, CNRS, Sorbonne Univ, Lab Evolut Paris Seine,IBPS, F-75005 Paris, France; [Ghigliotti, Laura; Pisano, Eva] Natl Res Council CNR, Ist Studio Impatti Antropici &amp; Sostenibilita Ambi, I-16149 Genoa, Italy; [Dettai, Agnes; Higuet, Dominique] Sorbonne Univ, CNRS, Museum Natl Hist Nat, Inst Systemat,Evolut,Biodiversite ISYEB,EPHE, 57 Rue Cuvier, F-75005 Paris, France</t>
  </si>
  <si>
    <t>Sorbonne Universite; Centre National de la Recherche Scientifique (CNRS); Consiglio Nazionale delle Ricerche (CNR); Istituto per lo Studio degli Impatti Antropici Sostenibilita in Ambiente Marino (IAS-CNR); Museum National d'Histoire Naturelle (MNHN); Universite PSL; Ecole Pratique des Hautes Etudes (EPHE); Sorbonne Universite; Centre National de la Recherche Scientifique (CNRS)</t>
  </si>
  <si>
    <t>Auvinet, J; Higuet, D (corresponding author), Univ Antilles, CNRS, Sorbonne Univ, Lab Evolut Paris Seine,IBPS, F-75005 Paris, France.;Higuet, D (corresponding author), Sorbonne Univ, CNRS, Museum Natl Hist Nat, Inst Systemat,Evolut,Biodiversite ISYEB,EPHE, 57 Rue Cuvier, F-75005 Paris, France.</t>
  </si>
  <si>
    <t>juliette.auvinet7138@gmail.com; paula.graca@sorbonne-universite.fr; laura.ghigliotti@cnr.it; eva.pisano@ge.ismar.cnr.it; adettai@mnhn.fr; catherine.ozouf@orange.fr; dominique.higuet@sorbonne-universite.fr</t>
  </si>
  <si>
    <t>Ghigliotti, Laura/AAN-6843-2021; Ghigliotti, Laura/J-3076-2012; Dettai, Agnes/Q-6743-2019; Auvinet, Juliette/AAC-9974-2019</t>
  </si>
  <si>
    <t>Ghigliotti, Laura/0000-0003-2139-1381; Auvinet, Juliette/0000-0001-5877-7355</t>
  </si>
  <si>
    <t>NSF (US National Science Foundation) [OPP 01-32032]; IPY [53]; PRNA for the Italian national expeditions in the Ross Sea [PLR-1444167]; France by the Sorbonne Universite (SU); CNRS (Centre National de la Recherche Scientifique); Museum National d'Histoire Naturelle (MNHN)</t>
  </si>
  <si>
    <t>NSF (US National Science Foundation)(National Science Foundation (NSF)); IPY; PRNA for the Italian national expeditions in the Ross Sea; France by the Sorbonne Universite (SU); CNRS (Centre National de la Recherche Scientifique)(Centre National de la Recherche Scientifique (CNRS)); Museum National d'Histoire Naturelle (MNHN)</t>
  </si>
  <si>
    <t>Antarctic and subantarctic fish specimens used for this study could be collected thanks to the IPEV (Institut Paul Emile Victor) for the French ICOTA (1996-2008) and REVOLTA (2009-2017) programs in Adelie Land; the NSF (US National Science Foundation, grant OPP 01-32032)) for the ICEFISH cruise (Collaborative Expedition to collect and study Fish Indigenous to Sub-Antarctic Habitats, 2004), Atlantic Sector of the Southern Ocean; the French National Research Agency ANR and Ministry of Agriculture and Fisheries for POKER cruises (2006, 2010 and 2013), Kerguelen Heard shelf; the CAML (Census of Antarctic Marine Life), Sloan Foundation, IPEV and AAD (Australian Antarctic Division) for CEAMARC 2007-2008 cruise, IPY project no. 53, East-Antarctic continental shelf; the PRNA for the Italian national expeditions in the Ross Sea (grant PLR-1444167). Laboratory work was supported in France by the Sorbonne Universite (SU), the CNRS (Centre National de la Recherche Scientifique) and the Museum National d'Histoire Naturelle (MNHN).</t>
  </si>
  <si>
    <t>10.3390/ijms20030701</t>
  </si>
  <si>
    <t>HQ4WR</t>
  </si>
  <si>
    <t>WOS:000462412500245</t>
  </si>
  <si>
    <t>Liu, R; Cheng, JM; Wu, H</t>
  </si>
  <si>
    <t>Liu, Rui; Cheng, Jianming; Wu, Hao</t>
  </si>
  <si>
    <t>Discovery of Food-Derived Dipeptidyl Peptidase IV Inhibitory Peptides: A Review</t>
  </si>
  <si>
    <t>dipeptidyl-peptidase IV inhibition; food proteins; peptides; type 2 diabetes mellitus</t>
  </si>
  <si>
    <t>ANGIOTENSIN-CONVERTING ENZYME; SKIN GELATIN HYDROLYSATE; BEAN PHASEOLUS-VULGARIS; DPP-IV; IN-SILICO; BIOACTIVE PEPTIDES; GLYCEMIC CONTROL; DIETARY PROTEINS; ANTARCTIC KRILL; DIABETIC-RATS</t>
  </si>
  <si>
    <t>Diabetes is a chronic metabolic disorder which leads to high blood sugar levels over a prolonged period. Type 2 diabetes mellitus (T2DM) is the most common form of diabetes and results from the body's ineffective use of insulin. Over ten dipeptidyl peptidase IV (DPP-IV) inhibitory drugs have been developed and marketed around the world in the past decade. However, owing to the reported adverse effects of the synthetic DPP-IV inhibitors, attempts have been made to find DPP-IV inhibitors from natural sources. Food-derived components, such as protein hydrolysates (peptides), have been suggested as potential DPP-IV inhibitors which can help manage blood glucose levels. This review focuses on the methods of discovery of food-derived DPP-IV inhibitory peptides, including fractionation and purification approaches, in silico analysis methods, in vivo studies, and the bioavailability of these food-derived peptides. Moreover, food-derived DPP-IV inhibitory peptides discovered during this decade are listed and distributed in a 3D scatter plot graph based on their IC50, molecular weight, and grand average of hydropathicity values, which can help us to understand the relationship between the features of the peptides and their activities.</t>
  </si>
  <si>
    <t>[Liu, Rui; Cheng, Jianming; Wu, Hao] Nanjing Univ Chinese Med, Jiangsu Key Lab Res &amp; Dev Marine Bioresource Phar, Nanjing 210023, Jiangsu, Peoples R China; [Liu, Rui; Cheng, Jianming; Wu, Hao] Natl &amp; Local Collaborat Engn Ctr Chinese Med Reso, Jiangsu Collaborat Innovat Ctr Chinese Med Resour, Nanjing 210023, Jiangsu, Peoples R China; [Liu, Rui; Cheng, Jianming; Wu, Hao] Nanjing Univ Chinese Med, Sch Pharm, Nanjing 210023, Jiangsu, Peoples R China; [Liu, Rui] Univ Wisconsin, Sch Pharm, Madison, WI 53705 USA</t>
  </si>
  <si>
    <t>Nanjing University of Chinese Medicine; Nanjing University of Chinese Medicine; University of Wisconsin System; University of Wisconsin Madison</t>
  </si>
  <si>
    <t>Cheng, JM; Wu, H (corresponding author), Nanjing Univ Chinese Med, Jiangsu Key Lab Res &amp; Dev Marine Bioresource Phar, Nanjing 210023, Jiangsu, Peoples R China.;Cheng, JM; Wu, H (corresponding author), Natl &amp; Local Collaborat Engn Ctr Chinese Med Reso, Jiangsu Collaborat Innovat Ctr Chinese Med Resour, Nanjing 210023, Jiangsu, Peoples R China.;Cheng, JM; Wu, H (corresponding author), Nanjing Univ Chinese Med, Sch Pharm, Nanjing 210023, Jiangsu, Peoples R China.</t>
  </si>
  <si>
    <t>liurui@njucm.edu.cn; cjm7895@163.com; whao5795@vip.sina.com</t>
  </si>
  <si>
    <t>Liu, Rui/0000-0002-9689-7283</t>
  </si>
  <si>
    <t>Priority Academic Program Development of Jiangsu Higher Education Institutions (PAPD); Jiangsu Qinlan Project; Jiangsu 333 Project; Key Project of Natural Science Research in Universities of Jiangsu Province [17KJA360005]; Marine Science and Technology Innovation Project of Jiangsu Province [HY2017-7]; Young Researchers Training Project of China Association of Traditional Chinese Medicine [QNRC2-C14]</t>
  </si>
  <si>
    <t>Priority Academic Program Development of Jiangsu Higher Education Institutions (PAPD); Jiangsu Qinlan Project; Jiangsu 333 Project; Key Project of Natural Science Research in Universities of Jiangsu Province; Marine Science and Technology Innovation Project of Jiangsu Province; Young Researchers Training Project of China Association of Traditional Chinese Medicine</t>
  </si>
  <si>
    <t>This study was supported by the Priority Academic Program Development of Jiangsu Higher Education Institutions (PAPD), Jiangsu Qinlan Project, Jiangsu 333 Project, The Key Project of Natural Science Research in Universities of Jiangsu Province (17KJA360005), The Marine Science and Technology Innovation Project of Jiangsu Province (HY2017-7), and the Young Researchers Training Project of China Association of Traditional Chinese Medicine (QNRC2-C14).</t>
  </si>
  <si>
    <t>10.3390/ijms20030463</t>
  </si>
  <si>
    <t>WOS:000462412500007</t>
  </si>
  <si>
    <t>Hellemeier, JA; Yang, R; Sarazin, M; Hickson, P</t>
  </si>
  <si>
    <t>Hellemeier, Joschua A.; Yang, Rui; Sarazin, Marc; Hickson, Paul</t>
  </si>
  <si>
    <t>Weather at selected astronomical sites - an overview of five atmospheric parameters</t>
  </si>
  <si>
    <t>atmospheric effects; site testing</t>
  </si>
  <si>
    <t>VERTICAL-DISTRIBUTION; TURBULENCE; AIR; SCINTILLATION; RESOLUTION; LONG; MASS</t>
  </si>
  <si>
    <t>Weather has a critical impact on observations at optical and infrared wavelengths, and is a key factor in assessing the performance and productivity of future facilities. As a reference for comparison, we present an analysis of cloud cover, 200-hPa wind speed, precipitable water vapour, vertical wind velocity, and aerosol index, for 15 observatory sites around theworld. Our study employs ERA-40 and Total Ozone Mapping Spectrometer climatological data covering a 45-yr time period. We have examined this data set for long-term trends. Several sites are found to show significant long-term changes in some parameters, possibly due to climate change. Four sites show significant increases in cloud cover (99 per cent confidence level). Four sites show changes in 200-hPa wind speed. Eight sites show increases or decreases in precipitable water vapour. The largest changes are found for Antarctic sites, which have clear trends of increasing cloud cover and water vapour. These results should help to characterize the relative astronomical potential of the sites and highlight the influence of both seasonal variations and long-term trends.</t>
  </si>
  <si>
    <t>[Hellemeier, Joschua A.; Yang, Rui; Hickson, Paul] Univ British Columbia, Dept Phys &amp; Astron, 6224 Agr Rd, Vancouver, BC V6T 1Z1, Canada; [Yang, Rui] Yunnan Univ, Sch Phys &amp; Astron, 2 North Cuihu Rd, Kunming 650091, Yunnan, Peoples R China; [Sarazin, Marc] European Southern Observ, Karl Schwarzschild Str 2, D-8046 Garching, Germany; [Hickson, Paul] Chinese Acad Sci, Natl Astron Observ, A20 Datun Rd, Beijing 100012, Peoples R China</t>
  </si>
  <si>
    <t>University of British Columbia; Yunnan University; European Southern Observatory; Chinese Academy of Sciences; National Astronomical Observatory, CAS</t>
  </si>
  <si>
    <t>Hellemeier, JA (corresponding author), Univ British Columbia, Dept Phys &amp; Astron, 6224 Agr Rd, Vancouver, BC V6T 1Z1, Canada.</t>
  </si>
  <si>
    <t>jhelleme@phas.ubc.ca</t>
  </si>
  <si>
    <t>Sarazin, Marc/AAF-1273-2020</t>
  </si>
  <si>
    <t>Sarazin, Marc/0000-0002-3751-8992</t>
  </si>
  <si>
    <t>Natural Sciences and Engineering Research Council of Canada; Chinese Academy of Sciences [2017VMA0013]</t>
  </si>
  <si>
    <t>Natural Sciences and Engineering Research Council of Canada(Natural Sciences and Engineering Research Council of Canada (NSERC)CGIAR); Chinese Academy of Sciences(Chinese Academy of Sciences)</t>
  </si>
  <si>
    <t>Financial support was provided by the Natural Sciences and Engineering Research Council of Canada. Paul Hickson thanks the National Astronomial Observatories, Chinese Acadamy of Sciences for hospitality during a sabbatical visit, and the Chinese Academy of Sciences for support from the President's International Fellowship Initiative, 2017VMA0013.</t>
  </si>
  <si>
    <t>10.1093/mnras/sty2982</t>
  </si>
  <si>
    <t>HQ3RD</t>
  </si>
  <si>
    <t>WOS:000462327300046</t>
  </si>
  <si>
    <t>Haeger, C; Kaban, MK; Tesauro, M; Petrunin, AG; Mooney, WD</t>
  </si>
  <si>
    <t>Haeger, C.; Kaban, M. K.; Tesauro, M.; Petrunin, A. G.; Mooney, W. D.</t>
  </si>
  <si>
    <t>3-D Density, Thermal, and Compositional Model of the Antarctic Lithosphere and Implications for Its Evolution</t>
  </si>
  <si>
    <t>Antarctica; lithosphere; thermal modeling; density; composition</t>
  </si>
  <si>
    <t>DRONNING MAUD LAND; UPPER-MANTLE; EAST ANTARCTICA; CONTINENTAL LITHOSPHERE; RECEIVER FUNCTION; SEISMIC VELOCITY; ISOSTATIC MODEL; HEAT-PRODUCTION; LAMBERT GRABEN; JOINT ANALYSIS</t>
  </si>
  <si>
    <t>We create a 3-D density, temperature, and composition model of the Antarctic lithosphere using an integrative approach combining gravity, topography, and tomography data with mineral physics constraints and seismic data on crustal structures. The latter is used to create a new Moho and crustal density model. Temperature and thermal density variations are estimated based on S wave velocities from two independent tomography models (SL2013sv and AN1-S). Results of the Antarctic continent show the well-known distinction between East and West Antarctica in temperature and density to a depth of about 200km. Incorporating compositional variations in the temperature calculations increases temperatures in depleted regions by up to 150 degrees C, giving improved insights into thermal structures. The thickness of the lithospheric root also varies strongly between these regions, with values below 100km in the west and above 200km in the east. Regions with negative compositional density variations (&lt;-0.040g/cm(3) at 100km), high depletion (Mg #&gt;91.5), and low temperatures (&lt;800 degrees C; central Dronning Maud Land, along the east flank of the Transantarctic Mountains) are interpreted as Precambrian cratonic fragments. Nearly undepleted lithosphere is found in the Lambert Graben and the Aurora Subglacial Basin and is attributed to Mesozoic rifting activity that has caused lithospheric rejuvenation. Plain Language Summary Antarctica remains one of the least studied areas on Earth, because large ice masses and climate conditions strongly hinder measurements. It plays an important role in global phenomena such as sea level change. In order to understand and predict these processes, we need knowledge about the heat coming from the Earth's interior. It has been recently recognized that the thermal state of the lithosphere, the rigid outer shell of the Earth, plays an important role in controlling dynamics of the ice shield and, thus, global sea level changes. Therefore, we create a model of the lithosphere describing the variation in temperature, density, and composition. Before, such models were created by using some single data set (usually seismic tomography). We employ a new integrative approach, combining several data sets to create a comprehensive 3-D model of the Antarctic lithosphere. Combination of various data sets gives more robust models than when using a single approach. Our results of the Antarctic continent show strong differences between East and West Antarctica in temperature and density to a depth of about 200km. Regions with negative compositional density variations and low temperatures are identified within East Antarctica and are interpreted as being substantially older than the surrounding continent.</t>
  </si>
  <si>
    <t>[Haeger, C.; Kaban, M. K.; Petrunin, A. G.] GFZ German Res Ctr Geosci, Potsdam, Germany; [Haeger, C.] Free Univ Berlin, Berlin, Germany; [Kaban, M. K.; Petrunin, A. G.] Schmidt Inst Phys Earth, Moscow, Russia; [Tesauro, M.] Univ Trieste, Dipartimento Matemat &amp; Geosci, Trieste, Italy; [Mooney, W. D.] US Geol Survey, Earthquake Sci Ctr, 345 Middlefield Rd, Menlo Pk, CA 94025 USA</t>
  </si>
  <si>
    <t>Helmholtz Association; Helmholtz-Center Potsdam GFZ German Research Center for Geosciences; Free University of Berlin; Russian Academy of Sciences; Schmidt Institute of Physics of the Earth of the Russian Academy of Sciences; University of Trieste; United States Department of the Interior; United States Geological Survey</t>
  </si>
  <si>
    <t>Haeger, C (corresponding author), GFZ German Res Ctr Geosci, Potsdam, Germany.;Haeger, C (corresponding author), Free Univ Berlin, Berlin, Germany.</t>
  </si>
  <si>
    <t>carina.haeger@gfz-potsdam.de</t>
  </si>
  <si>
    <t>Kaban, Mikhail/ABA-7286-2020; Petrunin, Alexey/AAD-6186-2020</t>
  </si>
  <si>
    <t>Petrunin, Alexey/0000-0002-5439-4178; Kaban, Mikhail/0000-0002-1864-2234; Haeger, Carina/0000-0003-0075-3849</t>
  </si>
  <si>
    <t>DFG (German Research Foundation) [SPP-1788, KA2669/4-1, KA2669/4-2, PE 2167/2-1, SPP-2017]</t>
  </si>
  <si>
    <t>DFG (German Research Foundation)(German Research Foundation (DFG))</t>
  </si>
  <si>
    <t>This study was supported by DFG (German Research Foundation), SPP-1788 Dynamic Earth (grants KA2669/4-1 and KA2669/4-2) and SPP-2017 (grant PE 2167/2-1). The 3-D thermal, density, and compositional models and the Moho depth variations are available in the supporting information.</t>
  </si>
  <si>
    <t>10.1029/2018GC008033</t>
  </si>
  <si>
    <t>HP5UA</t>
  </si>
  <si>
    <t>WOS:000461745200008</t>
  </si>
  <si>
    <t>Warren, SG; Roesler, CS; Brandt, RE; Curran, M</t>
  </si>
  <si>
    <t>Warren, Stephen G.; Roesler, Collin S.; Brandt, Richard E.; Curran, Mark</t>
  </si>
  <si>
    <t>Green Icebergs Revisited</t>
  </si>
  <si>
    <t>marine ice; green icebergs; iron fertilization; dissolved organic carbon</t>
  </si>
  <si>
    <t>DISSOLVED ORGANIC-CARBON; MARINE-ICE; SOUTHERN-OCEAN; MINERAL DUST; OPTICAL-PROPERTIES; LIGHT-SCATTERING; IRON SOLUBILITY; WEDDELL SEA; ABSORPTION; HEMATITE</t>
  </si>
  <si>
    <t>Ice crystals form in supercooled seawater beneath several Antarctic ice shelves; as they rise to the ice-shelf base they scavenge particles from the water and incorporate them into the growing basal ice. The resulting marine ice can be similar to 100m thick; it differs from sea ice in that it is clear, desalinated, and bubble-free. Icebergs of marine ice vary in color from blue to green, depending on the nature and abundance of foreign constituents in the seawater that became trapped in the ice as it grew. A red or yellow material (i.e., one that absorbs blue light), in combination with the blue of ice, can shift the wavelength of minimum absorption to green. Previously, dissolved organic carbon (DOC) had been proposed to be responsible for the green color. Subsequent measurements of low DOC values in green icebergs, together with the recent finding of large concentrations of iron in marine ice from the Amery Ice Shelf, suggest that the color of green icebergs is caused more by iron-oxide minerals than by DOC. These icebergs travel great distances from their origin; when they melt they can deliver iron as a nutrient to the Southern Ocean. Plain Language Summary Glacier ice, originating from snowfall, flows off the Antarctic Ice Sheet to float on the ocean as ice shelves. At the front of the ice-shelf, icebergs break off. They appear bluish-white, intermediate between the blue of pure ice, and the white of snow, because glacier ice contains numerous bubbles that scatter light. Seawater freezes to the base of some ice shelves, forming marine ice, which incorporates organic and inorganic particles from the water. On the resulting composite icebergs, the marine ice can be exposed to view if the iceberg capsizes. The marine-ice part of such icebergs is clear, dark, and often green in color, because red or yellow particles from the seawater, in combination with the blue of ice, can shift the color to green. Previously, dissolved organic carbon had been proposed to be responsible for the green color. The recent finding of large concentrations of iron in marine ice from the Amery Ice Shelf suggests that the color of green icebergs is caused more by iron-oxide minerals. These icebergs travel great distances from their origin; when they melt they can deliver iron as a nutrient to the Southern Ocean.</t>
  </si>
  <si>
    <t>[Warren, Stephen G.] Univ Washington, Dept Atmospher Sci, Seattle, WA 98195 USA; [Roesler, Collin S.] Bowdoin Coll, Dept Earth &amp; Oceanog Sci, Brunswick, ME 04011 USA; [Brandt, Richard E.] SUNY Albany, Atmospher Sci Res Ctr, Wilmington, NY USA; [Curran, Mark] Australian Antarctic Div, Kingston, Tas, Australia</t>
  </si>
  <si>
    <t>University of Washington; University of Washington Seattle; Bowdoin College; State University of New York (SUNY) System; State University of New York (SUNY) Albany; Australian Antarctic Division</t>
  </si>
  <si>
    <t>Warren, SG (corresponding author), Univ Washington, Dept Atmospher Sci, Seattle, WA 98195 USA.</t>
  </si>
  <si>
    <t>sgw@uw.edu</t>
  </si>
  <si>
    <t>NSF [OPP-95-27244, OPP-95-27245]</t>
  </si>
  <si>
    <t>Our albedo measurements and sampling of icebergs in 1988 and 1996 were accomplished on voyages of the Australian National Antarctic Research Expeditions (ANARE); we thank the Australian Antarctic Division for hosting us and for providing excellent logistical support. Petra Heil and Mel Fitzpatrick collected core samples on the icebergs in 1996. The Field Training Officer, Eric Philips, guided us up the icebergs and ensured our safety. Vin Morgan measured the oxygen isotopes on our 1996 icebergs, and Robert Chen measured the DOC. John Gibson provided his DOC analyses of a green iceberg that was sampled at Mawson Station in 1994. Andrea Weiss made some calculations similar to those in Figure 8 as a project for Warren's snow-and-ice class at the University of Washington in 1998. Ben Galton-Fenzi supplied the original for Figure 1. We thank Gerhard Dieckmann and Sepp Kipfstuhl for providing a sample of their green iceberg from 1985 for DOC analysis, and for discussions. We thank Hans Moosmuller, Dariusz Stramski, and Ron Sletten for discussions about the absorption spectra of iron-oxide minerals and Laura Herraiz-Borreguero and Delphine Lannuzel for discussions about their measurements of iron in marine ice. Helpful comments on the manuscript were provided by Martin Vancoppenolle, Ralph Timmermann, and an anonymous reviewer. Our sampling of icebergs in 1996 was supported by NSF grants OPP-95-27244 and OPP-95-27245. Compliance with AGU's Data Policy: All data are given in Table 1 or can be read off the gridded figures.</t>
  </si>
  <si>
    <t>10.1029/2018JC014479</t>
  </si>
  <si>
    <t>HP7GR</t>
  </si>
  <si>
    <t>WOS:000461856400008</t>
  </si>
  <si>
    <t>Patel, RS; Phillips, HE; Strutton, PG; Lenton, A; Llort, J</t>
  </si>
  <si>
    <t>Patel, Ramkrushnbhai S.; Phillips, Helen E.; Strutton, Peter G.; Lenton, Andrew; Llort, Joan</t>
  </si>
  <si>
    <t>Meridional Heat and Salt Transport Across the Subantarctic Front by Cold-Core Eddies</t>
  </si>
  <si>
    <t>Southern Ocean; mesoscale eddies; south of Tasmania; meridional flux transport; poleward fluxes; cyclonic eddy observations</t>
  </si>
  <si>
    <t>CIRCUMPOLAR CURRENT SOUTH; MEAN-FLOW; EDDY; ANATOMY; FLUX; VARIABILITY; SECTION</t>
  </si>
  <si>
    <t>Mesoscale eddies are ubiquitous in the Southern Ocean particularly in regions where the Antarctic Circumpolar Current interacts with topography. Eddies play a critical role in the meridional transport of heat and salt across the Antarctic Circumpolar Current. However, observations of the heat and salt content of eddies are extremely rare. Here we present new observations that characterize the three-dimensional structure of a cyclonic (cold-core) eddy generated at the Subantarctic Front south of Tasmania. Automated detection software is used with satellite altimetry to follow the eddy through the Subantarctic Zone. The physical properties at the center of the eddy are substantially modified from those near the formation region, indicating a strong transformation during the eddy's lifetime. The eddy carried heat and salt content anomalies relative to surrounding Subantarctic Zone waters of -0.50.1x10(20)J and -2.10.4x10(12)kg, respectively. Previous studies have not captured the full heat and salt content of eddies due to limited observations and have underestimated their content by a factor of 2 to 3 south of Tasmania. Applying the observed correlation between eddy-elevated volume and eddy heat and salt content to the history of cyclonic eddies in the satellite altimeter record leads us to propose that about 21% of the heat carried across the Subantarctic Front south of Tasmania is achieved by cyclonic eddies entering the Subantarctic Zone. The freshwater contribution to the Subantarctic Zone by long-lived cold-core eddies is of the same order of magnitude as the Ekman flux in this region. Plain Language Summary Eddies are rotating bodies of water with diameters between 10 and 100km that live from a week to months in the ocean. They are known to carry heat and salt across the Antarctic Circumpolar Current. Because of extremely limited direct observations of these eddies, it is difficult to calculate the actual amount of heat and salt that these eddies carry. Here we present new observations of a cold-core eddy that we sampled during a voyage in the Southern Ocean south of Tasmania. The eddy was born in the Subantarctic Front and traveled into the Subantarctic Zone where it stayed for 2months before returning to the Subantarctic Front and disappearing. The observations showed that the amount of heat carried into the Subantarctic Zone is 2.6 times higher than previously reported, and the amount of salt is 2.5 times larger for south of Tasmania. Based on our in situ observations, combined with satellite measurements of sea surface height and an eddy-tracking software, we propose that 21% of the heat carried across the Subantarctic Front south of Tasmania is achieved by long-lived, cold-core eddies entering the Subantarctic Zone.</t>
  </si>
  <si>
    <t>[Patel, Ramkrushnbhai S.; Phillips, Helen E.; Strutton, Peter G.; Llort, Joan] Univ Tasmania, Inst Marine &amp; Antarctic Studies, Hobart, Tas, Australia; [Patel, Ramkrushnbhai S.; Llort, Joan] Univ Tasmania, Australian Res Council, Ctr Excellence Climate Syst Sci, Hobart, Tas, Australia; [Phillips, Helen E.; Strutton, Peter G.] Univ Tasmania, Australian Res Council, Ctr Excellence Climate Extremes, Hobart, Tas, Australia; [Lenton, Andrew] Commonwealth Sci &amp; Ind Res Org Oceans &amp; Atmospher, Hobart, Tas, Australia; [Lenton, Andrew] Univ Tasmania, Antarctic Climate &amp; Ecosyst Cooperat Res Ctr, Hobart, Tas, Australia; [Lenton, Andrew] CSIRO, Ctr Southern Hemisphere Oceans Res, Hobart, Tas, Australia</t>
  </si>
  <si>
    <t>University of Tasmania; University of Tasmania; University of Tasmania; Commonwealth Scientific &amp; Industrial Research Organisation (CSIRO); University of Tasmania; Antarctic Climate &amp; Ecosystems Cooperative Research Centre (ACE CRC); Commonwealth Scientific &amp; Industrial Research Organisation (CSIRO)</t>
  </si>
  <si>
    <t>Patel, RS (corresponding author), Univ Tasmania, Inst Marine &amp; Antarctic Studies, Hobart, Tas, Australia.;Patel, RS (corresponding author), Univ Tasmania, Australian Res Council, Ctr Excellence Climate Syst Sci, Hobart, Tas, Australia.</t>
  </si>
  <si>
    <t>Ramkrushnbhai.Patel@utas.edu.au</t>
  </si>
  <si>
    <t>Llort, Joan/O-6182-2019; Phillips, Helen/I-3761-2013; Llort, Joan/O-2162-2017; Patel, Ramkrushnbhai Shaileshbhai/HGD-7314-2022; Lenton, Andrew/D-2077-2012; Strutton, Peter/C-4466-2011</t>
  </si>
  <si>
    <t>Llort, Joan/0000-0003-1490-4521; Phillips, Helen/0000-0002-2941-7577; Llort, Joan/0000-0003-1490-4521; Patel, Ramkrushnbhai Shaileshbhai/0000-0002-5302-6509; Lenton, Andrew/0000-0001-9437-8896; Strutton, Peter/0000-0002-2395-9471</t>
  </si>
  <si>
    <t>Australian Research Council [DP160102870]; Australian Research Council's Special Research Initiative for Antarctic Gateway Partnership [SR140300001]; QMS PhD program; Australian Government's National Environmental Science Program</t>
  </si>
  <si>
    <t>Australian Research Council(Australian Research Council); Australian Research Council's Special Research Initiative for Antarctic Gateway Partnership(Australian Research Council); QMS PhD program; Australian Government's National Environmental Science Program(Australian Government)</t>
  </si>
  <si>
    <t>This research was supported by an Australian Research Council Discovery Project (DP160102870), the Australian Research Council's Special Research Initiative for Antarctic Gateway Partnership (SR140300001), and ship time from Australia's Marine National Facility. We thank the officers, crew, and technical staff of Australia's Marine National Facility R. V. Investigator for their help with data collection. We are also grateful to our shipmates from the Eddy, CAPRICORN, and SOTS projects. We thank AVISO and CMEMS for providing near-real-time altimetry data. We are thankful to Faghmous et al. (2015) for disseminating eddy-tracking software and their diagnostic. We thank R. Pawlowicz for m_map mapping Matlab Toolbox (www.eos.ubc.ca/similar to rich) and Trevor McDougall and Paul Barker for Gibbs-Sea Water Oceanographic Matlab Toolbox (GSW v3.05). R. P. thanks Benoit Legresy for AVISO products. R. P. thanks QMS PhD program for providing financial support to conduct his research. R. P. also acknowledges Gabriela S. Pilo's input in setting up the manual eddy-tracking software. H. P. acknowledges funding from the Australian Government's National Environmental Science Program. This study is part of the EDDY project: http://southernoceaneddie.wixsite.com/eddies.R.P.andH.P.thank Prof. Nathan Bindoff for valuable comments on uncertainty estimates. Comments from four anonymous reviewers greatly improved this manuscript.</t>
  </si>
  <si>
    <t>10.1029/2018JC014655</t>
  </si>
  <si>
    <t>WOS:000461856400011</t>
  </si>
  <si>
    <t>Malyarenko, A; Robinson, NJ; Williams, MJM; Langhorne, PJ</t>
  </si>
  <si>
    <t>Malyarenko, A.; Robinson, N. J.; Williams, M. J. M.; Langhorne, P. J.</t>
  </si>
  <si>
    <t>A Wedge Mechanism for Summer Surface Water Inflow Into the Ross Ice Shelf Cavity</t>
  </si>
  <si>
    <t>ice shelf-ocean interaction; ice shelf; ice shelf front</t>
  </si>
  <si>
    <t>OCEANOGRAPHIC DATA; SEA; OCEAN; TEMPERATURE; SATELLITE; CIRCULATION; SALINITY; VARIABILITY; GREENLAND</t>
  </si>
  <si>
    <t>Ocean heat supply to ice shelves has a significant impact on the long-term evolution of ice shelves. Intrusions of warm surface waters into the frontal region of the cavity, known as Mode 3 circulation, are capable of melting the ice shelf base. However, ablation of the vertical walls of the ice shelf front has, to date, received little attention. Here we propose a mechanism for Mode 3 circulation that is aided by ice shelf front ablation: Direct contact of warm Antarctic Surface Water with the ice wall generates meltwater that buoyantly ascends the vertical face and leads to formation of a wedge of fresher water immediately adjacent to the wall. This wedge, which thins with distance from the ice shelf front, allows isopycnals to curve gently downward, creating an efficient conduit by which surface waters moved by other forces such as tidal flow and eddies enter an ice shelf cavity with minimal mixing. Here we use new and existing observational data from the Ross Sea and the Ross Ice Shelf cavity to demonstrate the existence of the wedge. Our analysis and a review of the literature suggest that the freshwater wedge structure is a pervasive feature of the Western Ross Sea in summer and enhances other inflow mechanisms. Plain Language Summary Recent observations from the Ross Ice Shelf cavity show inflow of warm waters which are in contact with the ice shelf base. This inflow of surface waters is very warm, not observed in other ice shelf cavities and not explained by existing mechanisms. We have found that ablation of the ice shelf itself creates a density structure, a wedge, in the ocean next to the Ross Ice Shelf front that allows warm summer surface water to slip easily to 230m depth and enter the cavity. Similar structure is also seen in historical observations next to the Ross Ice Shelf front. Thus, the Ross Ice Shelf basal melting in the frontal zone is directly connected to surface waters in the Ross Sea. Hence, changes in sea ice cover and solar heating in the Ross Sea will have an immediate effect on the Ross Ice Shelf stability.</t>
  </si>
  <si>
    <t>[Malyarenko, A.; Langhorne, P. J.] Univ Otago, Dept Phys, Dunedin, New Zealand; [Malyarenko, A.; Robinson, N. J.; Williams, M. J. M.] Natl Inst Water &amp; Atmospher Res, Wellington, New Zealand</t>
  </si>
  <si>
    <t>University of Otago; National Institute of Water &amp; Atmospheric Research (NIWA) - New Zealand</t>
  </si>
  <si>
    <t>Malyarenko, A (corresponding author), Univ Otago, Dept Phys, Dunedin, New Zealand.;Malyarenko, A (corresponding author), Natl Inst Water &amp; Atmospher Res, Wellington, New Zealand.</t>
  </si>
  <si>
    <t>alena.malyarenko@niwa.co.nz</t>
  </si>
  <si>
    <t>Robinson, Natalie J/I-4460-2015; Langhorne, Pat/C-3539-2018</t>
  </si>
  <si>
    <t>Malyarenko, Alena/0000-0002-6128-3804; Langhorne, Pat/0000-0003-0239-7657</t>
  </si>
  <si>
    <t>NSF [ANT-1543305]; University of Otago Doctoral Scholarship; New Zealand Antarctic Research Institute Scholarship; Isaac Newton Institute for Mathematical Sciences, Cambridge during the Mathematics of Sea Ice Phenomena; EPSRC [EP/K032208/1]; Deep South National Science Challenge, New Zealand; EPSRC [EP/K032208/1] Funding Source: UKRI</t>
  </si>
  <si>
    <t>NSF(National Science Foundation (NSF)); University of Otago Doctoral Scholarship; New Zealand Antarctic Research Institute Scholarship; Isaac Newton Institute for Mathematical Sciences, Cambridge during the Mathematics of Sea Ice Phenomena; EPSRC(UK Research &amp; Innovation (UKRI)Engineering &amp; Physical Sciences Research Council (EPSRC)); Deep South National Science Challenge, New Zealand; EPSRC(UK Research &amp; Innovation (UKRI)Engineering &amp; Physical Sciences Research Council (EPSRC))</t>
  </si>
  <si>
    <t>We are grateful for the insightful comments from the three anonymous reviewers who were exceptionally helpful in improving the manuscript. The marine mammal data were collected and made freely available by the International MEOP Consortium and the national programs that contribute to it (http://www.meop.net).Authors are grateful for advice from Kim Goetz about working with the data. Authors appreciate the support of the University of Wisconsin-Madison Automatic Weather Station Program for the data set, data display, and information, NSF grant ANT-1543305. Sea surface temperature data are available from the NCDC website (https://www.ncdc.noaa.gov/oisst).Sea ice concentration data from Nimbus 7 are available from the NSIDC website (http://nsidc.org/data/nsidc-0051).Sea ice concentration data from ASI-SSMI are available online (http://icdc.cen.uni-hamburg.de/1/daten/cryosphere/seaiceconcentration-asi-ssmi.html).Sea ice concentration data from ASI-AMSR2 are available from the ICDC website (http://icdc.cen.uni-hamburg.de/1/daten/cryosphere/seaiceconcentration-asi-amsre.html).Additional data from the same data set for the period from July 2012 to May 2013 was made available by Stefan Kern. Era-Interim data are available from the ECMWF website (http://apps.ecmwf.int/datasets/data/interim-full-daily).The Coulman High mooring data are available from the National Institute for Water and Atmospheric Research Ocean Mooring Data Archive (www.niwa.co.nz).A.M.supported by the University of Otago Doctoral Scholarship and the New Zealand Antarctic Research Institute Scholarship. A.M. and P.J.L. enjoyed the support and hospitality of the Isaac Newton Institute for Mathematical Sciences, Cambridge during the Mathematics of Sea Ice Phenomena (supported by EPSRC grant EP/K032208/1). A.M. and P.J.L. were partially supported by the Deep South National Science Challenge, New Zealand.</t>
  </si>
  <si>
    <t>10.1029/2018JC014594</t>
  </si>
  <si>
    <t>WOS:000461856400022</t>
  </si>
  <si>
    <t>Hu, ZY; Talalay, P; Zheng, ZC; Cao, PL; Shi, GT; Li, YS; Fan, XP; Ma, HM</t>
  </si>
  <si>
    <t>Hu, Zhengyi; Talalay, Pavel; Zheng, Zhichuan; Cao, Pinlu; Shi, Guitao; Li, Yuansheng; Fan, Xiaopeng; Ma, Hongmei</t>
  </si>
  <si>
    <t>Air reverse circulation at the hole bottom in ice-core drilling</t>
  </si>
  <si>
    <t>ice coring; ice engineering; polar firn</t>
  </si>
  <si>
    <t>Ice-core drilling to depths of 200-300 m is an important part of research studies concerned with paleoclimate reconstruction and anthropogenic climate change. However, conventional drilling methods face difficulties due to firn permeability. We have developed an electromechanical ice-core drill with air reverse circulation at the hole bottom. We believe that the new drilling system will recover ice cores faster than shallow auger drills, with high efficiency and low energy consumption. The theoretically estimated up-hole speed of the airflow should be not &lt;7.7 m s(-1) to allow proper removal of ice cuttings from the borehole bottom. The computer simulation and test results showed that the design of the new ice-coring drill is feasible. The maximum allowed penetration rate depends by square law on airflow.</t>
  </si>
  <si>
    <t>[Hu, Zhengyi; Shi, Guitao; Li, Yuansheng; Ma, Hongmei] Polar Res Inst China, Key Lab Polar Sci, State Ocean Adm, Shanghai, Peoples R China; [Hu, Zhengyi; Talalay, Pavel; Zheng, Zhichuan; Cao, Pinlu; Fan, Xiaopeng] Jilin Univ, Polar Res Ctr, Changchun, Jilin, Peoples R China</t>
  </si>
  <si>
    <t>Polar Research Institute of China; Jilin University</t>
  </si>
  <si>
    <t>Hu, ZY (corresponding author), Polar Res Inst China, Key Lab Polar Sci, State Ocean Adm, Shanghai, Peoples R China.;Hu, ZY; Talalay, P (corresponding author), Jilin Univ, Polar Res Ctr, Changchun, Jilin, Peoples R China.</t>
  </si>
  <si>
    <t>huzhengyi@pric.org.cn; ptalalay@yahoo.com</t>
  </si>
  <si>
    <t>Talalay, Pavel/AAH-2908-2020</t>
  </si>
  <si>
    <t>Talalay, Pavel/0000-0002-8230-4600</t>
  </si>
  <si>
    <t>National Natural Science Foundation of China [41327804]; Program for Jilin University Science and Technology Innovative Research Team [2017TD-24]; Fundamental Research Funds for the Central Universities</t>
  </si>
  <si>
    <t>National Natural Science Foundation of China(National Natural Science Foundation of China (NSFC)); Program for Jilin University Science and Technology Innovative Research Team; Fundamental Research Funds for the Central Universities(Fundamental Research Funds for the Central Universities)</t>
  </si>
  <si>
    <t>We are grateful to our research team members for their help with the drill testing. This work was supported by grant No. 41327804 from the National Natural Science Foundation of China and the Program for Jilin University Science and Technology Innovative Research Team (Project No. 2017TD-24) and the Fundamental Research Funds for the Central Universities. We thank Sune O. Rasmussen, Scientific Editor of Journal of Glaciology, Alex R. Pyne (Antarctic Research Centre, Victoria University of Wellington) and anonymous reviewers for fruitful discussion, useful comments and editing.</t>
  </si>
  <si>
    <t>10.1017/jog.2018.95</t>
  </si>
  <si>
    <t>HP9MJ</t>
  </si>
  <si>
    <t>WOS:000462017000011</t>
  </si>
  <si>
    <t>Diez, A; Matsuoka, K; Jordan, TA; Kohler, J; Ferraccioli, F; Corr, HF; Olesen, AV; Forsberg, R; Casal, TG</t>
  </si>
  <si>
    <t>Diez, Anja; Matsuoka, Kenichi; Jordan, Tom A.; Kohler, Jack; Ferraccioli, Fausto; Corr, Hugh F.; Olesen, Arne V.; Forsberg, Rene; Casal, Tania G.</t>
  </si>
  <si>
    <t>Patchy Lakes and Topographic Origin for Fast Flow in the Recovery Glacier System, East Antarctica</t>
  </si>
  <si>
    <t>subglacial lakes; radar data; Antarctica; ice flow; hydraulic network</t>
  </si>
  <si>
    <t>FAST ICE FLOW; WEST ANTARCTICA; SUBGLACIAL LAKES; RADAR; SURFACE; STREAM; INVENTORY; BENEATH; REGION; ONSET</t>
  </si>
  <si>
    <t>The Recovery subglacial basin, with its largest glacier Recovery Glacier, has been identified as potentially the biggest contributor to future sea level rise from East Antarctica. Subglacial lakes along the main trunk have been detected from satellite data, with four giant lakes (Recovery Lakes A, B, C, and D) located at the onset of the fast ice flow (15m/yr) and multiple smaller lakes along the glacier. The presence of subglacial water potentially plays a key role in the control of fast ice flow of Recovery Glacier. We present new insights on the Recovery Lakes from airborne radar data collected in 2013 and 2015. Using an adjusted classification scheme, we show that a single large area consisting of smaller lakes connected by likely saturated sediment, referred to as Lake AB, exists in the originally proposed area of the Recovery Lakes A and B. We estimate that the current size of Lake AB is approximate to 4,320km(2). Water likely leaks from the western shore of Lake AB lubricating the bed initiating fast ice flow at this location. The difference in the outlines of Lake AB and the Lakes A and B previously derived from surface features suggested that a larger paleolake existed here in the past. From our data, we find Recovery Lake C to be dry; we attribute fast ice flow originating from this area to be due to a topographic step and thus an increase in ice thickness rather than enhanced lubrication at the bed. Plain Language Summary Lakes of liquid water exist under the Antarctic ice sheet. The lake surface is very smooth, and the ice can easily slide over it. This is reflected in a very smooth ice surface, which can be detected in satellite images. To gain more detailed information about subglacial lakes, we need to look below the ice. This is possible with radar waves that travel through the ice where they are reflected at the interface between ice and bedrock or ice and water. Analyzing the reflected signal strength, we derive information about the conditions at the bed and can detect water. Four giant lakes (Recovery Lakes A-D) were identified from satellite data at the onset of fast ice flow of Recovery Glacier. Analyzing a 10-km grid of radar data over these lakes, we now show that Lakes C and D are dry and only one lake exists in the area of the proposed Lakes A and B. This one lake likely regulates the fast ice flow of Recovery Glacier by water leakage from the lake shore.</t>
  </si>
  <si>
    <t>[Diez, Anja; Matsuoka, Kenichi; Kohler, Jack] Norwegian Polar Res Inst, Tromso, Norway; [Jordan, Tom A.; Ferraccioli, Fausto; Corr, Hugh F.] British Antarctic Survey, Cambridge, England; [Olesen, Arne V.; Forsberg, Rene] Tech Univ Denmark Space, Natl Space Inst, Lyngby, Denmark; [Casal, Tania G.] Estec, European Space Agcy, Noordwijk, Netherlands</t>
  </si>
  <si>
    <t>Norwegian Polar Institute; UK Research &amp; Innovation (UKRI); Natural Environment Research Council (NERC); NERC British Antarctic Survey; Technical University of Denmark; European Space Agency</t>
  </si>
  <si>
    <t>Diez, A (corresponding author), Norwegian Polar Res Inst, Tromso, Norway.</t>
  </si>
  <si>
    <t>diez@npolar.no</t>
  </si>
  <si>
    <t>Corr, Hugh/C-5398-2011; Olesen, Arne V/M-3398-2016; Matsuoka, Kenichi/B-7298-2017</t>
  </si>
  <si>
    <t>Kohler, Jack/0000-0003-1963-054X; Gil Duarte Casal, Tania/0000-0001-7119-3928; Forsberg, Rene/0000-0002-7288-9545; Matsuoka, Kenichi/0000-0002-3587-3405; Diez, Anja/0000-0001-6443-6135; Ferraccioli, Fausto/0000-0002-9347-4736; Jordan, Tom/0000-0003-2780-1986</t>
  </si>
  <si>
    <t>U.S. National Geospatial-Intelligence Agency; DTU Space; Norwegian Polar Institute (NPI); British Antarctic Survey (BAS); Instituto Antarctico, Argentina; European Space Agency; BAS; Center for Ice, Climate and Ecosystems (ICE) of NPI; Research Council of Norway's FRINATEK program [240944]; BAS Geology and Geophysics team/grant of the Polar Science for Planet Earth program [bas0100029]; NERC [bas0100034, bas0100029, NE/R016038/1] Funding Source: UKRI</t>
  </si>
  <si>
    <t>U.S. National Geospatial-Intelligence Agency; DTU Space; Norwegian Polar Institute (NPI); British Antarctic Survey (BAS); Instituto Antarctico, Argentina; European Space Agency(European Space Agency); BAS; Center for Ice, Climate and Ecosystems (ICE) of NPI; Research Council of Norway's FRINATEK program(Research Council of Norway); BAS Geology and Geophysics team/grant of the Polar Science for Planet Earth program; NERC(UK Research &amp; Innovation (UKRI)Natural Environment Research Council (NERC))</t>
  </si>
  <si>
    <t>The IceGrav-2013 survey flights were supported by the U.S. National Geospatial-Intelligence Agency, DTU Space, and Norwegian Polar Institute (NPI), with in-kind support from British Antarctic Survey (BAS) and Instituto Antarctico, Argentina. The PolarGap 2015/16 survey flights were supported by the European Space Agency, DTU Space, BAS, and by Center for Ice, Climate and Ecosystems (ICE) of NPI for the special detailed Recovery Lakes flights. Both surveys were primarily funded for aerogravity measurements, for covering major data voids in global models. Postfield activities at NPI are supported by the Research Council of Norway's FRINATEK program (project 240944). F. F. and T. J. acknowledge financial support from the BAS Geology and Geophysics team/grant (bas0100029) of the Polar Science for Planet Earth program. We thank the three anonymous reviewers, the Associate Editor, and Bryn Hubbard for their comments, which greatly helped to improve the manuscript. PolarGap lidar data used are available from the European Space Agency data portal (https://earth.esa.int/web/guest/campaigns), PolarGap radar data used are available from the NPI data portal (https://doi.org/10.21334/npolar.2019.ae99f750), and IceGrav data used are available from the BAS data portal (doi: 10.5285/6549203d-da8b-4a22-924b-a9e1471ea7f1).</t>
  </si>
  <si>
    <t>10.1029/2018JF004799</t>
  </si>
  <si>
    <t>HP7GO</t>
  </si>
  <si>
    <t>WOS:000461856100002</t>
  </si>
  <si>
    <t>Riverman, KL; Alley, RB; Anandakrishnan, S; Christianson, K; Holschuh, ND; Medley, B; Muto, A; Peters, LE</t>
  </si>
  <si>
    <t>Riverman, K. L.; Alley, R. B.; Anandakrishnan, S.; Christianson, K.; Holschuh, N. D.; Medley, B.; Muto, A.; Peters, L. E.</t>
  </si>
  <si>
    <t>Enhanced Firn Densification in High-Accumulation Shear Margins of the NE Greenland Ice Stream</t>
  </si>
  <si>
    <t>ice stream; Greenland; firn; hydropotential; active seismic; shear margin</t>
  </si>
  <si>
    <t>NORTHEAST GREENLAND; SUBGLACIAL GEOLOGY; WEST ANTARCTICA; PINE ISLAND; HEAT-FLUX; BENEATH; DYNAMICS; MODEL; FLOW; SYSTEM</t>
  </si>
  <si>
    <t>Firn thickness across the NE Greenland Ice Stream is a function of accumulated strain, with thinner firn in the high-strain margins of the ice stream. We present a novel technique for extracting firn density from previously collected seismic reflection profiles and apply this technique across both shear margins of NE Greenland Ice Stream. Firn is up to 30m thinner in the vicinity of the ice stream shear margins. Snow accumulation rates across the ice stream were calculated from airborne ice-penetrating radar data, calibrated with ground-based firn density measurements from a shallow core. We find that accumulation is 20% higher in the shear margins compared to the surroundings. The higher density firn adjacent to shear margins is due to high along-flow stresses that accelerate firn densification and develops despite the higher accumulation rate favoring lower density. These firn density variations influence subglacial hydropotential by changing the ice surface slope and overburden pressure and may influence subglacial water flow. These results demonstrate the importance of high-resolution firn surveys in studies of shear-margin dynamics. Plain Language Summary Snow that falls on ice sheets is squeezed to ice under its own weight. Old snow during its transformation to ice is called firn. Ice sheets in Greenland and Antarctica are covered in 10-100m of firn, and many studies on ice sheets require knowledge of firn properties. Observations of the firn, however, are logistically difficult and expensive to make. We present a new technique for estimating firn properties from previously collected seismic surveys. We then use this technique to show that firn is unexpectedly thin along the edges of the fast-moving Northeast Greenland Ice Stream. Ice and firn stretch as they move into the ice stream and speed up. This causes the firn to change to ice more rapidly, contributing to formation of subtle troughs in the surface along the edge of the ice stream, which trap some extra drifting snow. Properly accounting for this extra snow and the thinner firn allows us to more accurately calculate the weight of the ice. Water under the ice moves to where there is the least weight above it. Ice moves more rapidly where more water lubricates the bed, so this new knowledge contributes to better understanding of the motion of the ice stream.</t>
  </si>
  <si>
    <t>[Riverman, K. L.] Univ Oregon, Dept Earth Sci, Eugene, OR 97403 USA; [Alley, R. B.; Anandakrishnan, S.] Penn State Univ, Dept Geosci, State Coll, PA USA; [Christianson, K.; Holschuh, N. D.] Univ Washington, Dept Earth &amp; Space Sci, Seattle, WA 98195 USA; [Medley, B.] NASA, Goddard Space Flight Ctr, Greenbelt, MD USA; [Muto, A.] Temple Univ, Dept Earth &amp; Environm Sci, Philadelphia, PA 19122 USA; [Peters, L. E.] Univ West Indies, Seism Res Ctr, Kingston, Jamaica</t>
  </si>
  <si>
    <t>University of Oregon; Pennsylvania Commonwealth System of Higher Education (PCSHE); Pennsylvania State University; University of Washington; University of Washington Seattle; National Aeronautics &amp; Space Administration (NASA); NASA Goddard Space Flight Center; Pennsylvania Commonwealth System of Higher Education (PCSHE); Temple University; University West Indies Mona Jamaica</t>
  </si>
  <si>
    <t>Riverman, KL (corresponding author), Univ Oregon, Dept Earth Sci, Eugene, OR 97403 USA.</t>
  </si>
  <si>
    <t>kiya.riverman@gmail.com</t>
  </si>
  <si>
    <t>Anandakrishnan, Sridhar/JCN-5026-2023; Muto, Atsuhiro/AAJ-9558-2020</t>
  </si>
  <si>
    <t>Muto, Atsuhiro/0000-0002-1722-2457; Alley, Richard/0000-0003-1833-0115; Riverman, Kiya/0000-0002-8033-3096; Holschuh, Nicholas/0000-0003-1703-5085</t>
  </si>
  <si>
    <t>National Science Foundation [DGE1255832]; Penn State Department of Geosciences; Evan Pugh Endowment; NASA [NNX16AM01G]; Australian Research Council's Special Research Initiative for Antarctic Gateway Partnership [SR140300001]; NSF [OPP-0424589]; NASA [900845, NNX16AM01G] Funding Source: Federal RePORTER</t>
  </si>
  <si>
    <t>National Science Foundation(National Science Foundation (NSF)); Penn State Department of Geosciences; Evan Pugh Endowment; NASA(National Aeronautics &amp; Space Administration (NASA)); Australian Research Council's Special Research Initiative for Antarctic Gateway Partnership(Australian Research Council); NSF(National Science Foundation (NSF)); NASA(National Aeronautics &amp; Space Administration (NASA))</t>
  </si>
  <si>
    <t>K. R. and N. H. were supported by the National Science Foundation Graduate Research Fellowship under grant DGE1255832, with additional funding from Penn State Department of Geosciences and the Evan Pugh Endowment. K. C. and N. D. H. were supported by NASA grant NNX16AM01G. L. E. P. was supported by the Australian Research Council's Special Research Initiative for Antarctic Gateway Partnership (project ID SR140300001). All authors received support from NSF grant OPP-0424589. The Polar Geospatial Center provided high-resolution digital elevation models. UNAVCO provided GPS base station data. Logistical support was provided by CH2MHILL Polar Services, the New York Air National Guard, Kenn Borek Air, the Alfred Wegener Institute for Polar and Marine Research, and the North Greenland Eemian Ice Drilling Project. We thank B. Parizek for valuable conversations and two anonymous reviewers whose detailed comments improved our manuscript immensely. Seismic and surface elevation data available at doi. org/10.5281/zenodo.1345804.</t>
  </si>
  <si>
    <t>10.1029/2017JF004604</t>
  </si>
  <si>
    <t>WOS:000461856100006</t>
  </si>
  <si>
    <t>Obryk, MK; Doran, PT; Priscu, JC</t>
  </si>
  <si>
    <t>Obryk, M. K.; Doran, P. T.; Priscu, J. C.</t>
  </si>
  <si>
    <t>Prediction of Ice-Free Conditions for a Perennially Ice-Covered Antarctic Lake</t>
  </si>
  <si>
    <t>lake ice; cryosphere; McMurdo Dry Valleys; limnology; Antarctica</t>
  </si>
  <si>
    <t>MCMURDO DRY VALLEYS; CLIMATE; PHYTOPLANKTON; THICKNESS; DYNAMICS; BONNEY; ECOSYSTEMS; DEFICIENCY; IRRADIANCE; RADIATION</t>
  </si>
  <si>
    <t>Although perennially ice-covered Antarctic lakes have experienced variable ice thicknesses over the past several decades, future ice thickness trends and associated aquatic biological responses under projected global warming remain unknown. Heat stored in the water column in chemically stratified Antarctic lakes that have middepth temperature maxima can significantly influence the ice thickness trends via upward heat flux to the ice/water interface. We modeled the ice thickness of the west lobe of Lake Bonney, Antarctica, based on possible future climate scenarios utilizing a 1D thermodynamic model that accounts for surface radiative fluxes as well as the heat flux associated with the temperature evolution of the water column. Model results predict that the ice cover of Lake Bonney will shift from perennial to seasonal within one to four decades, a change that will drastically influence ecosystem processes within the lake.</t>
  </si>
  <si>
    <t>[Obryk, M. K.] US Geol Survey, Cascades Volcano Observ, Vancouver, WA 98683 USA; [Doran, P. T.] Louisiana State Univ, Dept Geol &amp; Geophys, Baton Rouge, LA 70803 USA; [Priscu, J. C.] Montana State Univ, Dept Land Resources &amp; Environm Sci, Bozeman, MT 59717 USA</t>
  </si>
  <si>
    <t>United States Department of the Interior; United States Geological Survey; Louisiana State University System; Louisiana State University; Montana State University System; Montana State University Bozeman</t>
  </si>
  <si>
    <t>Obryk, MK (corresponding author), US Geol Survey, Cascades Volcano Observ, Vancouver, WA 98683 USA.</t>
  </si>
  <si>
    <t>mobryk@usgs.gov</t>
  </si>
  <si>
    <t>Obryk, Maciej/0000-0002-8182-8656</t>
  </si>
  <si>
    <t>National Science Foundation (NSF) Office of Polar Programs (NSF) [1637708]; NSF; Office of Polar Programs (OPP); Directorate For Geosciences [1637708] Funding Source: National Science Foundation</t>
  </si>
  <si>
    <t>National Science Foundation (NSF) Office of Polar Programs (NSF); NSF(National Science Foundation (NSF)); Office of Polar Programs (OPP); Directorate For Geosciences(National Science Foundation (NSF)NSF - Directorate for Geosciences (GEO))</t>
  </si>
  <si>
    <t>This research was supported by the National Science Foundation (NSF) Office of Polar Programs (NSF grant 1637708). The data used are listed in the references and within the paper. Logistical support was provided by the U.S. Antarctic Program through funding from the NSF. We thank the MCM-LTER project personnel for collecting and processing meteorological and limnological data. We would like to thank Warwick Vincent, Christopher McKay, and one anonymous reviewer whose constructive comments significantly improved this work. Any use of trade, firm, or product names is for descriptive purposes only and does not imply endorsement by the U.S. Government.</t>
  </si>
  <si>
    <t>10.1029/2018JF004756</t>
  </si>
  <si>
    <t>WOS:000461856100021</t>
  </si>
  <si>
    <t>Sun, WW; Shi, BW; Xue, CH; Jiang, XM</t>
  </si>
  <si>
    <t>Sun, Weiwei; Shi, Bowen; Xue, Changhu; Jiang, Xiaoming</t>
  </si>
  <si>
    <t>The comparison of krill oil extracted through ethanol-hexane method and subcritical method</t>
  </si>
  <si>
    <t>FOOD SCIENCE &amp; NUTRITION</t>
  </si>
  <si>
    <t>astaxanthin; ethanol-hexane extraction; krill oil; phospholipid; subcritical extraction</t>
  </si>
  <si>
    <t>ANTARCTIC-KRILL; EUPHAUSIA-SUPERBA; SUPERCRITICAL CO2; FATTY-ACIDS; CAROTENOIDS; CHITOSAN; FLUORIDE; LIPIDS; MEAL</t>
  </si>
  <si>
    <t>This study aimed to develop a safe method EH (ethanol-hexane) to extract two kinds of krill oil (KO) simultaneously and analyze their composition. Meanwhile, subcritical butane and subcritical butane-dimethyl ether extraction were used to extract KO for analysis comparison. Folch method was used to extract total lipids. When the volume ratio of ethanol to hexane is 4:6, the separation effect of ethanol layer and hexane layer is best. At this condition, the EH method yielded similar amount of lipids (up to 97. 72% of total lipids) with subcritical butane extraction method (97.60%). The recovery rate of ethanol and hexane was 83.6% and 86.86%, respectively. KO in hexane layer and extracted by the subcritical butane method are abundant in astaxanthin (910 and 940 mg/kg respectively), while KO in the ethanol layer had the highest phospholipid (PL) content (47.34%), n-3 polyunsaturated fatty acids (PUFA) content (45.51%), and the lowest fluorine content (11.17 mu g/g), making it a potential candidate in the nutraceutical and antioxidant industry.</t>
  </si>
  <si>
    <t>[Sun, Weiwei; Shi, Bowen; Xue, Changhu; Jiang, Xiaoming] Ocean Univ China, Coll Food Sci &amp; Engn, Qingdao, Peoples R China; [Xue, Changhu] Qingdao Natl Lab Marine Sci &amp; Technol, Lab Marine Drugs &amp; Bioprod, Qingdao, Peoples R China</t>
  </si>
  <si>
    <t>Jiang, XM (corresponding author), Ocean Univ China, Yushan Rd, Qingdao, Peoples R China.</t>
  </si>
  <si>
    <t>jxm@ouc.edu.cn</t>
  </si>
  <si>
    <t>Jiang, Xiaoming/AES-5733-2022</t>
  </si>
  <si>
    <t>Jiang, Xiaoming/0000-0002-1444-6121</t>
  </si>
  <si>
    <t>National Natural Science Foundation of China</t>
  </si>
  <si>
    <t>2048-7177</t>
  </si>
  <si>
    <t>FOOD SCI NUTR</t>
  </si>
  <si>
    <t>Food Sci. Nutr.</t>
  </si>
  <si>
    <t>10.1002/fsn3.914</t>
  </si>
  <si>
    <t>HP3AD</t>
  </si>
  <si>
    <t>WOS:000461547100036</t>
  </si>
  <si>
    <t>Ortega, D; Alvarado, C; Muñoz, L; Kohler, H; Pineda, F; Páez, M; Sancy, M; Vejar, ND; Blamey, JM</t>
  </si>
  <si>
    <t>Ortega, Daniel; Alvarado, Claudia; Munoz, Lisa; Kohler, Hans; Pineda, Fabiola; Paez, Maritza; Sancy, Mamie; Vejar, Nelson D.; Blamey, Jenny M.</t>
  </si>
  <si>
    <t>Effect of a Bacterial Consortium on Passivation Property of 2024 Aluminum Alloy</t>
  </si>
  <si>
    <t>INTERNATIONAL JOURNAL OF ELECTROCHEMICAL SCIENCE</t>
  </si>
  <si>
    <t>Antarctica; aluminum alloy; 2024-T3; consortium; Bacillus toyonensis; Staphylococcus aureus</t>
  </si>
  <si>
    <t>ANODIC FILM FORMATION; CORROSION-INHIBITORS</t>
  </si>
  <si>
    <t>A bacterial consortium was recollected from corrosion products formed on a vertical fin of a military helicopter exposed to Antarctic environment for 4 years. For the identification and characterization of the consortium, DNA sequencing was performed showing that the consortium was mainly composed by three strains. Two of the strains showed a close affiliation to Bacillus toyonensis and Staphylococcus aureus. However, the third strain studied did not show affiliation by 16S rRNA analysis to any genus so far described. Additionally, morphological and electrochemical studies of an aluminum 2024-T3 alloy prior and after exposure to a sterile and inoculated minimal salt medium at 4 degrees C were carried out by using scanning electron microscope, open circuit potential and electrochemical impedance spectroscopy. The experimental results revealed that steady-state properties of the passive film were modified by the bacterial consortium and isolates.</t>
  </si>
  <si>
    <t>[Ortega, Daniel; Alvarado, Claudia; Vejar, Nelson D.] Acad Politecn Aeronaut, Fuerza Aerea Chile, Av Jose Miguel Carrera 11087, Santiago, Chile; [Munoz, Lisa; Paez, Maritza; Blamey, Jenny M.] Univ Santiago Chile, Fac Quim &amp; Biol, Estn Cent, Alameda 3363, Santiago, Chile; [Kohler, Hans; Blamey, Jenny M.] Fdn Biociencia, Jose Domingo Canas 2280, Santiago, Chile; [Pineda, Fabiola; Sancy, Mamie] Pontificia Univ Catolica Chile, Fac Ingn, Escuela Construcc Civil, Av Vicuna Mackenna 4860, Santiago, Chile</t>
  </si>
  <si>
    <t>Universidad de Santiago de Chile; Pontificia Universidad Catolica de Chile</t>
  </si>
  <si>
    <t>Blamey, JM (corresponding author), Univ Santiago Chile, Fac Quim &amp; Biol, Estn Cent, Alameda 3363, Santiago, Chile.;Blamey, JM (corresponding author), Fdn Biociencia, Jose Domingo Canas 2280, Santiago, Chile.</t>
  </si>
  <si>
    <t>jblamey@bioscience.cl</t>
  </si>
  <si>
    <t>Paez, Maritza/M-2010-2014; Sancy, Mamié/GYU-9241-2022; Vejar, Nelson Daniel/M-7784-2017; Blamey, Jenny M/M-2637-2014; Sancy, Mamie/L-6270-2014; Alvarado, Claudia/L-6852-2017</t>
  </si>
  <si>
    <t>Blamey, Jenny M/0000-0002-7640-316X; paez, maritza/0000-0001-5881-884X; munoz, lisa/0000-0002-4588-2620; Vejar, Nelson/0000-0002-9544-2199; Sancy, Mamie/0000-0001-9523-2629; Pineda, Fabiola/0000-0002-1508-7327; Alvarado, Claudia/0000-0003-2373-0359</t>
  </si>
  <si>
    <t>AFOSR [FA9550-14-1-0407]; PIA-Conicyt [ACT-1412]; Fondecyt [1160604, 11170419]</t>
  </si>
  <si>
    <t>AFOSR(United States Department of DefenseAir Force Office of Scientific Research (AFOSR)); PIA-Conicyt(Comision Nacional de Investigacion Cientifica y Tecnologica (CONICYT)); Fondecyt(Comision Nacional de Investigacion Cientifica y Tecnologica (CONICYT)CONICYT FONDECYT)</t>
  </si>
  <si>
    <t>The authors also would like to thank to the following agencies: AFOSR (Grant FA9550-14-1-0407), PIA-Conicyt (Grant ACT-1412), Fondecyt (Grant 1160604 and 11170419).</t>
  </si>
  <si>
    <t>ESG</t>
  </si>
  <si>
    <t>BELGRADE</t>
  </si>
  <si>
    <t>BORIVOJA STEVANOVICA 25-7, BELGRADE, 11000, SERBIA</t>
  </si>
  <si>
    <t>1452-3981</t>
  </si>
  <si>
    <t>INT J ELECTROCHEM SC</t>
  </si>
  <si>
    <t>Int. J. Electrochem. Sci.</t>
  </si>
  <si>
    <t>10.20964/2019.02.07</t>
  </si>
  <si>
    <t>Electrochemistry</t>
  </si>
  <si>
    <t>HO2PD</t>
  </si>
  <si>
    <t>WOS:000460756500067</t>
  </si>
  <si>
    <t>Feba, F; Ashok, K; Ravichandran, M</t>
  </si>
  <si>
    <t>Feba, F.; Ashok, K.; Ravichandran, M.</t>
  </si>
  <si>
    <t>Role of changed Indo-Pacific atmospheric circulation in the recent disconnect between the Indian summer monsoon and ENSO</t>
  </si>
  <si>
    <t>ENSO; Indian summer monsoon; Pacific surface winds; Decadal variability; Warm water volume; Wind circulation</t>
  </si>
  <si>
    <t>EL-NINO; EQUATORIAL PACIFIC; OCEAN DIPOLE; EAST-ASIA; RAINFALL; VARIABILITY; CLIMATE; IMPACT</t>
  </si>
  <si>
    <t>We explore the decadal variability of teleconnection from tropical Pacific to the Indian summer monsoon rainfall (ISMR) using various observational and Reanalysis datasets for the period 1958-2008. In confirmation with the earlier findings, we find that the interannual correlations between the various SST indices of ENSO and ISMR have continued to weaken. Interestingly, we find that even the robust lead correlations of the tropical pacific warm-water-volume with ISMR have weakened since late 1970s. Our analysis suggests that there is a relative intensification of the cross-equatorial flow from the southern hemisphere into the equatorial Indian Ocean associated with ISMR due to strenghtening of Mascarene High. Further, a shift in the surface wind circulation associated with monsoon over the northern pacific since late 1970s has resulted in a strenghtened cyclonic seasonal circulation south-east of Japan. These changed circulation features are a shift from the known circulation-signatures that efficiently teleconnect El Nino forcing to South Asia. These recent changes effectively weakened the teleconnection of the El Nino to ISMR.</t>
  </si>
  <si>
    <t>[Feba, F.; Ashok, K.] Univ Hyderabad, Ctr Earth &amp; Space Sci, Hyderabad, Andhra Pradesh, India; [Ravichandran, M.] Natl Ctr Antarctic &amp; Ocean Res, Vasco Da Gama, Goa, India</t>
  </si>
  <si>
    <t>University of Hyderabad; Ministry of Earth Sciences (MoES) - India; National Centre for Polar and Ocean Research (NCPOR)</t>
  </si>
  <si>
    <t>Feba, F (corresponding author), Univ Hyderabad, Ctr Earth &amp; Space Sci, Hyderabad, Andhra Pradesh, India.</t>
  </si>
  <si>
    <t>feba.cookie@gmail.com</t>
  </si>
  <si>
    <t>Francis, Feba/AAQ-1366-2021; Ravichandran, M./AAM-1351-2020; Francis, Feba/AAO-4921-2020</t>
  </si>
  <si>
    <t>Francis, Feba/0000-0002-1917-3679; Francis, Feba/0000-0002-1917-3679; Ashok, Karumuri/0000-0002-5937-8089</t>
  </si>
  <si>
    <t>Council of Scientific and Industrial Research (CSIR)</t>
  </si>
  <si>
    <t>Council of Scientific and Industrial Research (CSIR)(Council of Scientific &amp; Industrial Research (CSIR) - India)</t>
  </si>
  <si>
    <t>We express our sincere gratitude to Profs. In-Sik Kang and Raghu Murtugudde for their valuable suggestions and Dr. Michael McPhaden for his suggestions in improving this manuscript, at the CLIVAR-2016 conference. We also thank three unknown reviewers for their comments on an earlier version of the manuscript. Figures in this study were generated using the GrADs software from IGES/COLA, USA. For data manupulation, we used CDO of Max Planck Institute for Meteorology and NCL. We also acknowledge Council of Scientific and Industrial Research (CSIR) for the Junior Research Fellowship.</t>
  </si>
  <si>
    <t>10.1007/s00382-018-4207-2</t>
  </si>
  <si>
    <t>HO4OM</t>
  </si>
  <si>
    <t>WOS:000460902200010</t>
  </si>
  <si>
    <t>Uotila, P; Goosse, H; Haines, K; Chevallier, M; Barthélemy, A; Bricaud, C; Carton, J; Fuckar, N; Garric, G; Iovino, D; Kauker, F; Korhonen, M; Lien, VS; Marnela, M; Massonnet, F; Mignac, D; Peterson, KA; Sadikni, R; Shi, L; Tietsche, S; Toyoda, T; Xie, JP; Zhang, ZR</t>
  </si>
  <si>
    <t>Uotila, Petteri; Goosse, Hugues; Haines, Keith; Chevallier, Matthieu; Barthelemy, Antoine; Bricaud, Clement; Carton, Jim; Fuckar, Neven; Garric, Gilles; Iovino, Doroteaciro; Kauker, Frank; Korhonen, Meri; Lien, Vidar S.; Marnela, Marika; Massonnet, Francois; Mignac, Davi; Peterson, K. Andrew; Sadikni, Remon; Shi, Li; Tietsche, Steffen; Toyoda, Takahiro; Xie, Jiping; Zhang, Zhaoru</t>
  </si>
  <si>
    <t>An assessment of ten ocean reanalyses in the polar regions</t>
  </si>
  <si>
    <t>Oceanography; Reanalyses; Arctic; Antarctic; Sea-ice</t>
  </si>
  <si>
    <t>ANTARCTIC CIRCUMPOLAR CURRENT; SEA-ICE THICKNESS; LIQUID FRESH-WATER; MIXED-LAYER DEPTHS; SOUTHERN-OCEAN; ARCTIC-OCEAN; DATA ASSIMILATION; VOLUME TRANSPORT; HEAT TRANSPORTS; BOTTOM WATER</t>
  </si>
  <si>
    <t>Global and regional ocean and sea ice reanalysis products (ORAs) are increasingly used in polar research, but their quality remains to be systematically assessed. To address this, the Polar ORA Intercomparison Project (Polar ORA-IP) has been established following on from the ORA-IP project. Several aspects of ten selected ORAs in the Arctic and Antarctic were addressed by concentrating on comparing their mean states in terms of snow, sea ice, ocean transports and hydrography. Most polar diagnostics were carried out for the first time in such an extensive set of ORAs. For the multi-ORA mean state, we found that deviations from observations were typically smaller than individual ORA anomalies, often attributed to offsetting biases of individual ORAs. The ORA ensemble mean therefore appears to be a useful product and while knowing its main deficiencies and recognising its restrictions, it can be used to gain useful information on the physical state of the polar marine environment.</t>
  </si>
  <si>
    <t>[Uotila, Petteri] Univ Helsinki, Inst Atmospher &amp; Earth Syst Res INAR Phys, Helsinki, Finland; [Goosse, Hugues; Barthelemy, Antoine; Massonnet, Francois] Catholic Univ Louvain, Earth &amp; Life Inst, Louvain La Neuve, Belgium; [Haines, Keith; Mignac, Davi] Univ Reading, Reading, Berks, England; [Haines, Keith; Mignac, Davi] Natl Ctr Earth Observat, Reading, Berks, England; [Chevallier, Matthieu] Meteo France, Ctr Natl Rech Meteorol, CNRS, UMR3589, Toulouse, France; [Bricaud, Clement; Garric, Gilles] Mercator Ocean, Toulouse, France; [Carton, Jim] Univ Maryland, College Pk, MD 20742 USA; [Fuckar, Neven; Massonnet, Francois] Barcelona Supercomp Ctr, Barcelona, Spain; [Fuckar, Neven] Univ Oxford, Environm Change Inst, Oxford, England; [Iovino, Doroteaciro] Fdn Ctr Euromediterraneo Cambiamenti Climat, Bologna, Italy; [Kauker, Frank] Alfred Wegener Inst, Bremerhaven, Germany; [Korhonen, Meri; Marnela, Marika] Finnish Meteorol Inst, Helsinki, Finland; [Lien, Vidar S.] Inst Marine Res, Bergen, Norway; [Peterson, K. Andrew] Met Off, Exeter, Devon, England; [Sadikni, Remon] Univ Hamburg, Hamburg, Germany; [Shi, Li] Bur Meteorol, Melbourne, Vic, Australia; [Tietsche, Steffen] European Ctr Medium Range Weather Forecasts, Reading, Berks, England; [Toyoda, Takahiro] Japan Meteorol Agcy, Meteorol Res Inst, Tsukuba, Ibaraki, Japan; [Xie, Jiping] Nansen Environm &amp; Remote Sensing Ctr, Bergen, Norway; [Zhang, Zhaoru] Shanghai Jiao Tong Univ, Shanghai, Peoples R China</t>
  </si>
  <si>
    <t>University of Helsinki; Universite Catholique Louvain; University of Reading; UK Research &amp; Innovation (UKRI); Natural Environment Research Council (NERC); NERC National Centre for Earth Observation; Centre National de la Recherche Scientifique (CNRS); CNRS - National Institute for Earth Sciences &amp; Astronomy (INSU); Meteo France; University System of Maryland; University of Maryland College Park; Universitat Politecnica de Catalunya; Barcelona Supercomputer Center (BSC-CNS); University of Oxford; Centro Euro-Mediterraneo sui Cambiamenti Climatici (CMCC); Helmholtz Association; Alfred Wegener Institute, Helmholtz Centre for Polar &amp; Marine Research; Finnish Meteorological Institute; Institute of Marine Research - Norway; Met Office - UK; University of Hamburg; Bureau of Meteorology - Australia; European Centre for Medium-Range Weather Forecasts (ECMWF); Meteorological Research Institute - Japan; Japan Meteorological Agency; Nansen Environmental &amp; Remote Sensing Center (NERSC); Shanghai Jiao Tong University</t>
  </si>
  <si>
    <t>Uotila, P (corresponding author), Univ Helsinki, Inst Atmospher &amp; Earth Syst Res INAR Phys, Helsinki, Finland.</t>
  </si>
  <si>
    <t>petteri.uotila@helsinki.fi</t>
  </si>
  <si>
    <t>Lien, Vidar S/G-6368-2010; Iovino, Doroteaciro/E-9759-2015; Lien, Vidar/ABC-8580-2020; Uotila, Petteri/A-1703-2012; Korhonen, Meri/G-8466-2014; Peterson, K Andrew/HSE-9661-2023; carton, james/C-4807-2009; LIU, JIALIN/JXN-8034-2024; Massonnet, Francois/J-5315-2014; Garric, Gilles/O-9065-2016; Tietsche, Steffen/F-7633-2015</t>
  </si>
  <si>
    <t>Iovino, Doroteaciro/0000-0001-5132-7255; Uotila, Petteri/0000-0002-2939-7561; Peterson, K Andrew/0000-0002-9968-3539; carton, james/0000-0003-0598-5198; Lien, Vidar S./0000-0002-5737-8878; Xie, Jiping/0000-0002-8602-2774; Massonnet, Francois/0000-0002-4697-5781; Garric, Gilles/0000-0002-5385-710X; Tietsche, Steffen/0000-0002-2961-0289</t>
  </si>
  <si>
    <t>EU-COST [EOS-1402]; Finnish Academy [264358, 283034]; EU MCSA [707262-LAWINE]; European Union [727862 APPLICATE]; Spanish government; NERC [nceo020004, NE/R016518/1] Funding Source: UKRI; Academy of Finland (AKA) [264358, 283034] Funding Source: Academy of Finland (AKA)</t>
  </si>
  <si>
    <t>EU-COST(European Cooperation in Science and Technology (COST)); Finnish Academy(Research Council of Finland); EU MCSA(Marie Curie Actions); European Union(European Union (EU)); Spanish government(Spanish Government); NERC(UK Research &amp; Innovation (UKRI)Natural Environment Research Council (NERC)); Academy of Finland (AKA)(Research Council of Finland)</t>
  </si>
  <si>
    <t>We acknowledge Dr. Benjamin Rabe and the two anonymous reviewers for their comments that significantly improved the manuscript. EU-COST EOS-1402 Ocean Synthesis action is acknowledged for their support, in particular to assist the organisation of the Polar ORA-IP meetings, both physical and virtual, which were crucial for the study. Work of Uotila was supported by the Finnish Academy (Grants 264358 and 283034) and by the EU MCSA grant 707262-LAWINE. Chevallier, Fuckar, Haines and Massonnet have received funding from the European Union's Horizon 2020 Research and Innovation programme through Grant agreement No. 727862 APPLICATE. Fuckar was a Juan de la Cierva-incorporacion fellow supported by the Spanish government. Goosse is a research director and Massonnet a post-doctoral researcher with the FRS/FNRS, Belgium. The ORA and MMM data used in this study are provided by Hamburg University on the ORA-IP web-site at https://icdc.cen.uni-hamburg.de/1/daten/reanalysis-ocean/oraip.html.</t>
  </si>
  <si>
    <t>10.1007/s00382-018-4242-z</t>
  </si>
  <si>
    <t>WOS:000460902200019</t>
  </si>
  <si>
    <t>Raphael, MN; Holland, MM; Landrum, L; Hobbs, WR</t>
  </si>
  <si>
    <t>Raphael, Marilyn N.; Holland, Marika M.; Landrum, Laura; Hobbs, William R.</t>
  </si>
  <si>
    <t>Links between the Amundsen Sea Low and sea ice in the Ross Sea: seasonal and interannual relationships</t>
  </si>
  <si>
    <t>Cryosphere; Antarctic sea ice variability; Amundsen Sea Low; Sea ice-atmosphere interaction</t>
  </si>
  <si>
    <t>ANTARCTIC PENINSULA; OCEAN; VARIABILITY; CIRCULATION; CLIMATE; TRENDS</t>
  </si>
  <si>
    <t>Previous studies have shown that sea ice extent in the Southern Ocean is influenced by the intensity and location of the Amundsen Sea Low (ASL), through their effect on the meridional winds. However, the inhomogeneous nature of the influence of the ASL on sea ice as well as its influence during critical periods of the sea ice annual cycle is not clear. In this study, we do a spatio-temporal analysis of links between the ASL and the sea ice during the advance and retreat periods of the ice over the period 1979-2013 focusing on the role of the meridional and zonal winds. We use the ERA-Interim monthly-averaged 500mb geopotential height and 10m wind data along with monthly Passive Microwave Sea Ice Concentrations (SIC) to examine the seasonal and interannual relationships between the ASL and SIC in the Ross-Amundsen sea ice sector. To characterize the state of the ASL we use indices that describe its location and its intensity. We show that the ASL has preferred locations and intensities during ice advance and retreat seasons. The strength and direction of the influence of the ASL are not spatially homogeneous and can change from advance to retreat season and there are strong significant relationships between the characteristics of the ASL and SIC, within and across seasons and interannually.</t>
  </si>
  <si>
    <t>[Raphael, Marilyn N.] Univ Calif Los Angeles, Los Angeles, CA USA; [Holland, Marika M.; Landrum, Laura] Natl Ctr Atmospher Res, POB 3000, Boulder, CO 80307 USA; [Hobbs, William R.] Univ Tasmania, Antarctic Climate &amp; Ecosyst Cooperat Res Ctr, Hobart, Tas, Australia; [Hobbs, William R.] Australian Res Council, Ctr Excellence Climate Syst Sci, Hobart, Tas, Australia</t>
  </si>
  <si>
    <t>University of California System; University of California Los Angeles; National Center Atmospheric Research (NCAR) - USA; University of Tasmania; Antarctic Climate &amp; Ecosystems Cooperative Research Centre (ACE CRC)</t>
  </si>
  <si>
    <t>Raphael, MN (corresponding author), Univ Calif Los Angeles, Los Angeles, CA USA.</t>
  </si>
  <si>
    <t>raphael@geog.ucla.edu</t>
  </si>
  <si>
    <t>Hobbs, Will/P-8094-2019</t>
  </si>
  <si>
    <t>Hobbs, Will/0000-0002-2061-0899; Landrum, Laura/0000-0002-6003-1146; Holland, Marika/0000-0001-5621-8939</t>
  </si>
  <si>
    <t>Frontiers of Earth System Dynamics (FESD) grant from the U.S. National Science Foundation [1338814]; National Aeronautics and Space Administration (NASA) [1048926]; Division Of Ocean Sciences; Directorate For Geosciences [1338814] Funding Source: National Science Foundation</t>
  </si>
  <si>
    <t>Frontiers of Earth System Dynamics (FESD) grant from the U.S. National Science Foundation; National Aeronautics and Space Administration (NASA)(National Aeronautics &amp; Space Administration (NASA)); Division Of Ocean Sciences; Directorate For Geosciences(National Science Foundation (NSF)NSF - Directorate for Geosciences (GEO))</t>
  </si>
  <si>
    <t>We are grateful to J. Scott Hosking for making the ASL indices data available (https://legacy.bas.ac.uk/data/absl/) and to ECMWF for the provision of reanalysis fields (http://apps.ecmwf.int/datasets/data/interim-mdfa/) and to the U.S. National Snow and Ice Data Center for providing sea ice data (http://nsidc.org/data/docs/daac/nsidc0079_bootstrap_seaice.gd.html).MMH and LL acknowledge funding from the Frontiers of Earth System Dynamics (FESD) grant 1338814 from the U.S. National Science Foundation and from the National Aeronautics and Space Administration (NASA), grant #1048926.</t>
  </si>
  <si>
    <t>10.1007/s00382-018-4258-4</t>
  </si>
  <si>
    <t>WOS:000460902200060</t>
  </si>
  <si>
    <t>Descamps, S</t>
  </si>
  <si>
    <t>Descamps, Sebastien</t>
  </si>
  <si>
    <t>Breeding synchrony and predator specialization: A test of the predator swamping hypothesis in seabirds</t>
  </si>
  <si>
    <t>colonial seabird; functional response; hatching synchrony; stabilizing selection</t>
  </si>
  <si>
    <t>REPRODUCTIVE SUCCESS; ADAPTIVE VALUE; COMMON; BIRDS; SURVIVAL; ECOLOGY</t>
  </si>
  <si>
    <t>Reproductive synchrony is a widespread phenomenon that is predicted to be adaptive for prey with specialist predators but not for those with generalist ones. I tested this prediction in three polar seabird species characterized by different levels of predator specialization. In the Antarctic petrel, for which the only predator was highly specialized, hatching dates were highly synchronous and chicks that hatched close to the mean hatching date had a higher survival. In black-legged kittiwakes and Brunnich's guillemots, whose predators were generalists, breeding was less synchronous and there was no fitness advantage in hatching close to the mean. This study emphasizes the potential importance of the relative timing of reproduction for individual fitness and supports the hypothesis that the adaptive value of breeding synchrony depends on the predator functional response.</t>
  </si>
  <si>
    <t>[Descamps, Sebastien] Norwegian Polar Res Inst, Fram Ctr, Tromso, Norway</t>
  </si>
  <si>
    <t>Norwegian Polar Institute</t>
  </si>
  <si>
    <t>Descamps, S (corresponding author), Norwegian Polar Res Inst, Fram Ctr, Tromso, Norway.</t>
  </si>
  <si>
    <t>Sebastien.descamps@npolar.no</t>
  </si>
  <si>
    <t>MOSJ (Miljoovervaking Svalbard og Jan Mayen); Norwegian Research Council; SEAPOP</t>
  </si>
  <si>
    <t>MOSJ (Miljoovervaking Svalbard og Jan Mayen); Norwegian Research Council(Research Council of Norway); SEAPOP</t>
  </si>
  <si>
    <t>MOSJ (Miljoovervaking Svalbard og Jan Mayen); Norwegian Research Council, Grant/Award Number: NARE project (IceBird); SEAPOP (www.seapop.no)</t>
  </si>
  <si>
    <t>10.1002/ece3.4863</t>
  </si>
  <si>
    <t>HO7HL</t>
  </si>
  <si>
    <t>WOS:000461112200041</t>
  </si>
  <si>
    <t>Dharmalingam, S; Plougonven, R; Hertzog, A; Podglajen, A; Rennie, M; Isaksen, L; Kébir, S</t>
  </si>
  <si>
    <t>Dharmalingam, Selvaraj; Plougonven, Riwal; Hertzog, Albert; Podglajen, Aurelien; Rennie, Michael; Isaksen, Lars; Kebir, Selim</t>
  </si>
  <si>
    <t>Accuracy of Balloon Trajectory Forecasts in the Lower Stratosphere</t>
  </si>
  <si>
    <t>upper toposphere and lower stratosphere; balloons; trajectory; transport</t>
  </si>
  <si>
    <t>TROPICAL TROPOPAUSE LAYER; ANTARCTIC LOWER STRATOSPHERE; HOMOGENEOUS ICE NUCLEATION; WATER-VAPOR; LONG-DURATION; GRAVITY-WAVES; FLUCTUATIONS; TEMPERATURE; DEHYDRATION; TRANSPORT</t>
  </si>
  <si>
    <t>This paper investigates the accuracy of simulated long-duration super-pressure balloon trajectories in the lower stratosphere. The observed trajectories were made during the (tropical) Pre-Concordiasi and (polar) Concordiasi campaigns in 2010, while the simulated trajectories are computed using analyses and forecasts from the European Centre for Medium-Range Weather Forecasts (ECMWF) Integrated Forecast System model. In contrast with the polar stratosphere situation, modelling accurate winds in the tropical lower stratosphere remains challenging for numerical weather prediction systems. The accuracy of the simulated tropical trajectories are quantified with the operational products of 2010 and 2016 in order to understand the impact of model physics and vertical resolution improvements. The median errors in these trajectories are large (typically 250 km after 24 h), with a significant negative bias in longitude, for both model versions. In contrast, using analyses in which the balloon-borne winds have been assimilated reduces the median error in the balloon position after 24 h to approximate to 60 km. For future campaigns, we describe operational strategies that take advantage of the geographic distribution and the episodic nature of large error events to anticipate the amplitude of error in trajectory forecasts. We finally stress the importance of a high vertical resolution in the model, given the intense shears encountered in the tropical lower stratosphere.</t>
  </si>
  <si>
    <t>[Dharmalingam, Selvaraj; Plougonven, Riwal; Kebir, Selim] Ecole Polytech, IPSL, Lab Meteorol Dynam, F-91128 Palaiseau, France; [Hertzog, Albert] Sorbonne Univ, IPSL, Lab Meteorol Dynam, F-75232 Paris, France; [Podglajen, Aurelien] Forschungszentrum Julich, D-52425 Julich, Germany; [Rennie, Michael; Isaksen, Lars] European Ctr Medium Range Weather Forecasts ECMWF, Reading RG2 9AX, Berks, England; Meteo France, Direct Interreg Nord, F-59650 Villeneuve Dascq, France</t>
  </si>
  <si>
    <t>Institut Polytechnique de Paris; Sorbonne Universite; Universite Paris Cite; Universite Paris Cite; Sorbonne Universite; Helmholtz Association; Research Center Julich; European Centre for Medium-Range Weather Forecasts (ECMWF); Meteo France</t>
  </si>
  <si>
    <t>Dharmalingam, S; Plougonven, R (corresponding author), Ecole Polytech, IPSL, Lab Meteorol Dynam, F-91128 Palaiseau, France.</t>
  </si>
  <si>
    <t>selvarajnkl85@gmail.com; riwal.plougonven@lmd.polytechnique.fr; albert.hertzog@lmd.polytechnique.fr; a.podglajen@fz-juzlich.de; Michael.Rennie@ecmwf.int; Lars.Isaksen@ecmwf.int; selim.kebir.pro@gmail.com</t>
  </si>
  <si>
    <t>Dharmalingam, Selvaraj/AAB-7236-2020</t>
  </si>
  <si>
    <t>Dharmalingam, Selvaraj/0000-0003-3493-6184; Podglajen, Aurelien/0000-0001-9768-3511; Plougonven, Riwal/0000-0003-3310-8280</t>
  </si>
  <si>
    <t>ANR [ANR-17-CE01-0016-01]; BOOST3R; CNES; Meteo-France; CNRS/INSU; NSF; NCAR; University of Wyoming; Purdue University; University of Colorado; Alfred Wegener Institute; Met Office; ECMWF; Agence Nationale de la Recherche (ANR) [ANR-17-CE01-0016] Funding Source: Agence Nationale de la Recherche (ANR)</t>
  </si>
  <si>
    <t>ANR(Agence Nationale de la Recherche (ANR)); BOOST3R; CNES(Centre National D'etudes Spatiales); Meteo-France; CNRS/INSU(Centre National de la Recherche Scientifique (CNRS)); NSF(National Science Foundation (NSF)); NCAR(National Science Foundation (NSF)NSF - Directorate for Geosciences (GEO)); University of Wyoming; Purdue University; University of Colorado; Alfred Wegener Institute; Met Office; ECMWF; Agence Nationale de la Recherche (ANR)(Agence Nationale de la Recherche (ANR))</t>
  </si>
  <si>
    <t>This research has been conducted as part of the BOOST3R project (ANR-17-CE01-0016-01) funded by ANR. The post-doctoral fellowship of D.S. is funded by BOOST3R. The balloon campaigns of Concordiasi and Strateole-2 are international projects supported by the following agencies: CNES, Meteo-France, CNRS/INSU, NSF, NCAR, University of Wyoming, Purdue University, University of Colorado, the Alfred Wegener Institute, the Met Office, and ECMWF.</t>
  </si>
  <si>
    <t>10.3390/atmos10020102</t>
  </si>
  <si>
    <t>HO1UW</t>
  </si>
  <si>
    <t>WOS:000460697800062</t>
  </si>
  <si>
    <t>Ferrero, L; Sangiorgi, G; Perrone, MG; Rizzi, C; Cataldi, M; Markuszewski, P; Pakszys, P; Makuch, P; Petelski, T; Becagli, S; Traversi, R; Bolzacchini, E; Zielinski, T</t>
  </si>
  <si>
    <t>Ferrero, Luca; Sangiorgi, Giorgia; Perrone, Maria Grazia; Rizzi, Cristiana; Cataldi, Marco; Markuszewski, Piotr; Pakszys, Paulina; Makuch, Przemyslaw; Petelski, Tomasz; Becagli, Silvia; Traversi, Rita; Bolzacchini, Ezio; Zielinski, Tymon</t>
  </si>
  <si>
    <t>Chemical Composition of Aerosol over the Arctic Ocean from Summer ARctic EXpedition (AREX) 2011-2012 Cruises: Ions, Amines, Elemental Carbon, Organic Matter, Polycyclic Aromatic Hydrocarbons, n-Alkanes, Metals, and Rare Earth Elements</t>
  </si>
  <si>
    <t>aerosol; Arctic Ocean; inorganic ions; carboxylic acids; amines; elemental carbon; organic carbon; polycyclic aromatic hydrocarbon; n-alkanes; elements; Svalbard</t>
  </si>
  <si>
    <t>COASTAL ANTARCTIC AEROSOL; BOUNDARY-LAYER AEROSOL; DICARBOXYLIC-ACIDS; BLACK CARBON; ATMOSPHERIC AEROSOL; SIZE DISTRIBUTIONS; AIR-POLLUTION; SULFURIC-ACID; VERTICAL PROFILES; ALPHA-DICARBONYLS</t>
  </si>
  <si>
    <t>During the summers of 2011 and 2012, two scientific cruises were carried out over the Arctic Ocean aiming at the determination of the aerosol chemical composition in this pristine environment. First, mass spectrometry was applied to study the concentration and gas/particle partitioning of polycyclic aromatic hydrocarbons (PAHs) and n-alkanes. Experimental and modelled data of phase partitioning were compared: results demonstrated an equilibrium between gas and particle phase for PAHs, while n-alkanes showed a particle-oriented partitioning, due to the local marine origin of them, confirmed by the extremely low value of their carbon preference index. Moreover, the inorganic and organic ions (carboxylic acids and amines) concentrations, together with those of elemental carbon (EC) and organic matter (OM), were analyzed: 63% of aerosol was composed of ionic compounds (&gt;90% from sea-salt) and the OM content was very high (30.5%; close to 29.0% of Cl-) in agreement with n-alkanes' marine signature. Furthermore, the amines' (dimethylamine, trimethylamine, diethylamine) concentrations were 3.98 +/- 1.21, 1.70 +/- 0.82, and 1.06 +/- 0.56 p.p.t.v., respectively, fully in keeping with concentration values used in the CLOUD (Cosmics Leaving OUtdoor Droplet)-chamber experiments to simulate the ambient nucleation rate in a H2SO4-DMA-H2O system, showing the amines' importance in polar regions to promote new particle formation. Finally, high resolution mass spectrometry was applied to determine trace elements, including Rare Earth Elements (REEs), highlighting the dominant natural versus anthropic inputs for trace metals (e.g., Fe, Mn, Ti vs. As, Cd, Ni) and possible signatures of such anthropic activity.</t>
  </si>
  <si>
    <t>[Ferrero, Luca; Sangiorgi, Giorgia; Perrone, Maria Grazia; Rizzi, Cristiana; Cataldi, Marco; Bolzacchini, Ezio] Univ Milano Bicocca, Dept Earth &amp; Environm Sci, GEMMA &amp; POLARIS Res Ctr, I-20126 Milan, Italy; [Sangiorgi, Giorgia] UL Italy, Via Europa 28, I-22060 Cabiate, Italy; [Perrone, Maria Grazia] TCR Tecora, Via Primule 16, I-20815 Cogliate, Italy; [Markuszewski, Piotr; Pakszys, Paulina; Makuch, Przemyslaw; Petelski, Tomasz; Zielinski, Tymon] Polish Acad Sci, Inst Oceanol, PL-81712 Sopot, Poland; [Becagli, Silvia; Traversi, Rita] Univ Florence, Dept Chem, Via Lastruccia 3, I-50019 Florence, Italy</t>
  </si>
  <si>
    <t>University of Milano-Bicocca; Polish Academy of Sciences; Institute of Oceanology of the Polish Academy of Sciences; University of Florence</t>
  </si>
  <si>
    <t>Ferrero, L (corresponding author), Univ Milano Bicocca, Dept Earth &amp; Environm Sci, GEMMA &amp; POLARIS Res Ctr, I-20126 Milan, Italy.</t>
  </si>
  <si>
    <t>luca.ferrero@unimib.it; giorgixi@gmail.com; mariagrazia.perrone@gmail.com; c.rizzi8@campus.unimib.it; m.cataldi@campus.unimib.it; pmarkusz@iopan.pl; pakszys@iopan.gda.pl; makuch@iopan.pl; petelski@iopan.gda.pl; silvia.becagli@unifi.it; rita.traversi@unifi.it; ezio.bolzacchini@unimib.it; tymon@iopan.pl</t>
  </si>
  <si>
    <t>Becagli, Silvia/GNW-2665-2022; Pakszys, Paulina/V-5150-2017; Markuszewski, Piotr/F-8278-2014; Sangiorgi, Giuseppe M/H-5141-2019; Traversi, Rita/M-7586-2015</t>
  </si>
  <si>
    <t>Pakszys, Paulina/0000-0001-6098-8215; Markuszewski, Piotr/0000-0003-1160-6318; Sangiorgi, Giuseppe M/0000-0001-5862-1967; Petelski, Tomasz/0000-0001-6125-5689; Rizzi, Cristiana/0000-0003-4390-6104; Sangiorgi, Gabriela/0000-0003-2229-4903; Zielinski, Tymon/0000-0003-4712-8899; Makuch, Przemyslaw/0000-0001-9132-1990; Ferrero, Luca/0000-0003-0777-2647</t>
  </si>
  <si>
    <t>CAMS project under the Regulation (EU) of the European Parliament [377/2014]</t>
  </si>
  <si>
    <t>CAMS project under the Regulation (EU) of the European Parliament</t>
  </si>
  <si>
    <t>This paper is an output of GEMMA center in the framework of Project-MIUR Dipartimenti di Eccellenza 2018-2022. We acknowledge CAMS project, funded under the Regulation (EU) No 377/2014 of the European Parliament and of the Council of April 3, 2014, establishing the Copernicus Programme (the Copernicus Regulation), and operated by ECMWF under an agreement with the European Commission dated November 11, 2014 (ECMWF Agreement), for provided data. We kindly acknowledge Prof. Roberto Udisti that, even though retired, gave his contribution allowing us to start this international cooperation and related measurements.</t>
  </si>
  <si>
    <t>10.3390/atmos10020054</t>
  </si>
  <si>
    <t>WOS:000460697800014</t>
  </si>
  <si>
    <t>Oh, C; Lee, JH; Woo, J; Lee, JI</t>
  </si>
  <si>
    <t>Oh, Changhwan; Lee, Jae Hyuk; Woo, Jusun; Lee, Jong Ik</t>
  </si>
  <si>
    <t>New occurrence of Triassic gymnosperm wood at the Ricker Hills, southern Victoria Land, Antarctica</t>
  </si>
  <si>
    <t>REVIEW OF PALAEOBOTANY AND PALYNOLOGY</t>
  </si>
  <si>
    <t>Corystospermales; Fossil wood; Kykloxylon; Agathoxylon; Beacon Supergroup</t>
  </si>
  <si>
    <t>CONIFER; AFFINITIES; GEOLOGY; REGION; MAWSON</t>
  </si>
  <si>
    <t>During the 2016 Antarctic summer season, the fourth Korea Antarctic Geological Expedition (KAGEX IV) investigated the Ricker Hills in southern Victoria Land, Antarctica and collected 33 specimens of fossil wood from an outcrop of Triassic Beacon sandstone in a small basin, Ricker Hills area. Based on anatomical features, four specimens can be identified as belonging to the seed-fern wood Kykloxylon sp. (Corystospermales). A specimen is identified as Agathoxylon sp. and it is the first report of the genus from the Triassic deposits in Victoria Land, Antarctica. We are able to reconfirm that corystosperm trees were a dominant component of the Triassic forest vegetation in Antarctica, with minor occurrences of Agathoxylon trees of yet uncertain affinities from those results. In addition, the new occurrence of Agathoxylon at the Ricker Hills also shows us that there is still a shortage of fossil wood studies in Victoria Land. (C) 2018 Elsevier B.V. All rights reserved.</t>
  </si>
  <si>
    <t>[Oh, Changhwan] Chungbuk Natl Univ, Dept Earth &amp; Environm Sci, 1 Chundgae Ro, Cheongju 28644, Chungbuk, South Korea; [Oh, Changhwan; Woo, Jusun; Lee, Jong Ik] Korea Polar Res Inst, Div Polar Earth Syst Sci, Incheon 21990, South Korea; [Lee, Jae Hyuk] Gyeongsang Natl Univ, Dept Geol, Jinja 52828, South Korea</t>
  </si>
  <si>
    <t>Chungbuk National University; Korea Polar Research Institute (KOPRI); Gyeongsang National University</t>
  </si>
  <si>
    <t>Oh, C (corresponding author), Chungbuk Natl Univ, Dept Earth &amp; Environm Sci, 1 Chundgae Ro, Cheongju 28644, Chungbuk, South Korea.</t>
  </si>
  <si>
    <t>bluemirine@gmail.com; dooi32@gnu.ac.kr; jusunwoo@kopri.re.kr; jilee@kopri.re.kr</t>
  </si>
  <si>
    <t>Ministry of Ocean and Fisheries, KOREA [20140409]</t>
  </si>
  <si>
    <t>Ministry of Ocean and Fisheries, KOREA</t>
  </si>
  <si>
    <t>We thank Mr. Myoung-ho Seo for his kind and reliable assistance during the field work. We would like to appreciate to Dr. Marc Philippe and Dr. Benjamin Bomfieur for their very helpful advises and suggestions. We thank two anonymous referees for their kind and constructive reviews. This research is a part of the project Crustal evolution of Victoria land, Antarctica and formative process of planets (20140409) funded by the Ministry of Ocean and Fisheries, KOREA.</t>
  </si>
  <si>
    <t>0034-6667</t>
  </si>
  <si>
    <t>1879-0615</t>
  </si>
  <si>
    <t>REV PALAEOBOT PALYNO</t>
  </si>
  <si>
    <t>Rev. Palaeobot. Palynology</t>
  </si>
  <si>
    <t>10.1016/j.revpalbo.2018.11.006</t>
  </si>
  <si>
    <t>Plant Sciences; Paleontology</t>
  </si>
  <si>
    <t>HO1ZW</t>
  </si>
  <si>
    <t>WOS:000460712200009</t>
  </si>
  <si>
    <t>Yang, QW; Gao, C; Jiang, Y; Wang, M; Zhou, XH; Shao, HB; Gong, Z; McMinn, A</t>
  </si>
  <si>
    <t>Yang, Qingwei; Gao, Chen; Jiang, Yong; Wang, Min; Zhou, Xinhao; Shao, Hongbing; Gong, Zheng; McMinn, Andrew</t>
  </si>
  <si>
    <t>Metagenomic Characterization of the Viral Community of the South Scotia Ridge</t>
  </si>
  <si>
    <t>VIRUSES-BASEL</t>
  </si>
  <si>
    <t>virus; South Scotia Ridge; viral community; diversity; Pgvv-like</t>
  </si>
  <si>
    <t>MAJOR-CAPSID-PROTEIN; NORTHERN WEDDELL SEA; 16S RIBOSOMAL-RNA; MARINE VIRUSES; SPATIAL-DISTRIBUTION; READ ALIGNMENT; DIVERSITY; MORTALITY; BACTERIA; GENOME</t>
  </si>
  <si>
    <t>Viruses are the most abundant biological entities in aquatic ecosystems and harbor an enormous amount of genetic diversity. Whereas their influence on marine ecosystems is widely acknowledged, current information about their diversity remains limited. We conducted a viral metagenomic analysis of water samples collected during the austral summer of 2016 from the South Scotia Ridge (SSR), near the Antarctic Peninsula. The taxonomic composition and diversity of the viral communities were investigated, and a functional assessment of the sequences was performed. Phylotypic analysis showed that most viruses belonged to the order Caudovirales, especially the family Podoviridae (41.92-48.7%), which is similar to the situation in the Pacific Ocean. Functional analysis revealed a relatively high frequency of phage-associated and metabolism genes. Phylogenetic analyses of phage TerL and Capsid_NCLDV (nucleocytoplasmic large DNA viruses) marker genes indicated that many sequences associated with Caudovirales and NCLDV were novel and distinct from known phage genomes. High Phaeocystis globosa virus virophage (Pgvv) signatures were found and complete and partial Pgvv-like were obtained, which influence host-virus interactions. Our study expands existing knowledge of viral communities and their diversities from the Antarctic region and provides basic data for further exploring polar microbiomes.</t>
  </si>
  <si>
    <t>[Yang, Qingwei; Gao, Chen; Jiang, Yong; Wang, Min; Zhou, Xinhao; Shao, Hongbing; Gong, Zheng; McMinn, Andrew] Ocean Univ China, Coll Marine Life Sci, Qingdao 266003, Peoples R China; [Jiang, Yong; Wang, Min] Ocean Univ China, Key Lab Polar Oceanog &amp; Global Ocean Change, Qingdao 266003, Peoples R China; [Jiang, Yong; Wang, Min] Ocean Univ China, Inst Evolut &amp; Marine Biodivers, Qingdao 266003, Peoples R China; [McMinn, Andrew] Univ Tasmania, Inst Marine &amp; Antarctic Studies, Hobart, Tas 7001, Australia</t>
  </si>
  <si>
    <t>Jiang, Y; Wang, M (corresponding author), Ocean Univ China, Coll Marine Life Sci, Qingdao 266003, Peoples R China.;Jiang, Y; Wang, M (corresponding author), Ocean Univ China, Key Lab Polar Oceanog &amp; Global Ocean Change, Qingdao 266003, Peoples R China.;Jiang, Y; Wang, M (corresponding author), Ocean Univ China, Inst Evolut &amp; Marine Biodivers, Qingdao 266003, Peoples R China.</t>
  </si>
  <si>
    <t>foodyqw_12@163.com; gaochen@stu.ouc.edu.cn; yongjiang@ouc.edu.cn; mingwang@ouc.edu.cn; piglet.naruto@gmail.com; hbshao@ouc.edu.cn; gongzheng-1991@163.com; yangqingwei@stu.ouc.edu.cn</t>
  </si>
  <si>
    <t>McMinn, Andrew/A-9910-2008; Gao, Chen/AAT-5126-2021; Wang, Min/AFR-9645-2022; Jiang, Yong/AGK-3016-2022</t>
  </si>
  <si>
    <t>Gao, Chen/0000-0001-9892-7928; Wang, Min/0000-0002-2357-589X; Jiang, Yong/0000-0002-4072-1668; Jiang, Yong/0000-0001-6055-488X; Yang, Qingwei/0000-0001-6135-9269; McMinn, Andrew/0000-0002-2133-3854</t>
  </si>
  <si>
    <t>National Natural Science Foundation of China [41676178, 41076088, 31500339]; National Key Research and Development Program of China [2017YFA0603200]; Scientific and Technological Innovation Project - Qingdao National Laboratory for Marine Science and Technology [2016ASKJ14]; Fundamental Research Funds from the Central University of Ocean University of China [201812002, 201762017, 201562018]</t>
  </si>
  <si>
    <t>National Natural Science Foundation of China(National Natural Science Foundation of China (NSFC)); National Key Research and Development Program of China; Scientific and Technological Innovation Project - Qingdao National Laboratory for Marine Science and Technology; Fundamental Research Funds from the Central University of Ocean University of China</t>
  </si>
  <si>
    <t>We are grateful for the funding from the National Natural Science Foundation of China (Nos. 41676178, 41076088, and 31500339), National Key Research and Development Program of China (2017YFA0603200), Scientific and Technological Innovation Project Financially Supported by Qingdao National Laboratory for Marine Science and Technology (No. 2016ASKJ14), and Fundamental Research Funds from the Central University of Ocean University of China (Grant Nos. 201812002, 201762017, 201562018).</t>
  </si>
  <si>
    <t>1999-4915</t>
  </si>
  <si>
    <t>Viruses-Basel</t>
  </si>
  <si>
    <t>10.3390/v11020095</t>
  </si>
  <si>
    <t>Virology</t>
  </si>
  <si>
    <t>HO3EW</t>
  </si>
  <si>
    <t>WOS:000460803200005</t>
  </si>
  <si>
    <t>Yau, S; Seth-Pasricha, M</t>
  </si>
  <si>
    <t>Yau, Sheree; Seth-Pasricha, Mansha</t>
  </si>
  <si>
    <t>Viruses of Polar Aquatic Environments</t>
  </si>
  <si>
    <t>arctic; antarctica; viruses; freshwater; saline; DNA viruses; RNA viruses; polar regions</t>
  </si>
  <si>
    <t>ARCTIC-OCEAN; SUMMER BACTERIOPLANKTON; MICROBIAL ECOLOGY; ANNUAL CYCLE; RNA VIRUSES; ACE LAKE; SEA-ICE; PENINSULA; DIVERSITY; COMMUNITY</t>
  </si>
  <si>
    <t>The poles constitute 14% of the Earth's biosphere: The aquatic Arctic surrounded by land in the north, and the frozen Antarctic continent surrounded by the Southern Ocean. In spite of an extremely cold climate in addition to varied topographies, the polar aquatic regions are teeming with microbial life. Even in sub-glacial regions, cellular life has adapted to these extreme environments where perhaps there are traces of early microbes on Earth. As grazing by macrofauna is limited in most of these polar regions, viruses are being recognized for their role as important agents of mortality, thereby influencing the biogeochemical cycling of nutrients that, in turn, impact community dynamics at seasonal and spatial scales. Here, we review the viral diversity in aquatic polar regions that has been discovered in the last decade, most of which has been revealed by advances in genomics-enabled technologies, and we reflect on the vast extent of the still-to-be explored polar microbial diversity and its enigmatic virosphere.</t>
  </si>
  <si>
    <t>[Yau, Sheree] Sorbonne Univ, Integrat Marine Biol Lab BIOM, CNRS, UMR7232, F-66650 Banyuls Sur Mer, France; [Seth-Pasricha, Mansha] Rutgers State Univ, Inst Earth Ocean &amp; Atmospher Sci, New Brunswick, NJ 08901 USA; [Seth-Pasricha, Mansha] Rutgers State Univ, Dept Ecol Evolut &amp; Nat Resources, New Brunswick, NJ 08901 USA</t>
  </si>
  <si>
    <t>Sorbonne Universite; Centre National de la Recherche Scientifique (CNRS); CNRS - National Institute for Biology (INSB); Rutgers University System; Rutgers University New Brunswick; Rutgers University System; Rutgers University New Brunswick</t>
  </si>
  <si>
    <t>Seth-Pasricha, M (corresponding author), Rutgers State Univ, Inst Earth Ocean &amp; Atmospher Sci, New Brunswick, NJ 08901 USA.;Seth-Pasricha, M (corresponding author), Rutgers State Univ, Dept Ecol Evolut &amp; Nat Resources, New Brunswick, NJ 08901 USA.</t>
  </si>
  <si>
    <t>sheeyau@gmail.com; mansha@sebs.rutgers.edu</t>
  </si>
  <si>
    <t>Yau, Sheree/AAX-9078-2021</t>
  </si>
  <si>
    <t>Yau, Sheree/0000-0003-1878-132X</t>
  </si>
  <si>
    <t>Department of Ecology, Evolution, and Natural Resounces; Institute of Earth, Ocean, and Atmospheric Sciences, Rutgers University</t>
  </si>
  <si>
    <t>This work was funded by the Department of Ecology, Evolution, and Natural Resounces and the Institute of Earth, Ocean, and Atmospheric Sciences, Rutgers University.</t>
  </si>
  <si>
    <t>10.3390/v11020189</t>
  </si>
  <si>
    <t>WOS:000460803200099</t>
  </si>
  <si>
    <t>Bozóki, T; Czelnai, L; Horicsányi, A; Nyerges, A; Pál, A; Pálfy, J; Vincze, M</t>
  </si>
  <si>
    <t>Bozoki, Tamas; Czelnai, Levente; Horicsanyi, Attila; Nyerges, Anita; Pal, Andras; Palfy, Jozsef; Vincze, Miklos</t>
  </si>
  <si>
    <t>Large-scale ocean circulation in the Southern Hemisphere with closed and open Drake Passage - A laboratory minimal model approach</t>
  </si>
  <si>
    <t>Conference on Mathematical Aspects of Physical Oceanography</t>
  </si>
  <si>
    <t>JAN 22-MAR 23, 2018</t>
  </si>
  <si>
    <t>Erwin Schrodinger Inst Math &amp; Phys, Vienna, AUSTRIA</t>
  </si>
  <si>
    <t>Erwin Schrodinger Inst Math &amp; Phys</t>
  </si>
  <si>
    <t>Drake Passage; Eocene-Oligocene transition; Laboratory experiments; Antarctic Circumpolar Current; Large-scale ocean circulation; Southern Ocean</t>
  </si>
  <si>
    <t>ANTARCTIC GLACIATION; THERMAL-CONVECTION; ROTATING ANNULUS; EVOLUTION; PRODUCTIVITY; VARIABILITY; OLIGOCENE; CLIMATE; IMPACT; EOCENE</t>
  </si>
  <si>
    <t>We report on a laboratory model of the large-scale flow phenomena in the Southern Ocean with a closed Drake Passage, imitating the situation before the Eocene-Oligocene transition (ROT) ca. 34 million years ago. In a differentially heated rotating annular wave tank an insulating 'meridional' barrier is installed to block zonal circulation. The obtained temperature fields and time series are compared to the ones from control runs with partially blocked and fully opened 'passages'. In the 'closed' case a persistent azimuthal temperature gradient emerges whose magnitude scales linearly with the 'meridional' temperature contrast. The anomalous temperature distribution is accompanied with perturbations of the background flow yielding significantly larger low frequency variability than in the 'opened' configuration. The experimental findings have implications to the EOT but at present validation of results is hindered by the lack of deep-sea drilling data from the Southeast Pacific and adjacent parts of the Southern Ocean. Our model may inspire further paleoceanographic research in this largely unexplored region.</t>
  </si>
  <si>
    <t>[Bozoki, Tamas; Czelnai, Levente; Horicsanyi, Attila; Vincze, Miklos] Eotvos Lorand Univ, von Karman Lab Environm Flows, Pazmany P Setany 1-A, H-1117 Budapest, Hungary; [Bozoki, Tamas] MTA Res Ctr Astron &amp; Earth Sci, Geodet &amp; Geophys Inst, Csatkai Endre Utca 6-8, H-9400 Sopron, Hungary; [Nyerges, Anita; Palfy, Jozsef] Eotvos Lorand Univ, Dept Phys &amp; Appl Geol, Pazmany P Setany 1-C, H-1117 Budapest, Hungary; [Pal, Andras] MTA Res Ctr Astron &amp; Earth Sci, Konkoly Observ, Konkoly Thege Miklos Ut 15-17, H-1121 Budapest, Hungary; [Palfy, Jozsef] MTA MTM ELTE Res Grp Paleontol, POB 137, H-1431 Budapest, Hungary; [Vincze, Miklos] MTA ELTE Theoret Phys Res Grp, Pazmany P Setany 1-A, H-1117 Budapest, Hungary</t>
  </si>
  <si>
    <t>Eotvos Lorand University; Hungarian Research Network; Hungarian Academy of Sciences; HUN-REN Research Centre for Astronomy &amp; Earth Sciences; Eotvos Lorand University; Hungarian Research Network; Hungarian Academy of Sciences; HUN-REN Research Centre for Astronomy &amp; Earth Sciences; Hungarian Research Network; Office for Supported Research Groups (ELKH)</t>
  </si>
  <si>
    <t>Vincze, M (corresponding author), MTA ELTE Theoret Phys Res Grp, Pazmany P Setany 1-A, H-1117 Budapest, Hungary.</t>
  </si>
  <si>
    <t>mvincze@general.elte.hu</t>
  </si>
  <si>
    <t>Palfy, Jozsef/A-3908-2009; Bozoki, Tamas/AAK-3149-2021</t>
  </si>
  <si>
    <t>Palfy, Jozsef/0000-0001-9686-1849; Bozoki, Tamas/0000-0002-1672-1510</t>
  </si>
  <si>
    <t>Janos Bolyai Research Scholarship; Hungarian Academy of Sciences [LP2012-31]; National Research, Development and Innovation Office (NKFIH) [FK125024, K125171]</t>
  </si>
  <si>
    <t>Janos Bolyai Research Scholarship(Hungarian Academy of Sciences); Hungarian Academy of Sciences(Hungarian Academy of Sciences); National Research, Development and Innovation Office (NKFIH)</t>
  </si>
  <si>
    <t>We are thankful for the fruitful discussions with T. Haszpra, M. Herein, I. Janosi, B. Kaszas, and T. Tel. Helpful and constructive criticism of two anonymous reviewers led to a significantly improved manuscript. This paper was supported by the Janos Bolyai Research Scholarship and by the LP2012-31 Lendulet grant of the Hungarian Academy of Sciences and also by the National Research, Development and Innovation Office (NKFIH) under Grants FK125024, and K125171. This is MTA-MTM-ELTE Paleo contribution No. 274.</t>
  </si>
  <si>
    <t>10.1016/j.dsr2.2019.01.005</t>
  </si>
  <si>
    <t>HO3LX</t>
  </si>
  <si>
    <t>WOS:000460825500004</t>
  </si>
  <si>
    <t>Johnson, RS</t>
  </si>
  <si>
    <t>Johnson, R. S.</t>
  </si>
  <si>
    <t>Some problems in physical oceanography (including the use of rotating spherical coordinates) treated as exercises in classical fluid mechanics: Methods and examples</t>
  </si>
  <si>
    <t>Physical oceanography; Fluid mechanics; Spherical coordinates; Asymptotic methods; Nonlinearity; Three-dimensionality; EUC; ACC; Gyres</t>
  </si>
  <si>
    <t>CIRCUMPOLAR CURRENT</t>
  </si>
  <si>
    <t>The ideas and methods typically associated with classical fluid mechanics are briefly introduced and then applied to some problems in physical oceanography. The main thrust is to show that this approach is surprisingly successful, avoiding the need to invoke any modelling (based, for example, on physical principles without an accompanying derivation) or to implement numerical methods. The governing equations in a spherical, rotating coordinate system are presented, together with a suitable non-dimensionalisation, leading to a discussion of the available asymptotic approximations. The tangent plane, and f- and beta-plane approximations, are also mentioned. A number of examples (inviscid), taken from the recent literature, are described, with the emphasis on the formulation and methods employed. The first, used as an introduction to the ideas, is based on the beta-plane approximation and describes the slow evolution of the flow along the Pacific Equator (the EUC); a fully three-dimensional, nonlinear flow structure is constructed. The next pair of examples (which are quite closely related) are exact solutions of the full set of governing equations; one relates to the velocity profile typical of the EUC, and the other to the jet-like flow structures that contribute to the Antarctic Circumpolar Current. The final example shows how a theory for (nonlinear) large gyres, rotating in the thin ocean layer on the surface of a sphere, can be constructed. A few general comments and observations are made in conclusion.</t>
  </si>
  <si>
    <t>[Johnson, R. S.] Newcastle Univ, Sch Math Stat &amp; Phys, Newcastle Upon Tyne, Tyne &amp; Wear, England</t>
  </si>
  <si>
    <t>Newcastle University - UK</t>
  </si>
  <si>
    <t>Johnson, RS (corresponding author), Newcastle Univ, Sch Math Stat &amp; Phys, Newcastle Upon Tyne, Tyne &amp; Wear, England.</t>
  </si>
  <si>
    <t>R.S.Johnson@ncl.ac.uk</t>
  </si>
  <si>
    <t>10.1016/j.dsr2.2018.08.010</t>
  </si>
  <si>
    <t>WOS:000460825500008</t>
  </si>
  <si>
    <t>The Antarctic Circumpolar Current as a shallow-water asymptotic solution of Euler's equation in spherical coordinates</t>
  </si>
  <si>
    <t>PURELY AZIMUTHAL FLOW; STEADY; WAVES; EXISTENCE; MODEL</t>
  </si>
  <si>
    <t>We develop a consistent shallow-water approximation of the incompressible Euler equation in a rotating frame in spherical coordinates, coupled with the appropriate boundary conditions, as a model for the flow of the Antarctic Circumpolar Current. By means of the stereographic projection we come to the boundary value problem for a semilinear elliptic partial differential equation, coupled with the Dirichet or Neumann conditions on the boundary of the considered domain. For recent progress in direction of study of the above mentioned problems we refer to Marynets (2018a, 2018b, 2018c).</t>
  </si>
  <si>
    <t>[Marynets, Kateryna] Univ Vienna, Fac Math, Oskar Morgenstern Pl 1, A-1090 Vienna, Austria</t>
  </si>
  <si>
    <t>University of Vienna</t>
  </si>
  <si>
    <t>Marynets, K (corresponding author), Univ Vienna, Fac Math, Oskar Morgenstern Pl 1, A-1090 Vienna, Austria.</t>
  </si>
  <si>
    <t>kateryna.marynets@univie.ac.at</t>
  </si>
  <si>
    <t>WWTF, Austria grant [MA16-009]</t>
  </si>
  <si>
    <t>WWTF, Austria grant</t>
  </si>
  <si>
    <t>The support of the WWTF, Austria grant MA16-009 is acknowledged. The author is grateful for contributed comments made by the referees.</t>
  </si>
  <si>
    <t>10.1016/j.dsr2.2018.11.014</t>
  </si>
  <si>
    <t>WOS:000460825500009</t>
  </si>
  <si>
    <t>Wahiduzzaman, M; Oliver, ECJ; Klotzbach, PJ; Wotherspoon, SJ; Holbrook, NJ</t>
  </si>
  <si>
    <t>Wahiduzzaman, Md; Oliver, Eric C. J.; Klotzbach, Philip J.; Wotherspoon, Simon J.; Holbrook, Neil J.</t>
  </si>
  <si>
    <t>A statistical seasonal forecast model of North Indian Ocean tropical cyclones using the quasi-biennial oscillation</t>
  </si>
  <si>
    <t>landfall; North Indian Ocean; quasi-biennial oscillation; statistical modelling; tropical cyclone genesis; tropical cyclone trajectories</t>
  </si>
  <si>
    <t>BANDWIDTH SELECTION; HURRICANE FREQUENCY; ATLANTIC; TRACK; BENGAL; BAY; PREDICTION; SIMULATION; PACIFIC; STORM</t>
  </si>
  <si>
    <t>Previous studies have shown that the skill of seasonal forecasts of tropical cyclone (TC) activity over the North Indian Ocean (NIO) tends to be poor. This paper investigates the forecast potential of TC formation, trajectories and points of landfall in the NIO region using an index of the stratospheric quasi-biennial oscillation (QBO) as the predictor variable in a new statistical seasonal forecast model. Genesis was modelled by kernel density estimation, tracks were fitted using a generalized additive model (GAM) approach with an Euler integration step, and landfall location was estimated using a country mask. The model was trained on 30years of TC observations (1980-2009) from the Joint Typhoon Warning Center and the QBO index at lags from 0 to 6 months. Over this time period, and within each season and QBO phase, the kernel density estimator modelled the distribution of genesis points, and the cyclone trajectories were then fit by the GAM along the observed cyclone tracks as smooth functions of location. Trajectories were simulated from randomly selected genesis points in the kernel density estimates. Ensembles of cyclone paths were traced, taking account of random innovations every 6-hr along the GAM-fitted velocity fields, to determine the points of landfall. Lead-lag analysis was used to assess the best predictor timescales for TC forecast potential. We found that the best model utilized the QBO index with a 3-month lead. Two hindcast validation methods were applied. First, leave-one-out cross-validation was performed where the country of landfall was decided by the majority vote of the simulated tracks. Second, the distances between the landfall locations in the observations and simulations were calculated. Application of seasonal forecast analysis further indicated that including information on the state of the QBO has the potential to improve the skill of TC seasonal forecasts in the NIO region.</t>
  </si>
  <si>
    <t>[Wahiduzzaman, Md; Oliver, Eric C. J.; Wotherspoon, Simon J.; Holbrook, Neil J.] Univ Tasmania, Inst Marine &amp; Antarctic Studies, Hobart, Tas 7001, Australia; [Oliver, Eric C. J.] Dalhousie Univ, Dept Oceanog, Halifax, NS, Canada; [Oliver, Eric C. J.] Australian Res Council, Ctr Excellence Climate Syst Sci, Hobart, Tas, Australia; [Klotzbach, Philip J.] Colorado State Univ, Dept Atmospher Sci, Ft Collins, CO 80523 USA; [Wotherspoon, Simon J.] Australian Antarctic Div, Kingston, Tas, Australia; [Holbrook, Neil J.] Australian Res Council, Ctr Excellence Climate Extremes, Hobart, Tas, Australia</t>
  </si>
  <si>
    <t>University of Tasmania; Dalhousie University; Colorado State University; Australian Antarctic Division</t>
  </si>
  <si>
    <t>Wahiduzzaman, M (corresponding author), Univ Tasmania, Inst Marine &amp; Antarctic Studies, Hobart, Tas 7001, Australia.</t>
  </si>
  <si>
    <t>md.wahiduzzaman@utas.edu.au</t>
  </si>
  <si>
    <t>Wotherspoon, Simon J/B-2390-2013; Wahiduzzaman/T-7361-2019; Klotzbach, Philip/P-1911-2014; Oliver, Eric/G-5118-2014; Holbrook, Neil/M-7544-2013</t>
  </si>
  <si>
    <t>Wotherspoon, Simon J/0000-0002-6947-4445; Wahiduzzaman/0000-0002-8974-8247; Klotzbach, Philip/0000-0001-5372-6241; Oliver, Eric/0000-0002-4006-2826; Holbrook, Neil/0000-0002-3523-6254</t>
  </si>
  <si>
    <t>Australian Research Council (ARC) [CE170100023]; G. Unger Vetlesen Foundation; Tasmania Graduate Research Scholarship [172141]</t>
  </si>
  <si>
    <t>Australian Research Council (ARC)(Australian Research Council); G. Unger Vetlesen Foundation; Tasmania Graduate Research Scholarship</t>
  </si>
  <si>
    <t>Australian Research Council (ARC), Grant/Award Number: CE170100023; G. Unger Vetlesen Foundation; Tasmania Graduate Research Scholarship, Grant/Award Number: 172141</t>
  </si>
  <si>
    <t>10.1002/joc.5853</t>
  </si>
  <si>
    <t>HM7NG</t>
  </si>
  <si>
    <t>WOS:000459665000024</t>
  </si>
  <si>
    <t>Wang, XY; Giannakis, D; Slawinska, J</t>
  </si>
  <si>
    <t>Wang, Xinyang; Giannakis, Dimitrios; Slawinska, Joanna</t>
  </si>
  <si>
    <t>The Antarctic circumpolar wave and its seasonality: Intrinsic travelling modes and El Nino-Southern Oscillation teleconnections</t>
  </si>
  <si>
    <t>Antarctic circumpolar wave; ENSO teleconnections; seasonal cycle; spatio-temporal patterns; time series analysis</t>
  </si>
  <si>
    <t>PACIFIC DECADAL VARIABILITY; LAPLACIAN SPECTRAL-ANALYSIS; LOW-FREQUENCY VARIABILITY; SEA-ICE; TROPOSPHERIC RESPONSE; AMERICAN MODES; CLIMATE; OCEAN; HEMISPHERE; ATMOSPHERE</t>
  </si>
  <si>
    <t>Interannual variability in the Southern Ocean is investigated via nonlinear Laplacian spectral analysis (NLSA), an objective eigendecomposition technique for nonlinear dynamical systems that can simultaneously recover multiple timescales from data with high skill. Applied to modelled and observed sea surface temperature and sea ice concentration data, NLSA recovers the wavenumber-2 eastwards propagating signal corresponding to the Antarctic circumpolar wave (ACW). During certain phases of its lifecycle, the spatial patterns of this mode display a structure that can explain the statistical origin of the Antarctic dipole pattern. Another group of modes have combination frequencies consistent with the modulation of the annual cycle by the ACW. Further examination of these newly identified modes reveals that they can have either eastwards or westwards propagation, combined with meridional pulsation reminiscent of sea ice reemergence patterns. Moreover, they exhibit smaller-scale spatial structures and explain more Indian Ocean variance than the primary ACW modes. We attribute these modes to teleconnections between ACW and the tropical Indo-Pacific Ocean; in particular, fundamental El Nino-Southern Oscillation (ENSO) modes and their associated combination modes with the annual cycle recovered by NLSA. Another mode extracted from the Antarctic variables displays an eastwards propagating wavenumber-3 structure over the Southern Ocean, but exhibits no significant correlation to interannual Indo-Pacific variability.</t>
  </si>
  <si>
    <t>[Wang, Xinyang; Giannakis, Dimitrios] NYU, Courant Inst Math Sci, Ctr Atmosphere Ocean Sci, 251 Mercer St, New York, NY 10012 USA; [Slawinska, Joanna] Univ Wisconsin, Dept Phys, Milwaukee, WI USA</t>
  </si>
  <si>
    <t>New York University; University of Wisconsin System; University of Wisconsin Milwaukee</t>
  </si>
  <si>
    <t>Wang, XY (corresponding author), NYU, Courant Inst Math Sci, Ctr Atmosphere Ocean Sci, 251 Mercer St, New York, NY 10012 USA.</t>
  </si>
  <si>
    <t>xinyang@cims.nyu.edu</t>
  </si>
  <si>
    <t>Wang, Xin/HZL-4695-2023; Giannakis, Dimitrios/K-3575-2012; Wang, Xin/GYU-1129-2022</t>
  </si>
  <si>
    <t>Giannakis, Dimitrios/0000-0002-4220-0313; Slawinska, Joanna/0000-0003-3099-5136</t>
  </si>
  <si>
    <t>National Science Foundation [AGS-1430051, DMS-1521775, 1551489]; Office of Naval Research [25-74200-F7112]; Office of Naval Research Global [N00014-14-0150]; Division of Computing and Communication Foundations; Direct For Computer &amp; Info Scie &amp; Enginr [1551489] Funding Source: National Science Foundation</t>
  </si>
  <si>
    <t>National Science Foundation(National Science Foundation (NSF)); Office of Naval Research(Office of Naval Research); Office of Naval Research Global(Office of Naval Research); Division of Computing and Communication Foundations; Direct For Computer &amp; Info Scie &amp; Enginr(National Science Foundation (NSF)NSF - Directorate for Computer &amp; Information Science &amp; Engineering (CISE))</t>
  </si>
  <si>
    <t>National Science Foundation, Grant/Award Number: AGS-1430051, DMS-1521775, 1551489; Office of Naval Research, Grant/Award Number: 25-74200-F7112; Office of Naval Research Global, Grant/Award Number: N00014-14-0150</t>
  </si>
  <si>
    <t>10.1002/joc.5860</t>
  </si>
  <si>
    <t>WOS:000459665000029</t>
  </si>
  <si>
    <t>Rivaro, P; Ianni, C; Raimondi, L; Manno, C; Sandrini, S; Castagno, P; Cotroneo, Y; Falco, P</t>
  </si>
  <si>
    <t>Rivaro, Paola; Ianni, Carmela; Raimondi, Lorenza; Manno, Clara; Sandrini, Silvia; Castagno, Pasquale; Cotroneo, Yuri; Falco, Pierpaolo</t>
  </si>
  <si>
    <t>Analysis of Physical and Biogeochemical Control Mechanisms on Summertime Surface Carbonate System Variability in the Western Ross Sea (Antarctica) Using In Situ and Satellite Data</t>
  </si>
  <si>
    <t>carbonate system; Ross Sea; Antarctic surface waters; air-sea CO2 exchange; satellite sea ice data; satellite chlorophyll maps</t>
  </si>
  <si>
    <t>NET COMMUNITY PRODUCTION; SOUTHERN-OCEAN; ALGERIAN BASIN; WATER; ICE; ACIDIFICATION; IMPACT; CO2; SATURATION; EXCHANGE</t>
  </si>
  <si>
    <t>In this study, carbonate system properties were measured in the western Ross Sea (Antarctica) over the 2005-2006 and 2011-2012 austral summers with the aim of analysing their sensitivity to physical and biogeochemical drivers. Daily Advanced Microwave Scanning Radiometer 2 (AMSR2) sea ice concentration maps, obtained prior to and during the samplings, were used to analyse the sea ice evolution throughout the experiment periods. Monthly means and 8-day composite chlorophyll concentration maps from the Moderate-resolution Imaging Spectroradiometer (MODIS) Aqua satellite at 4-km resolution were used to investigate inter-annual and basin scale biological variability. Chlorophyll-a concentrations in surface waters estimated by MODIS satellite data contribute to descriptions of the variability of carbonate system properties in surface waters. Mean values of carbonate system properties were comparable across both investigated years; however, the 2012 data displayed larger variability. Sea ice melting also had a pivotal role in controlling the carbonate system chemistry of the mixed layer both directly through dilution processes and indirectly by favouring the development of phytoplankton blooms. This resulted in high pH and Omega(Ar), and in low C-T, particularly in those areas where high chlorophyll concentration was shown by satellite maps.</t>
  </si>
  <si>
    <t>[Rivaro, Paola; Ianni, Carmela] Univ Genoa, Dept Chem &amp; Ind Chem, Via Dodecaneso 31, I-16146 Genoa, Italy; [Rivaro, Paola; Cotroneo, Yuri; Falco, Pierpaolo] CoNISMa Consortium, Piazzale Flaminio 9, I-00196 Rome, Italy; [Raimondi, Lorenza] Dalhousie Univ, Dept Oceanog, SOSB1355 Oxford St, Halifax, NS B3H 4R2, Canada; [Manno, Clara] British Antarctic Survey, Madingley Rd, Cambridge CB3 0ET, England; [Sandrini, Silvia] Natl Res Council Italy, ISAC, Via Gobetti 101, I-40129 Bologna, Italy; [Castagno, Pasquale; Cotroneo, Yuri; Falco, Pierpaolo] Parthenope Univ Naples, Dept Sci &amp; Technol, Ctr Direz, Isola C4, I-80143 Naples, Italy</t>
  </si>
  <si>
    <t>University of Genoa; CoNISMa; Dalhousie University; UK Research &amp; Innovation (UKRI); Natural Environment Research Council (NERC); NERC British Antarctic Survey; Consiglio Nazionale delle Ricerche (CNR); Istituto di Scienze dell'Atmosfera e del Clima (ISAC-CNR); Parthenope University Naples</t>
  </si>
  <si>
    <t>Rivaro, P (corresponding author), Univ Genoa, Dept Chem &amp; Ind Chem, Via Dodecaneso 31, I-16146 Genoa, Italy.;Rivaro, P (corresponding author), CoNISMa Consortium, Piazzale Flaminio 9, I-00196 Rome, Italy.</t>
  </si>
  <si>
    <t>rivaro@chimica.unige.it; ianni@chimica.unige.it; Lorenza.Raimondi@Dal.Ca; clanno@bas.ac.uk; S.Sandrini@isac.cnr.it; pasquale.castagno@uniparthenope.it; yuri.cotroneo@uniparthenope.it; pierpaolo.falco@uniparthenope.it</t>
  </si>
  <si>
    <t>Castagno, Pasquale/HCI-3939-2022; Cotroneo, Yuri/M-4010-2019; Castagno, Pasquale/JAC-6923-2023</t>
  </si>
  <si>
    <t>Cotroneo, Yuri/0000-0002-0099-0142; Falco, Pierpaolo/0000-0002-5130-5440; Raimondi, Lorenza/0000-0001-9107-7254; RIVARO, PAOLA FRANCESCA/0000-0001-5412-7371; Castagno, Pasquale/0000-0002-5705-1066</t>
  </si>
  <si>
    <t>Italian National Program for Antarctic Research [2004/8.3, 2009/A2.04, 2016/B2.01, PNRA16_00207]; NERC [bas0100035] Funding Source: UKRI</t>
  </si>
  <si>
    <t>Italian National Program for Antarctic Research; NERC(UK Research &amp; Innovation (UKRI)Natural Environment Research Council (NERC))</t>
  </si>
  <si>
    <t>This research was funded by the Italian National Program for Antarctic Research, grant number 2004/8.3, 2009/A2.04, 2016/B2.01, and PNRA16_00207.</t>
  </si>
  <si>
    <t>10.3390/rs11030238</t>
  </si>
  <si>
    <t>HN1JX</t>
  </si>
  <si>
    <t>WOS:000459944400026</t>
  </si>
  <si>
    <t>Zhao, XQ; Dupont, L; Schefuss, E; Granger, R; Wefer, G</t>
  </si>
  <si>
    <t>Zhao, Xueqin; Dupont, Lydie; Schefuss, Enno; Granger, Robyn; Wefer, Gerold</t>
  </si>
  <si>
    <t>Late-Holocene oceanic variability in the southern Benguela region driven by interplay of upwelling, fluvial discharge, and Agulhas leakage</t>
  </si>
  <si>
    <t>Agulhas leakage; fluvial discharge; late-Holocene; organic-walled dinoflagellate cysts; paleoceanography; southern Benguela upwelling</t>
  </si>
  <si>
    <t>WALLED DINOFLAGELLATE CYSTS; DECADAL VARIABILITY; PALYNOLOGICAL EVIDENCE; PRIMARY PRODUCTIVITY; QUATERNARY CLIMATE; SURFACE SEDIMENTS; MARINE-SEDIMENTS; ATLANTIC OCEANS; LATE PLIOCENE; DEEP-SEA</t>
  </si>
  <si>
    <t>The southern Benguela upwelling system near the St. Helena Bay has been proposed to be affected by various factors, while few investigations about the late-Holocene oceanic conditions has been carried out in this area. To determine the oceanic variability and its forcing mechanisms in the southern Benguela region during the late-Holocene, we examined organic-walled dinoflagellate cyst (dinocyst) records from two marine sediment cores located in the southernmost and central Benguela upwelling system. We compare our results with other proxies including alkenone-derived SSTs, grain size, and coccolithophore assemblages from the same samples. The results indicate a distinctive behavior between the southernmost Benguela system and the central Benguela area. We infer that the oceanic conditions in these two regions are primarily governed by an interplay of wind-induced upwelling, fluvial discharge, and advection of cold sub-Antarctic waters, which is consistent with the current understanding of the paleoclimate conditions in this area. However, the findings also suggest that the southernmost Benguela system also receives additional effects of warm and saline waters via the Agulhas leakage, which has a clear influence on the oceanic conditions in this area.</t>
  </si>
  <si>
    <t>[Zhao, Xueqin; Dupont, Lydie; Schefuss, Enno; Wefer, Gerold] Univ Bremen, Ctr Marine Environm Sci MARUM, Leobener Str 8, D-28359 Bremen, Germany; [Granger, Robyn] Univ Cape Town, Dept Oceanog, Rondebosch, South Africa</t>
  </si>
  <si>
    <t>University of Bremen; University of Cape Town</t>
  </si>
  <si>
    <t>Zhao, XQ (corresponding author), Univ Bremen, Ctr Marine Environm Sci MARUM, Leobener Str 8, D-28359 Bremen, Germany.</t>
  </si>
  <si>
    <t>snowybolter@gmail.com</t>
  </si>
  <si>
    <t>Schefuß, Enno/A-7101-2015; Wefer, Gerold/S-2291-2016</t>
  </si>
  <si>
    <t>Schefuß, Enno/0000-0002-5960-930X; Wefer, Gerold/0000-0002-6803-2020; Zhao, Xueqin/0000-0003-3354-3768</t>
  </si>
  <si>
    <t>German Federal Ministry of Education and Research (BMBF) [03G0840A]</t>
  </si>
  <si>
    <t>German Federal Ministry of Education and Research (BMBF)(Federal Ministry of Education &amp; Research (BMBF))</t>
  </si>
  <si>
    <t>This work was supported by the German Federal Ministry of Education and Research (BMBF) (Grant/Award Number: '03G0840A'). The investigations were conducted within the collaborative project 'Regional Archives for Integrated Investigations' (RAiN), which is embedded in the international research programme SPACES (Science Partnership for the Assessment of Complex Earth System Processes).</t>
  </si>
  <si>
    <t>10.1177/0959683618810396</t>
  </si>
  <si>
    <t>HN0OD</t>
  </si>
  <si>
    <t>WOS:000459887400004</t>
  </si>
  <si>
    <t>Watanabe, YY; Payne, NL; Semmens, JM; Fox, A; Huveneers, C</t>
  </si>
  <si>
    <t>Watanabe, Yuuki Y.; Payne, Nicholas L.; Semmens, Jayson M.; Fox, Andrew; Huveneers, Charlie</t>
  </si>
  <si>
    <t>Swimming strategies and energetics of endothermic white sharks during foraging</t>
  </si>
  <si>
    <t>Biologging; Swim speed; Cost of transport; Optimal behaviour</t>
  </si>
  <si>
    <t>CARCHARODON-CARCHARIAS; METABOLIC-RATE; BEHAVIOR; SPEED; FISH; TEMPERATURE; PATTERNS; ACCELERATION; PREFERENCES; PERFORMANCE</t>
  </si>
  <si>
    <t>Some fishes and sea turtles are distinct from ectotherms by having elevated core body temperatures and metabolic rates. Quantifying the energetics and activity of the regionally endothermic species will help us understand how a fundamental biophysical process (i.e. temperature-dependent metabolism) shapes animal ecology; however, such information is limited owing to difficulties in studying these large, highly active animals. White sharks, Carcharodon carcharias, are the largest fish with regional endothermy, and potentially among the most energy-demanding fishes. Here, we deployed multi-sensor loggers on eight white sharks aggregating near colonies of long-nosed fur seals, Arctocephalus forsteri, off the Neptune Islands, Australia. Simultaneous measurements of depth, swim speed (a proxy for swimming metabolic rate) and body acceleration (indicating when sharks exhibited energy-efficient gliding behaviour) revealed their fine-scale swimming behaviour and allowed us to estimate their energy expenditure. Sharks repeatedly dived (mean swimming depth, 29 m) and swam at the surface between deep dives (maximum depth, 108 m). Modal swim speeds (0.80-1.35 ms(-1)) were slower than the estimated speeds that minimize cost of transport (1.3-1.9 ms(-1)), a pattern analogous to a 'sit-and-wait' strategy for a perpetually swimming species. All but one shark employed unpowered gliding during descents, rendering deep (&gt;50 m) dives 29% less costly than surface swimming, which may incur additional wave drag. We suggest that these behavioural strategies may help sharks to maximize net energy gains by reducing swimming cost while increasing encounter rates with fast-swimming seals.</t>
  </si>
  <si>
    <t>[Watanabe, Yuuki Y.] Natl Inst Polar Res, Tachikawa, Tokyo 1908518, Japan; [Watanabe, Yuuki Y.] SOKENDAI Grad Univ Adv Studies, Tachikawa, Tokyo 1908518, Japan; [Payne, Nicholas L.] Univ Roehampton, Holybourne Ave, London SW15 4JD, England; [Payne, Nicholas L.] Trinity Coll Dublin, Dublin 2, Ireland; [Semmens, Jayson M.] Univ Tasmania, Fisheries &amp; Aquaculture Ctr, Inst Marine &amp; Antarctic Studies, Private Bag 49, Hobart, Tas 7001, Australia; [Fox, Andrew] Fox Shark Res Fdn, Adelaide, SA 5070, Australia; [Huveneers, Charlie] Flinders Univ S Australia, Coll Sci &amp; Engn, Bedford Pk, SA 5042, Australia</t>
  </si>
  <si>
    <t>Research Organization of Information &amp; Systems (ROIS); National Institute of Polar Research (NIPR) - Japan; Graduate University for Advanced Studies - Japan; Roehampton University; Trinity College Dublin; University of Tasmania; Flinders University South Australia</t>
  </si>
  <si>
    <t>Watanabe, YY (corresponding author), Natl Inst Polar Res, Tachikawa, Tokyo 1908518, Japan.;Watanabe, YY (corresponding author), SOKENDAI Grad Univ Adv Studies, Tachikawa, Tokyo 1908518, Japan.</t>
  </si>
  <si>
    <t>watanabe.yuuki@nipr.ac.jp</t>
  </si>
  <si>
    <t>Watanabe, Yuuki/D-5079-2012; Payne, Nicholas L/E-7811-2013</t>
  </si>
  <si>
    <t>Watanabe, Yuuki/0000-0001-9731-1769; Semmens, Jayson/0000-0003-1742-6692; Huveneers, Charlie/0000-0001-8937-1358; Payne, Nicholas/0000-0002-5274-471X</t>
  </si>
  <si>
    <t>Japan Society for the Promotion of Science (JSPS) [25850138, 16H04973]; Winifred Violet Scott Foundation; Neiser Foundation; Nature Films Production; JSPS Invitation Fellowship for Research in Japan [L15560]; Grants-in-Aid for Scientific Research [16H04973] Funding Source: KAKEN</t>
  </si>
  <si>
    <t>Japan Society for the Promotion of Science (JSPS)(Ministry of Education, Culture, Sports, Science and Technology, Japan (MEXT)Japan Society for the Promotion of Science); Winifred Violet Scott Foundation; Neiser Foundation; Nature Films Production; JSPS Invitation Fellowship for Research in Japan(Ministry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</si>
  <si>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funded by Grants-in-Aid for Scientific Research from the Japan Society for the Promotion of Science (JSPS) (25850138 and 16H04973), the Winifred Violet Scott Foundation, the Neiser Foundation, Nature Films Production, and supporters of the study through the crowdfunding campaign on Pozible. J.M.S. held a JSPS Invitation Fellowship for Research in Japan (L15560) during part of this work.</t>
  </si>
  <si>
    <t>jeb185603</t>
  </si>
  <si>
    <t>10.1242/jeb.185603</t>
  </si>
  <si>
    <t>HN3ZT</t>
  </si>
  <si>
    <t>WOS:000460124700004</t>
  </si>
  <si>
    <t>Pacoureau, N; Authier, M; Delord, K; Barbraud, C</t>
  </si>
  <si>
    <t>Pacoureau, Nathan; Authier, Matthieu; Delord, Karine; Barbraud, Christophe</t>
  </si>
  <si>
    <t>Population response of an apex Antarctic consumer to its prey and climate fluctuations</t>
  </si>
  <si>
    <t>OECOLOGIA</t>
  </si>
  <si>
    <t>Adelie penguin; Bayesian modeling; Density-dependence; Emperor penguin; South polar skua</t>
  </si>
  <si>
    <t>SOUTH-POLAR SKUA; ESTIMATING DENSITY-DEPENDENCE; INTRA-SPECIFIC COMPETITION; SEA-ICE EXTENT; LONG-TERM; CATHARACTA-MACCORMICKI; REPRODUCTIVE SUCCESS; STERCORARIUS-SKUA; ADELIE PENGUINS; BREEDING SUCCESS</t>
  </si>
  <si>
    <t>A fundamental endeavor in population ecology is to identify the drivers of population dynamics. A few empirical studies included the effect of prey abundance when investigating simultaneously the effects of density-dependence and climate factors on marine top-predator population dynamics. Our aim was to unravel the mechanisms forcing population dynamics of an apex consumer seabird, the south polar skua, using long-term climatic and population time series of the consumer and its prey in Terre Adelie, Antarctica. Influences of density-dependence, climatic factors, and prey abundance with lag effects were tested on the breeding population dynamics with a Bayesian multi-model inference approach. We evidenced a negative trend in breeding population growth rate when density increased. Lagged effects of sea-ice concentration and air temperature in spring and a contemporary effect of prey resources were supported. Remarkably, results outline a reverse response of the south polar skua and one of its main preys to the same environmental factor (sea-ice concentration), suggesting a strong link between skua and penguin dynamics. The causal mechanisms may involve competition for food and space through territorial behavior as well as local climate and prey availability, which probably operate on breeding parameters (breeding propensity, breeding success, or recruitment) rather than on adult survival. Our results provide new insights on the relative importance of factors forcing the population dynamics of an apex consumer including density-dependence, local climate conditions, and direct and indirect effects of prey abundance.</t>
  </si>
  <si>
    <t>[Pacoureau, Nathan; Delord, Karine; Barbraud, Christophe] CNRS, UMR 7372, Ctr Etud Biol Chize, F-79360 Villiersen En Bois, France; [Authier, Matthieu] Univ La Rochelle, CNRS, UMS 3462, Observ PELAGIS, Allee 4 Ocean, F-17000 La Rochelle, France</t>
  </si>
  <si>
    <t>Centre National de la Recherche Scientifique (CNRS); CNRS - Institute of Ecology &amp; Environment (INEE); Centre National de la Recherche Scientifique (CNRS); CNRS - Institute of Ecology &amp; Environment (INEE); La Rochelle Universite</t>
  </si>
  <si>
    <t>Pacoureau, N (corresponding author), CNRS, UMR 7372, Ctr Etud Biol Chize, F-79360 Villiersen En Bois, France.</t>
  </si>
  <si>
    <t>n.pacoureau@gmail.com</t>
  </si>
  <si>
    <t>Barbraud, Christophe/A-5870-2012</t>
  </si>
  <si>
    <t>Barbraud, Christophe/0000-0003-0146-212X; Pacoureau, Nathan/0000-0002-8363-6332; Authier, Matthieu/0000-0001-7394-1993</t>
  </si>
  <si>
    <t>French Polar Institute IPEV [109]; Terres Australes et Antarctiques Francaises; Zone Atelier Antarctique et Subantarctique (CNRS-INEE)</t>
  </si>
  <si>
    <t>French Polar Institute IPEV; Terres Australes et Antarctiques Francaises; Zone Atelier Antarctique et Subantarctique (CNRS-INEE)</t>
  </si>
  <si>
    <t>We thank all the field workers involved in Terre Adelie for collecting the population data on south polar skuas and penguins. These long-term demographic studies were supported by the French Polar Institute IPEV (program 109, resp. H. Weimerskirch), Terres Australes et Antarctiques Francaises and Zone Atelier Antarctique et Subantarctique (CNRS-INEE). We thank D. Besson for the help in the data management. We thank three anonymous reviewers for their comments that helped improving a previous version of the manuscript.</t>
  </si>
  <si>
    <t>0029-8549</t>
  </si>
  <si>
    <t>1432-1939</t>
  </si>
  <si>
    <t>Oecologia</t>
  </si>
  <si>
    <t>10.1007/s00442-018-4249-5</t>
  </si>
  <si>
    <t>HN2RY</t>
  </si>
  <si>
    <t>WOS:000460033700001</t>
  </si>
  <si>
    <t>Read, RW; Vuono, DC; Neveux, I; Staub, C; Grzymski, JJ</t>
  </si>
  <si>
    <t>Read, Robert W.; Vuono, David C.; Neveux, Iva; Staub, Carl; Grzymski, Joseph J.</t>
  </si>
  <si>
    <t>Coordinated downregulation of the photosynthetic apparatus as a protective mechanism against UV exposure in the diatom Corethron hystrix</t>
  </si>
  <si>
    <t>APPLIED MICROBIOLOGY AND BIOTECHNOLOGY</t>
  </si>
  <si>
    <t>Diatom; UVR; Photosynthetic damage; Transcriptome</t>
  </si>
  <si>
    <t>ULTRAVIOLET-B RADIATION; INDUCED DNA-DAMAGE; PHOTOSYSTEM-II; THALASSIOSIRA-PSEUDONANA; ANTARCTIC PHYTOPLANKTON; TOPICAL APPLICATION; GENE ONTOLOGY; HUMAN SKIN; REPAIR; RESPONSES</t>
  </si>
  <si>
    <t>The effect of ultraviolet radiation (UVR) on photosynthetic efficiency and the resulting mechanisms against UV exposure employed by phytoplankton are not completely understood. To address this knowledge gap, we developed a novel close-coupled, wavelength-configurable platform designed to produce precise and repeatable in vitro irradiation of Corethron hystrix, a member of a genera found abundantly in the Southern Ocean where UV exposure is high. We aimed to determine its metabolic, protective, and repair mechanisms as a function of varying levels of specific electromagnetic energy. Our results show that the physiological responses to each energy level of UV have a negative linear decrease in the photosynthetic efficiency of photosystem II proportional to UV intensity, corresponding to a large increase in the turnover time of quinone reoxidation. Gene expression changes of photosystem II-related reaction center proteins D1, CP43, and CP47 showed coordinated downregulation whereas the central metabolic pathway demonstrated mixed expression of up and downregulated transcripts after UVR exposure. These results suggest that while UVR may damage photosynthetic machinery, oxidative damage may limit production of new photosynthetic and electron transport complexes as a result of UVR exposure.</t>
  </si>
  <si>
    <t>[Read, Robert W.; Vuono, David C.; Neveux, Iva; Grzymski, Joseph J.] Desert Res Inst, Div Earth &amp; Ecosyst Sci, 2215 Raggio Pkwy, Reno, NV 89512 USA; [Staub, Carl] Agtron Inc, 9395 Double R Blvd, Reno, NV 89521 USA</t>
  </si>
  <si>
    <t>Nevada System of Higher Education (NSHE); Desert Research Institute NSHE</t>
  </si>
  <si>
    <t>Grzymski, JJ (corresponding author), Desert Res Inst, Div Earth &amp; Ecosyst Sci, 2215 Raggio Pkwy, Reno, NV 89512 USA.</t>
  </si>
  <si>
    <t>joeg@dri.edu</t>
  </si>
  <si>
    <t>Vuono, David/AAY-7550-2020</t>
  </si>
  <si>
    <t>Grzymski, Joseph/0000-0003-2646-8958</t>
  </si>
  <si>
    <t>0175-7598</t>
  </si>
  <si>
    <t>1432-0614</t>
  </si>
  <si>
    <t>APPL MICROBIOL BIOT</t>
  </si>
  <si>
    <t>Appl. Microbiol. Biotechnol.</t>
  </si>
  <si>
    <t>10.1007/s00253-018-9544-x</t>
  </si>
  <si>
    <t>Biotechnology &amp; Applied Microbiology</t>
  </si>
  <si>
    <t>HM1XV</t>
  </si>
  <si>
    <t>WOS:000459250200024</t>
  </si>
  <si>
    <t>Pitulko, VV; Kuzmin, YV; Glascock, MD; Pavlova, EY; Grebennikov, AV</t>
  </si>
  <si>
    <t>Pitulko, Vladimir V.; Kuzmin, Yaroslav V.; Glascock, Michael D.; Pavlova, Elena Yu.; Grebennikov, Andrei V.</t>
  </si>
  <si>
    <t>'They came from the ends of the earth': long-distance exchange of obsidian in the High Arctic during the Early Holocene</t>
  </si>
  <si>
    <t>ANTIQUITY</t>
  </si>
  <si>
    <t>Siberia; Zhokhov Island; Early Holocene; obsidian; provenancing; transport and exchange</t>
  </si>
  <si>
    <t>NORTHEASTERN SIBERIA; TERMINAL PLEISTOCENE; PROVENANCE; ARTIFACTS; SITE</t>
  </si>
  <si>
    <t>Zhokhov Island in the Siberian High Arctic has yielded evidence for some of the most remote prehistoric human occupation in the world, as well as the oldest-known dog-sled technology. Obsidian artefacts found on Zhokhov have been provenanced using XRF analysis to allow comparison with known sources of obsidian from north-eastern Siberia. The results indicate that the obsidian was sourced from Lake Krasnoe-approximately 1500km distant-and arrived on Zhokhov Island c. 8000 BP. The archaeological data from Zhokhov therefore indicate a super-long-distance Mesolithic exchange network.</t>
  </si>
  <si>
    <t>[Pitulko, Vladimir V.] Russian Acad Sci, Inst Mat Culture Hist, Dvortsovaya Embankment 18, St Petersburg 191186, Russia; [Kuzmin, Yaroslav V.] Russian Acad Sci, Siberian Branch, Sobolev Inst Geol &amp; Mineral, Koptyug Ave 3, Novosibirsk 630090, Russia; [Kuzmin, Yaroslav V.] Tomsk State Univ, Lab Mesozo &amp; Cenozo Continental EcosysT, Lenin Ave 36, Tomsk 634050, Russia; [Glascock, Michael D.] Univ Missouri Res Reactor, Archaeometry Lab, 1513 Res Pk Dr, Columbia, MO 65211 USA; [Pavlova, Elena Yu.] Arctic &amp; Antarctic Res Inst, Bering St 38, St Petersburg 199397, Russia; [Grebennikov, Andrei V.] Russian Acad Sci, Far Eastern Branch, Far Eastern Geol Inst, 100 Letiya Vladivostoku Ave 159, Vladivostok 690022, Russia; [Grebennikov, Andrei V.] Far Eastern Fed Univ, Sukhanov St 8, Vladivostok 690950, Russia</t>
  </si>
  <si>
    <t>Russian Academy of Sciences; St. Petersburg Scientific Centre of the Russian Academy of Sciences; Russian Academy of Sciences; Sobolev Institute of Geology &amp; Mineralogy of the Russian Academy of Sciences; Tomsk State University; University of Missouri System; University of Missouri Columbia; Arctic &amp; Antarctic Research Institute; Russian Academy of Sciences; Far Eastern Federal University</t>
  </si>
  <si>
    <t>Pitulko, VV (corresponding author), Russian Acad Sci, Inst Mat Culture Hist, Dvortsovaya Embankment 18, St Petersburg 191186, Russia.;Kuzmin, YV (corresponding author), Russian Acad Sci, Siberian Branch, Sobolev Inst Geol &amp; Mineral, Koptyug Ave 3, Novosibirsk 630090, Russia.;Kuzmin, YV (corresponding author), Tomsk State Univ, Lab Mesozo &amp; Cenozo Continental EcosysT, Lenin Ave 36, Tomsk 634050, Russia.</t>
  </si>
  <si>
    <t>pitulkov@gmail.com; kuzmin@fulbrightmail.org</t>
  </si>
  <si>
    <t>Pavlova, Elena/AAA-3291-2019; Yaroslav, Kuzmin/GVT-7991-2022; Pitulko, Vladimir/N-4009-2019; Kuzmin, Yaroslav/A-5286-2014; Grebennikov, Andrei/D-7854-2011; Glascock, Michael D./O-8951-2014; Pitulko, Vladimir/E-2200-2015</t>
  </si>
  <si>
    <t>Grebennikov, Andrei/0000-0002-7780-3632; Glascock, Michael D./0000-0003-0686-7556; Pavlova, Elena/0000-0002-3010-6290; Pitulko, Vladimir/0000-0001-5672-2756; mohammadi, fariba/0009-0002-7646-5931</t>
  </si>
  <si>
    <t>Rock Foundation of New York; Russian Government Research Project [0184-2018-0011]; Russian Science Foundation [16-18-10265 RNF]; U.S. Civil Research and Development Foundation [RG1-2538-VL-03, RUG1-7097-NO-13]; U.S. National Science Foundation [NSF-1621158]; Tomsk State University [0330-2016-2018]; Russian Science Foundation [16-18-10265, 19-18-13025] Funding Source: Russian Science Foundation</t>
  </si>
  <si>
    <t>Rock Foundation of New York; Russian Government Research Project; Russian Science Foundation(Russian Science Foundation (RSF)); U.S. Civil Research and Development Foundation; U.S. National Science Foundation(National Science Foundation (NSF)); Tomsk State University; Russian Science Foundation(Russian Science Foundation (RSF))</t>
  </si>
  <si>
    <t>This study began in 1989-1990 as a part of long-term investigation of the New Siberian Islands by the Institute for the History of Material Culture and Arctic &amp; Antarctic Research Institute. It was continued from 2002-2005 as a part of the Zhokhov-2000 Project, supported by the Rock Foundation of New York. At present, it is a part of the Russian Government Research Project 0184-2018-0011. It was supported by the Russian Science Foundation through the project 16-18-10265 RNF granted to V.V. Pitulko, and also by the U.S. Civil Research and Development Foundation (RG1-2538-VL-03, RUG1-7097-NO-13) for Y.V. Kuzmin and A.V. Grebennikov; by the U.S. National Science Foundation (NSF-1621158) for MURR; and by the Tomsk State University Competitiveness Improvement Program and State Assignment Project (0330-2016-2018) for Y.V. Kuzmin. The authors are grateful to the Zhokhov-2000 excavation team. Special thanks go to E.P. Savchenko (logistics), N.V. Abdulmanova (graphic drawings) and P.I. Ivanov (photography). We thank two anonymous reviewers for useful comments.</t>
  </si>
  <si>
    <t>0003-598X</t>
  </si>
  <si>
    <t>1745-1744</t>
  </si>
  <si>
    <t>Antiquity</t>
  </si>
  <si>
    <t>10.15184/aqy.2019.2</t>
  </si>
  <si>
    <t>Anthropology; Archaeology</t>
  </si>
  <si>
    <t>Social Science Citation Index (SSCI); Arts &amp; Humanities Citation Index (A&amp;HCI)</t>
  </si>
  <si>
    <t>HL9EB</t>
  </si>
  <si>
    <t>WOS:000459044500010</t>
  </si>
  <si>
    <t>Odeyemi, OA; Sani, NA; Obadina, AO; Saba, CKS; Bamidele, FA; Abughoush, M; Asghar, A; Dongmo, FFD; Maceri, D; Aberoumand, A</t>
  </si>
  <si>
    <t>Odeyemi, Olumide A.; Sani, Norrakiah Abdullah; Obadina, Adewale Olusegun; Saba, Courage Kosi Setsoafia; Bamidele, Florence A.; Abughoush, Mahmoud; Asghar, Ali; Dongmo, Fabrice Fabien Dongho; Maceri, Darryl; Aberoumand, Ali</t>
  </si>
  <si>
    <t>Food safety knowledge, attitudes and practices among consumers in developing countries: An international survey</t>
  </si>
  <si>
    <t>FOOD RESEARCH INTERNATIONAL</t>
  </si>
  <si>
    <t>Microbial food safety; Food borne infections; Hygiene; Consumers</t>
  </si>
  <si>
    <t>HANDLING PRACTICES; HYGIENE KNOWLEDGE; HANDLERS; UNIVERSITY; STUDENTS; RESTAURANTS; AWARENESS; WORKERS</t>
  </si>
  <si>
    <t>An international survey among consumers in developing countries from Asia and Africa on food safety knowledge, attitudes and practices (KAP) was carried out using structured questionnaires. Data were collected from 453 consumers comprising 265 from Africa and 188 from Asia. Significant difference (p &lt; 0.05) on food safety knowledge attitude and practice between consumers from Africa and Asia was observed. In Africa, consumers in Cameroon had the least food safety knowledge (73.15 +/- 16.43) compared to Ghana (78.19 +/- 15.84) and Nigeria (88.16 +/- 8.88). Similarly, consumers in Iran had the least food safety knowledge (73.33 +/- 19.84) in Asia compared to Malaysia (88.36 +/- 11.64) and Pakistan (89.42 +/- 9.89). Among the respondents, 89% were aware of food poisoning while 304 (67.1%) consume food kept for long at room temperature. There was significant difference (p &lt; 0.05) in food safety knowledge, attitudes and practices of consumers between Africa and Asia. Overall, respondents from Asia have better food safety knowledge than respondents from Africa.</t>
  </si>
  <si>
    <t>[Odeyemi, Olumide A.] Univ Tasmania, Inst Marine &amp; Antarctic Studies, Launceston, Tas, Australia; [Odeyemi, Olumide A.] Higis Int Fdn, Food Safety &amp; Qual Unit, Ctr Res Training &amp; Dev, Abeokuta, Nigeria; [Sani, Norrakiah Abdullah] Natl Univ Malaysia, Fac Sci &amp; Technol, Sch Chem Sci &amp; Food Technol, Bangi 43600, Selangor, Malaysia; [Obadina, Adewale Olusegun] Fed Univ Agr, Dept Food Sci &amp; Technol, Abeokuta, Nigeria; [Saba, Courage Kosi Setsoafia] Univ Dev Studies, Fac Agr, Dept Biotechnol, Tamale, Ghana; [Bamidele, Florence A.] Yaba Coll Technol, Sch Appl Sci, Dept Biol Sci, Lagos, Nigeria; [Abughoush, Mahmoud] Hashemite Univ, Fac Appl Med Sci, Dept Clin Nutr &amp; Dietet, POB 150459, Zarqa 13115, Jordan; [Asghar, Ali] Univ Agr Faisalabad, Natl Inst Food Sci &amp; Technol, Faisalabad, Pakistan; [Dongmo, Fabrice Fabien Dongho] Univ Douala, Lab Biochem, Douala, Cameroon; [Maceri, Darryl] Amer Univ Sovereign Nat, Scottsdale, AZ USA; [Aberoumand, Ali] Behbahan Khatam Alanbia Univ Technol, Behbahan, Iran</t>
  </si>
  <si>
    <t>University of Tasmania; Universiti Kebangsaan Malaysia; University of Agriculture, Abeokuta; University for Development Studies; Hashemite University; University of Agriculture Faisalabad</t>
  </si>
  <si>
    <t>Odeyemi, OA (corresponding author), Univ Tasmania, Inst Marine &amp; Antarctic Studies, Launceston, Tas, Australia.;Odeyemi, OA (corresponding author), Higis Int Fdn, Food Safety &amp; Qual Unit, Ctr Res Training &amp; Dev, Abeokuta, Nigeria.</t>
  </si>
  <si>
    <t>olumide.odeyemi@utas.edu.au</t>
  </si>
  <si>
    <t>Aberoumand, Ali/ABE-6715-2021; Obadina, Adewale/AAY-7123-2020; Odeyemi, Olumide A/ABE-3206-2021</t>
  </si>
  <si>
    <t>Odeyemi, Olumide A/0000-0002-6041-5027; Dongho Dongmo, Fabrice Fabien/0000-0002-6210-6869; Macer, Darryl/0000-0001-9335-4235</t>
  </si>
  <si>
    <t>0963-9969</t>
  </si>
  <si>
    <t>1873-7145</t>
  </si>
  <si>
    <t>FOOD RES INT</t>
  </si>
  <si>
    <t>Food Res. Int.</t>
  </si>
  <si>
    <t>10.1016/j.foodres.2018.10.030</t>
  </si>
  <si>
    <t>HL7TC</t>
  </si>
  <si>
    <t>WOS:000458942900152</t>
  </si>
  <si>
    <t>Basberg, BL</t>
  </si>
  <si>
    <t>Basberg, Bjorn L.</t>
  </si>
  <si>
    <t>Chr. Christensen and C. A. Larsen: A comparative analysis of two whaling entrepreneurs</t>
  </si>
  <si>
    <t>INTERNATIONAL JOURNAL OF MARITIME HISTORY</t>
  </si>
  <si>
    <t>Antarctica; entrepreneurship; history; whaling</t>
  </si>
  <si>
    <t>Chr. Christensen and C. A. Larsen are usually considered among the most important pioneers in the transfer of whaling to Antarctic waters in the early twentieth century. After a period of close cooperation during the 1890s, they took different courses and built up their Antarctic enterprises independently of each other. While Larsen initiated the foundation of shore station whaling at South Georgia, Christensen sent a floating factory ship to the South Shetland Islands. The main aim of the paper is to make a systematic comparison of the two entrepreneurs and their companies, and focus explicitly on the considerations and decisions they made when whaling was transferred from north to south. They obviously chose different strategies, but we will ask how different they really were in their thinking about how southern whaling was going to develop. Both entrepreneurs brought along their experiences from how whaling had been undertaken in the northern waters. It was not obvious what organizational patterns would work in the south, and we shall study how familiar and new ways of organizing the industry were combined - as is often the case in entrepreneurial innovations.</t>
  </si>
  <si>
    <t>[Basberg, Bjorn L.] Norwegian Sch Econ, Econ Hist, Bergen, Norway</t>
  </si>
  <si>
    <t>Norwegian School of Economics (NHH)</t>
  </si>
  <si>
    <t>Basberg, BL (corresponding author), Norwegian Sch Econ, N-5045 Bergen, Norway.</t>
  </si>
  <si>
    <t>bjorn.basberg@nhh.no</t>
  </si>
  <si>
    <t>0843-8714</t>
  </si>
  <si>
    <t>2052-7756</t>
  </si>
  <si>
    <t>INT J MARIT HIST</t>
  </si>
  <si>
    <t>Int. J. Marit. Hist.</t>
  </si>
  <si>
    <t>10.1177/0843871418822436</t>
  </si>
  <si>
    <t>HM5EH</t>
  </si>
  <si>
    <t>WOS:000459497600006</t>
  </si>
  <si>
    <t>Marizcurrena, JJ; Morales, D; Smircich, P; Castro-Sowinski, S</t>
  </si>
  <si>
    <t>Marizcurrena, Juan J.; Morales, Danilo; Smircich, Pablo; Castro-Sowinski, Susana</t>
  </si>
  <si>
    <t>Draft Genome Sequence of the UV-Resistant Antarctic Bacterium Sphingomonas sp. Strain UV9</t>
  </si>
  <si>
    <t>MICROBIOLOGY RESOURCE ANNOUNCEMENTS</t>
  </si>
  <si>
    <t>We report the draft genome sequence of the Antarctic UV-resistant bacterium Sphingornonas sp. strain UV9. The strain has a genome size of 4.25 Mb, a 65.62% GC content, and 3,879 protein-coding sequences. Among others, genes encoding the resolving of the DNA damage produced by the UV irradiation were identified.</t>
  </si>
  <si>
    <t>[Marizcurrena, Juan J.; Morales, Danilo; Castro-Sowinski, Susana] Univ Republica, Fac Sci, Sect Biochem, Montevideo, Uruguay; [Smircich, Pablo] Univ Republica, Fac Sci, Lab Mol Interact, Montevideo, Uruguay; [Smircich, Pablo] MEC, Inst Invest Biol Clemente Estable, Dept Genom, Montevideo, Uruguay; [Castro-Sowinski, Susana] MEC, Inst Invest Biol Clemente Estable, Mol Microbiol, Montevideo, Uruguay</t>
  </si>
  <si>
    <t>Universidad de la Republica, Uruguay; Universidad de la Republica, Uruguay; Instituto de Investigaciones Biologicas Clemente Estable Uruguay; Instituto de Investigaciones Biologicas Clemente Estable Uruguay</t>
  </si>
  <si>
    <t>Castro-Sowinski, S (corresponding author), Univ Republica, Fac Sci, Sect Biochem, Montevideo, Uruguay.;Castro-Sowinski, S (corresponding author), MEC, Inst Invest Biol Clemente Estable, Mol Microbiol, Montevideo, Uruguay.</t>
  </si>
  <si>
    <t>scs@fcien.edu.my</t>
  </si>
  <si>
    <t>Marizcurrena, Juan Jose/AAB-5482-2020</t>
  </si>
  <si>
    <t>Marizcurrena, Juan Jose/0000-0002-5191-1539; Smircich, Pablo/0000-0002-3856-3920</t>
  </si>
  <si>
    <t>PEDECIBA (Programa de Desarrollo de las Ciencias Basicas); ANII (Agencia Nacional de Investigacion e Innovacion) [FMV_3_2016_1_1226654]; ANII; CAP (Comision Academica de Posgrado, UdelaR)</t>
  </si>
  <si>
    <t>PEDECIBA (Programa de Desarrollo de las Ciencias Basicas); ANII (Agencia Nacional de Investigacion e Innovacion); ANII; CAP (Comision Academica de Posgrado, UdelaR)</t>
  </si>
  <si>
    <t>This work was partially supported by PEDECIBA (Programa de Desarrollo de las Ciencias Basicas) and ANII (Agencia Nacional de Investigacion e Innovacion, project FMV_3_2016_1_1226654). The work of J.J.M. was supported by ANII and CAP (Comision Academica de Posgrado, UdelaR).</t>
  </si>
  <si>
    <t>AMER SOC MICROBIOLOGY</t>
  </si>
  <si>
    <t>1752 N ST NW, WASHINGTON, DC 20036-2904 USA</t>
  </si>
  <si>
    <t>2576-098X</t>
  </si>
  <si>
    <t>MICROBIOL RESOUR ANN</t>
  </si>
  <si>
    <t>Microbiol. Resour. Ann.</t>
  </si>
  <si>
    <t>e01651</t>
  </si>
  <si>
    <t>10.1128/MRA.01651-18</t>
  </si>
  <si>
    <t>HM3MY</t>
  </si>
  <si>
    <t>WOS:000459379100012</t>
  </si>
  <si>
    <t>Martorell, MM; Ruberto, LAM; Fernández, PM; De Figueroa, LIC; Mac Cormack, WP</t>
  </si>
  <si>
    <t>Martorell, M. M.; Ruberto, L. A. M.; Fernandez, P. M.; De Figueroa, L. I. C.; Mac Cormack, W. P.</t>
  </si>
  <si>
    <t>Biodiversity and enzymes bioprospection of Antarctic filamentous fungi</t>
  </si>
  <si>
    <t>biotechnology; mycology; prospection; psychrophilic</t>
  </si>
  <si>
    <t>COLD ADAPTATION; DIVERSITY; ISLAND; COMMUNITIES; SOILS; WOOD; DEGRADATION; REGION; ICE</t>
  </si>
  <si>
    <t>Antarctica is one of the most suitable locations for the bioprospecting of psychrotrophic fungi, which play a key role in the nutrient cycle and organic material mineralization in cold environments. These actions mainly take place via the production of several cold-active extracellular enzymes. The aim of this study was to investigate the diversity of filamentous fungi from King George Island (25 De Mayo Island), Antarctica and their ability to produce extracellular hydrolytic enzymes at low temperatures. A total of 51 fungal isolates were obtained from 31 samples. Twelve genera were identified, with seven among the Ascomycota (Cadophora, Helotiales, Monographella, Oidodendron, Penicillium, Phialocephala, Phialophora, Phoma and Pseudogymnoascus), one Basidiomycota (Irpex) and two Mucoromycota (Mortierella and Mucor). Monographella lycopodina and Mucor zonatus, not previously reported in Antarctica, were identified. Nine isolates could not be identified to genus level and may represent novel species. Most of the studied fungi were psychrotrophic (76.5%). Nevertheless, only five isolates were able to grow at 35 degrees C, 15 degrees C being the optimal growth temperature for 65% of the fungal isolates. Results from enzyme production at low temperature revealed that the Antarctic environment contains metabolically diverse fungi, which represent potential tools for biotechnological applications in cold regions.</t>
  </si>
  <si>
    <t>[Martorell, M. M.; Ruberto, L. A. M.; Mac Cormack, W. P.] Inst Antartico Argentine, Buenos Aires, DF, Argentina; [Ruberto, L. A. M.; Mac Cormack, W. P.] Univ Buenos Aires, Buenos Aires, DF, Argentina; [Ruberto, L. A. M.; Mac Cormack, W. P.] NANOBIOTEC UBA CONICET, Inst Nanobiotecnol, Buenos Aires, DF, Argentina; [Fernandez, P. M.; De Figueroa, L. I. C.] PROIMI CONICET, Planta Piloto Proc Ind Microbiol, San Miguel De Tucuman, Tucuman, Argentina; [De Figueroa, L. I. C.] Univ Nacl Tucuman, San Miguel De Tucuman, Tucuman, Argentina</t>
  </si>
  <si>
    <t>Instituto Antartico Argentino; University of Buenos Aires; Consejo Nacional de Investigaciones Cientificas y Tecnicas (CONICET); Universidad Nacional de Tucuman</t>
  </si>
  <si>
    <t>Martorell, MM (corresponding author), Inst Antartico Argentine, Buenos Aires, DF, Argentina.</t>
  </si>
  <si>
    <t>mariamartha86@hotmail.com</t>
  </si>
  <si>
    <t>MARTORELL, MARIA MARTHA/0000-0002-4266-8629; Fernandez, Pablo Marcelo/0000-0003-0094-5058; Mac Cormack, Walter/0000-0002-5280-5463; Ruberto, Lucas Adolfo Mauro/0000-0001-5604-772X</t>
  </si>
  <si>
    <t>Instituto Antartico Argentino/Direccion Nacional del Antartico (IAA/DNA); Consejo Nacional de Investigaciones Cientificas y Tecnicas (CONICET); Agencia Nacional de Promocion Cientifica y Tecnologica (ANPCyT) [PICTO 2010-0124]; Universidad de Buenos Aires (UBA) [20020130100569BA]; Universidad Nacional de Tucuman (UNT)</t>
  </si>
  <si>
    <t>Instituto Antartico Argentino/Direccion Nacional del Antartico (IAA/DNA); Consejo Nacional de Investigaciones Cientificas y Tecnicas (CONICET)(Consejo Nacional de Investigaciones Cientificas y Tecnicas (CONICET)); Agencia Nacional de Promocion Cientifica y Tecnologica (ANPCyT)(ANPCyTSpanish Government); Universidad de Buenos Aires (UBA)(University of Buenos Aires); Universidad Nacional de Tucuman (UNT)</t>
  </si>
  <si>
    <t>This work was supported by Instituto Antartico Argentino/Direccion Nacional del Antartico (IAA/DNA), Consejo Nacional de Investigaciones Cientificas y Tecnicas (CONICET), Agencia Nacional de Promocion Cientifica y Tecnologica (ANPCyT, Project PICTO 2010-0124), Universidad de Buenos Aires (UBA, Project 20020130100569BA) and Universidad Nacional de Tucuman (UNT). The authors would like to thank the reviewers for their time spent on reviewing this manuscript and their helpful comments towards improving the article.</t>
  </si>
  <si>
    <t>10.1017/S0954102018000421</t>
  </si>
  <si>
    <t>HL8ZN</t>
  </si>
  <si>
    <t>WOS:000459031700002</t>
  </si>
  <si>
    <t>Dayton, PK; Oliver, JS; Thrush, SF; Hammerstrom, K</t>
  </si>
  <si>
    <t>Dayton, Paul K.; Oliver, John S.; Thrush, Simon F.; Hammerstrom, Kamille</t>
  </si>
  <si>
    <t>Bacteria defend carrion from scavengers</t>
  </si>
  <si>
    <t>Beggiatoa/Thioploca bacteria; carcass; McMurdo Sound; Salmon Bay; scavenging</t>
  </si>
  <si>
    <t>COMMUNITY; ECOLOGY; FALLS</t>
  </si>
  <si>
    <t>Carrion in the form of dead seal pups and algal mats placed on soft bottom habitats at Explorers Cove and Salmon Bay, McMurdo Sound, attract scavenging invertebrates that are driven away by hydrogen sulphide produced by sulphate-reducing bacteria sequestered below a layer of Beggiatoa/Thioploca-like filamentous bacteria. This system is usually found for lipid-rich marine mammal carrion, but also occurred with natural algal mats.</t>
  </si>
  <si>
    <t>[Dayton, Paul K.] Scripps Inst Oceanog, Mail Code 0227,9500 Gilman Dr, La Jolla, CA 92093 USA; [Oliver, John S.; Hammerstrom, Kamille] Moss Landing Marine Labs, 8272 Moss Landing Rd, Moss Landing, CA 95039 USA; [Thrush, Simon F.] Univ Auckland, Inst Marine Sci, Private Bag 92019, Auckland 1142, New Zealand</t>
  </si>
  <si>
    <t>University of California System; University of California San Diego; Scripps Institution of Oceanography; Moss Landing Marine Laboratories; University of Auckland</t>
  </si>
  <si>
    <t>Hammerstrom, K (corresponding author), Moss Landing Marine Labs, 8272 Moss Landing Rd, Moss Landing, CA 95039 USA.</t>
  </si>
  <si>
    <t>khammerstrom@mlml.calstate.edu</t>
  </si>
  <si>
    <t>Thrush, Simon/0000-0002-4005-3882; Hammerstrom, Kamille/0000-0002-1177-5552</t>
  </si>
  <si>
    <t>National Science Foundation</t>
  </si>
  <si>
    <t>We thank Don Siniff for allowing us to collect the dead seal pups on his NOAA collection permit. Jim Barry, Judi Hansen and Eric Vetter helped with the diving. Chuck Amsler, Craig McClain, andMarshall Bowles encouraged this manuscript with constructive suggestions. We also appreciate the constructive reviews by an anonymous reviewer and by Craig Smith. This work was funded by the National Science Foundation.</t>
  </si>
  <si>
    <t>10.1017/S0954102018000457</t>
  </si>
  <si>
    <t>WOS:000459031700003</t>
  </si>
  <si>
    <t>Cleary, AC; Casas, MC; Durbin, EG; Gómez-Gutiérrez, J</t>
  </si>
  <si>
    <t>Cleary, Alison C.; Casas, Maria C.; Durbin, Edward G.; Gomez-Gutierrez, Jaime</t>
  </si>
  <si>
    <t>Parasites in Antarctic krill guts inferred from DNA sequences</t>
  </si>
  <si>
    <t>18S rDNA; apicomplexa; Euphausia superba; nematode; Pseudocollinia; West Antarctic Peninsula</t>
  </si>
  <si>
    <t>PSEUDOCOLLINIA-BRINTONI; EUPHAUSIA-SUPERBA; MORPHOLOGY; PACIFIC; LIGHT; CATCH</t>
  </si>
  <si>
    <t>The keystone role of Antarctic krill, Euphausia superba Dana, in Southern Ocean ecosystems, means it is essential to understand the factors controlling their abundance and secondary production. One such factor that remains poorly known is the role of parasites. A recent study of krill diet using DNA analysis of gut contents provided a snapshot of the parasites present within 170 E. superba guts in a small area along the West Antarctic Peninsula. These parasites included Metschnikowia spp. fungi, Haptoglossa sp. peronosporomycetes, Lankesteria and Paralecudina spp. apicomplexa, Stegophorus sp. nematodes, and Pseudocollinia spp. ciliates. Of these parasites, Metschnikowia spp. fungi and Pseudocollinia spp. ciliates had previously been observed in E. superba, as had other genera of apicomplexans, though not Lankesteria and Paralecudina. In contrast, nematodes had previously only been observed in eggs of E. superba, and there are no literature reports of peronosporomycetes in euphausiids. Pseudocollinia spp., parasitoids which obligately kill their host, were the most frequently observed infection, with a prevalence of 12%. The wide range of observed parasites and the relatively high frequency of infections suggest parasites may play a more important role than previously acknowledged in E. superba ecology and population dynamics.</t>
  </si>
  <si>
    <t>[Cleary, Alison C.; Casas, Maria C.; Durbin, Edward G.] Univ Rhode Isl, Grad Sch Oceanog, Kingston, RI 02881 USA; [Gomez-Gutierrez, Jaime] Inst Politecn Nacl, Ctr Interdisciplinario Ciencias Marinas, Mexico City 07738, DF, Mexico; [Cleary, Alison C.] Norwegian Polar Res Inst, Tromso, Norway</t>
  </si>
  <si>
    <t>University of Rhode Island; Instituto Politecnico Nacional - Mexico; Norwegian Polar Institute</t>
  </si>
  <si>
    <t>Cleary, AC (corresponding author), Univ Rhode Isl, Grad Sch Oceanog, Kingston, RI 02881 USA.;Cleary, AC (corresponding author), Norwegian Polar Res Inst, Tromso, Norway.</t>
  </si>
  <si>
    <t>alison_cleary@my.uri.edu</t>
  </si>
  <si>
    <t>Seasonal Trophic Roles of Euphausia superba (STRES), NSF [ANT-1142107]</t>
  </si>
  <si>
    <t>Seasonal Trophic Roles of Euphausia superba (STRES), NSF</t>
  </si>
  <si>
    <t>Many thanks to the crew and science party of NB Palmer cruise 1410, especially Iain McCoy, Michelle Dennis, Dave Gleeson and Jessica Perreault. Thanks to Geraint Tarling and Sophie Fielding of British Antarctic Survey for insightful conversations on krill parasites. Thanks also to the Rhode Island Genomics and Sequencing Centre, and to the Brown University Centre for Computation and Visualization. This research was part of Seasonal Trophic Roles of Euphausia superba (STRES), NSF #ANT-1142107.</t>
  </si>
  <si>
    <t>10.1017/S0954102018000469</t>
  </si>
  <si>
    <t>WOS:000459031700004</t>
  </si>
  <si>
    <t>Yao, XH; Wang, TL; Wang, HJ; Liu, HW; Liu, SH; Zhao, QG; Chen, KS; Zhang, PY</t>
  </si>
  <si>
    <t>Yao, Xinghao; Wang, Tailin; Wang, Huijuan; Liu, Hongwei; Liu, Shenghao; Zhao, Qingang; Chen, Kaoshan; Zhang, Pengying</t>
  </si>
  <si>
    <t>Identification, characterization and expression analysis of the chalcone synthase family in the Antarctic moss Pohlia nutans</t>
  </si>
  <si>
    <t>abiotic stress; extreme environment; flavonoids</t>
  </si>
  <si>
    <t>III POLYKETIDE SYNTHASES; ARABIDOPSIS-THALIANA; FLAVONOID BIOSYNTHESIS; GENETIC DIVERSITY; STRESS-TOLERANCE; LOCALIZATION; SALT; REGULATOR; MUTANTS; CLONING</t>
  </si>
  <si>
    <t>Mosses have adapted to the Antarctic environment and are an ideal medium for studying plant resistance to abiotic stress. Chalcone synthase is the first committed enzyme in the flavonoid metabolic pathway, which plays an indispensable role in plant resistance to adversity. In this study, six genes (Pn021, PnCHS088, Pn270, PnCHS444, PnCHS768 and Pn847) were identified in the Antarctic moss Pohlia nutans Lindberg transcriptome by reverse transcription polymerase chain reaction (RT-PCR) and rapid amplification of cDNA ends (RACE). Sequence alignment and three-dimensional structure analysis revealed the conserved amino acid residues of the enzymes of the chalcone synthase family, including three catalytic residues (Cys(164), His(303) and Asn(336)) and two substrate recognition residues (Phe(215) and Phe(265)). Phylogenetic analysis indicated that PnCHS088, PnCHS444 and PnCHS768 might be chalcone synthase but that Pn021 is more like stilbenecarboxylate synthase. These genes were located at the transition between fungi and advanced plants in the phylogenetic tree. In addition, real-time PCR analysis revealed that the expression profiles of the six P. nutans genes were influenced by diverse abiotic stresses as well as by abscisic acid and methyl jasmonate. The results presented here contribute to the study of the CHS gene family in polar mosses and further reveal the mechanisms underlying the adaptation of mosses to extreme environments.</t>
  </si>
  <si>
    <t>[Yao, Xinghao; Wang, Tailin; Wang, Huijuan; Liu, Hongwei; Zhao, Qingang; Chen, Kaoshan; Zhang, Pengying] Shandong Univ, Natl Glvcoengn Res Ctr, Jinan 250100, Shandong, Peoples R China; [Yao, Xinghao; Wang, Tailin; Wang, Huijuan; Liu, Hongwei; Zhao, Qingang; Chen, Kaoshan; Zhang, Pengying] Shandong Univ, Sch Life Sci, Jinan 250100, Shandong, Peoples R China; [Liu, Shenghao] State Ocean Adm, Inst Oceanog 1, Marine Ecol Res Ctr, Qingdao 266061, Peoples R China; [Yao, Xinghao; Wang, Huijuan; Liu, Hongwei; Chen, Kaoshan; Zhang, Pengying] Shandong Prov Key Lab Carbohydrate Chem &amp; Glycobi, Jinan 250100, Shandong, Peoples R China; [Wang, Tailin] Chinese Acad Sci, Tianjin Inst Ind Biotechnol, Tianjin 300308, Peoples R China</t>
  </si>
  <si>
    <t>Shandong University; Shandong University; First Institute of Oceanography, Ministry of Natural Resources; Chinese Academy of Sciences; Tianjin Institute of Industrial Biotechnology, CAS</t>
  </si>
  <si>
    <t>Zhang, PY (corresponding author), Shandong Univ, Natl Glvcoengn Res Ctr, Jinan 250100, Shandong, Peoples R China.;Zhang, PY (corresponding author), Shandong Univ, Sch Life Sci, Jinan 250100, Shandong, Peoples R China.;Zhang, PY (corresponding author), Shandong Prov Key Lab Carbohydrate Chem &amp; Glycobi, Jinan 250100, Shandong, Peoples R China.</t>
  </si>
  <si>
    <t>zhangpy80@sdu.edu.cn</t>
  </si>
  <si>
    <t>Liu, Shenghao/ISU-3076-2023; wang, hui/GRS-4730-2022; wang, hui/HSG-6135-2023</t>
  </si>
  <si>
    <t>Liu, Shenghao/0000-0002-1449-3526;</t>
  </si>
  <si>
    <t>National Natural Science Foundation of China [41206176, 41476174]; Natural Science Foundation of Shandong Province [ZR2017MD013, ZR2014DQ012]; Basic Scientific Fund for National Public Research Institutes of China [2014T04]; Excellent Creative TeamFund of Jinan; Fund for Transformation of Agricultural Scientific and Technological Achievements of Shandong Province; School of Life Science of Shandong University</t>
  </si>
  <si>
    <t>National Natural Science Foundation of China(National Natural Science Foundation of China (NSFC)); Natural Science Foundation of Shandong Province(Natural Science Foundation of Shandong Province); Basic Scientific Fund for National Public Research Institutes of China; Excellent Creative TeamFund of Jinan; Fund for Transformation of Agricultural Scientific and Technological Achievements of Shandong Province; School of Life Science of Shandong University</t>
  </si>
  <si>
    <t>This work was supported by the National Natural Science Foundation of China (41206176 and 41476174); the Natural Science Foundation of Shandong Province (ZR2017MD013 and ZR2014DQ012); the Basic Scientific Fund for National Public Research Institutes of China (2014T04); the Excellent Creative TeamFund of Jinan; and the Fund for Transformation of Agricultural Scientific and Technological Achievements of Shandong Province. Thanks to the School of Life Science of Shandong University for providing the advanced platform, and to the reviewers for their helpful comments that significantly improved the paper. Thanks also to Xu Li for helping with the construction of 3D models.</t>
  </si>
  <si>
    <t>10.1017/S0954102018000470</t>
  </si>
  <si>
    <t>WOS:000459031700005</t>
  </si>
  <si>
    <t>Agnolin, FL; Bogan, S; Rozadilla, S</t>
  </si>
  <si>
    <t>Lisandro Agnolin, Federico; Bogan, Sergio; Rozadilla, Sebastian</t>
  </si>
  <si>
    <t>Short Note Were ibises (Aves, Threskiornithidae) present in Antarctica?</t>
  </si>
  <si>
    <t>[Lisandro Agnolin, Federico; Rozadilla, Sebastian] Museo Argentino Ciencias Nat Bernardino Rivadavi, Lab Anat Comparada &amp; Evolut Vertebrados, Av Angel Gallardo 470 C1405DJR, Buenos Aires, DF, Argentina; [Lisandro Agnolin, Federico; Bogan, Sergio] Univ Maimonides, Fdn Hist Nat Felix de Azara, Hidalgo 775 C1405BDB, Buenos Aires, DF, Argentina</t>
  </si>
  <si>
    <t>Rozadilla, S (corresponding author), Museo Argentino Ciencias Nat Bernardino Rivadavi, Lab Anat Comparada &amp; Evolut Vertebrados, Av Angel Gallardo 470 C1405DJR, Buenos Aires, DF, Argentina.</t>
  </si>
  <si>
    <t>sebastianrozadilla@gmail.com</t>
  </si>
  <si>
    <t>10.1017/S0954102018000512</t>
  </si>
  <si>
    <t>WOS:000459031700006</t>
  </si>
  <si>
    <t>Wainer, I; Gent, PR</t>
  </si>
  <si>
    <t>Wainer, Ilana; Gent, Peter R.</t>
  </si>
  <si>
    <t>Changes in the Atlantic Sector of the Southern Ocean estimated from the CESM Last Millennium Ensemble</t>
  </si>
  <si>
    <t>ACC system; climate change; South Atlantic; Southern Hemisphere; westerlies</t>
  </si>
  <si>
    <t>ANTARCTIC CIRCUMPOLAR CURRENT; MERIDIONAL OVERTURNING CIRCULATION; POLAR FRONT; PART I; CLIMATE; VARIABILITY; WINDS</t>
  </si>
  <si>
    <t>The changes in the Antarctic Circumpolar Current system associated with the Polar, sub-Antarctic and Subtropical Fronts in the Atlantic are examined in a ten-member ensemble using the Community Earth System Model. Results for the ensemble average mean show that the Polar Front at 25 degrees W shifts to the south by 0.8 degrees during 1970-2000 compared to its mean latitude over the period 1050-1950. This shift is significant because it is more than twice the standard deviation of the mean latitude time series during 1050-1950. The shift is caused by a slight southward displacement of the Antarctic Circumpolar Current, which in turn is caused by a southward shift in the latitude of the maximum zonal wind stress. The sub-Antarctic Front also shows a small southward shift after 1970, with a maximum latitudinal displacement of 0.2 degrees. However, this shift is not significant compared to the standard deviation of the time series during 1050-1950. The Subtropical Front does not change its latitude during 1970-2000 compared to 1050-2000 because there is very little change in the wind-stress curl in the subtropics. Differences in temperature and salinity throughout the water column at 25 degrees W reveal that during 1970-2000 there is freshening of Antarctic Intermediate Water, whereas the Circumpolar Deep Water becomes saltier.</t>
  </si>
  <si>
    <t>[Wainer, Ilana] Univ Sao Paulo, Oceanog Inst, BR-05508120 Sao Paulo, SP, Brazil; [Gent, Peter R.] Natl Ctr Atmospher Res, Boulder, CO 80307 USA</t>
  </si>
  <si>
    <t>Universidade de Sao Paulo; National Center Atmospheric Research (NCAR) - USA</t>
  </si>
  <si>
    <t>Wainer, I (corresponding author), Univ Sao Paulo, Oceanog Inst, BR-05508120 Sao Paulo, SP, Brazil.</t>
  </si>
  <si>
    <t>wainer@usp.br</t>
  </si>
  <si>
    <t>Gent, Peter/HGB-9457-2022; WAINER, ILANA/B-4540-2011</t>
  </si>
  <si>
    <t>WAINER, ILANA/0000-0003-3784-623X</t>
  </si>
  <si>
    <t>FAPESP [2015/17659-0]; CNPq-MCT-INCT-594-CRIO; Coordenacao de Aperfeicoamento de Pessoal de Nivel Superior - Brasil (CAPES) [001]; National Science Foundation; [CNPq-301726/2013-2]; [CNPq-405869/2013-4]; [573720/2008-8]; Fundacao de Amparo a Pesquisa do Estado de Sao Paulo (FAPESP) [15/17659-0] Funding Source: FAPESP</t>
  </si>
  <si>
    <t>FAPESP(Fundacao de Amparo a Pesquisa do Estado de Sao Paulo (FAPESP)); CNPq-MCT-INCT-594-CRIO; Coordenacao de Aperfeicoamento de Pessoal de Nivel Superior - Brasil (CAPES)(Coordenacao de Aperfeicoamento de Pessoal de Nivel Superior (CAPES)); National Science Foundation(National Science Foundation (NSF)); ; ; ; Fundacao de Amparo a Pesquisa do Estado de Sao Paulo (FAPESP)(Fundacao de Amparo a Pesquisa do Estado de Sao Paulo (FAPESP))</t>
  </si>
  <si>
    <t>This study was supported by grant FAPESP 2015/17659-0 and grants CNPq-301726/2013-2; CNPq-405869/2013-4; CNPq-MCT-INCT-594-CRIO; 573720/2008-8; Coordenacao de Aperfeicoamento de Pessoal de Nivel Superior - Brasil (CAPES) - Finance Code 001. IW thanks Bette Otto-Bliesner from the National Center for Atmospheric Research (NCAR) for making the CESM-LME data available and Martim Mas for help with schematics. The authors also wish to thank two anonymous reviewers for their helpful comments and suggestions. Monthly, daily and six-hourly outputs are saved and archived on the Earth System Grid (http://www.earthsystemgrid.org) as single variable time series. NCAR is funded by the National Science Foundation.</t>
  </si>
  <si>
    <t>10.1017/S0954102018000433</t>
  </si>
  <si>
    <t>WOS:000459031700007</t>
  </si>
  <si>
    <t>Liu, HQ; Xu, YG; Zhong, YT; Luo, ZY; Mundil, R; Riley, TR; Zhang, L; Xie, W</t>
  </si>
  <si>
    <t>Liu, Hai-Quan; Xu, Yi-Gang; Zhong, Yu-Ting; Luo, Zhen-Yu; Mundil, Roland; Riley, Teal R.; Zhang, Le; Xie, Wei</t>
  </si>
  <si>
    <t>Crustal melting above a mantle plume: Insights from the Permian Tarim Large Igneous Province, NW China</t>
  </si>
  <si>
    <t>LITHOS</t>
  </si>
  <si>
    <t>ZIRCON U-PB; LARGE-VOLUME; ANTARCTIC PENINSULA; HIGH-TEMPERATURE; LITHOSPHERE INTERACTION; RHYOLITIC VOLCANISM; YELLOWSTONE HOTSPOT; CALDERA COMPLEXES; SILICIC VOLCANISM; ISOTOPIC EVIDENCE</t>
  </si>
  <si>
    <t>Low Nb-Ta rhyolites from the Permian Tarim Large Igneous Province (LIP) represent the melting products of continental crust above a mantle plume. Zircon U-Pb dating reveals that the Kuchehe and Dawanqi rhyolites were erupted at 292.6 +/- 0.5 Ma and 274 +/- 2 Ma respectively. Both rhyolite groups are characterized by pronounced negative Nb-Ta anomalies, crust-like trace element ratios and negative epsilon(Nd-Hf)(t) values, consistent with a crustal origin. Newly acquired data, combined with available data in the literature, clearly show that there is an increasing trend of zircon saturation temperature (T-Zr) from 794 to 827 degrees C to 886-936 degrees C for the early to middle stage (293-287 Ma), followed by a decreasing T-Zr of 803-908 degrees C for the late stage (287-274 Ma) of the Tarim magmatism. The temporal changes in T-Zr for the Tarim rhyolites are interpreted to reflect the crustal melting behavior above a mantle plume, such that fusible materials in the crust melt at an earlier stage and refractory materials melt at a later stage. The gradual decrease in T-Zr, towards the final stage of the Tarim rhyolitic magmatism, reflects the gradual 'decay' of thermal input from mantle plume to the lithosphere in the region. This thermal model is also applicable to describe the crustal melting behavior in the Chon Aike silicic LIP of Patagonia and the Snake River Plateau-Yellowstone Plateau volcanic provinces. (C) 2018 Elsevier B.V. All rights reserved.</t>
  </si>
  <si>
    <t>[Liu, Hai-Quan; Xu, Yi-Gang; Zhong, Yu-Ting; Luo, Zhen-Yu; Zhang, Le] Chinese Acad Sci, Guangzhou Inst Geochem, State Key Lab Isotope Geochem, Guangzhou 510640, Guangdong, Peoples R China; [Liu, Hai-Quan] Chinese Acad Sci, Guangzhou Inst Geochem, Key Lab Ocean &amp; Marginal Sea Geol, Guangzhou 510640, Guangdong, Peoples R China; [Liu, Hai-Quan] Chinese Acad Sci, Inst Earth Sci, Beijing, Peoples R China; [Mundil, Roland] Berkeley Geochronol Ctr, 2455 Ridge Rd, Berkeley, CA 94709 USA; [Riley, Teal R.] British Antarctic Survey, Nat Environm Res Council, Madingley Rd, Cambridge CB3 0ET, England; [Xie, Wei] Hohai Univ, Coll Oceanog, Nanjing 210098, Jiangsu, Peoples R China</t>
  </si>
  <si>
    <t>Chinese Academy of Sciences; Guangzhou Institute of Geochemistry, CAS; Chinese Academy of Sciences; Guangzhou Institute of Geochemistry, CAS; Chinese Academy of Sciences; Berkeley Geochronolgy Center; UK Research &amp; Innovation (UKRI); Natural Environment Research Council (NERC); NERC British Antarctic Survey; Hohai University</t>
  </si>
  <si>
    <t>Liu, HQ (corresponding author), Chinese Acad Sci, Guangzhou Inst Geochem, Guangzhou 510640, Guangdong, Peoples R China.</t>
  </si>
  <si>
    <t>liuhaiquan@gig.ac.cn</t>
  </si>
  <si>
    <t>Xu, Yi-Gang/E-9539-2010</t>
  </si>
  <si>
    <t>Riley, Teal/0000-0002-3333-5021</t>
  </si>
  <si>
    <t>Chinese Academy of Sciences [XDB18000000]; National Programme on Global Change and Air-Sea Interaction [GASI-GEOGE-02]; National Basic Research Program of China [2011CB808906]; National Science Foundation of China [41406058]; Natural Environment Research Council (UK); State Key Laboratory of Isotope Geochemistry, Guangzhou Institute of Geochemistry, Chinese Academy of Sciences [SKLabIG-KF-16-13]; NERC [bas0100029] Funding Source: UKRI</t>
  </si>
  <si>
    <t>Chinese Academy of Sciences(Chinese Academy of Sciences); National Programme on Global Change and Air-Sea Interaction; National Basic Research Program of China(National Basic Research Program of China); National Science Foundation of China(National Natural Science Foundation of China (NSFC)); Natural Environment Research Council (UK)(UK Research &amp; Innovation (UKRI)Natural Environment Research Council (NERC)); State Key Laboratory of Isotope Geochemistry, Guangzhou Institute of Geochemistry, Chinese Academy of Sciences; NERC(UK Research &amp; Innovation (UKRI)Natural Environment Research Council (NERC))</t>
  </si>
  <si>
    <t>This paper was supported by research grants from the Strategic Priority Research Program (B) of Chinese Academy of Sciences (XDB18000000), National Programme on Global Change and Air-Sea Interaction (GASI-GEOGE-02), the National Basic Research Program of China (2011CB808906), the National Science Foundation of China (41406058), the Natural Environment Research Council (UK) and the State Key Laboratory of Isotope Geochemistry, Guangzhou Institute of Geochemistry, Chinese Academy of Sciences (SKLabIG-KF-16-13). This study represents a compilation of the contributions of many people. Jin-Long Ma, Xi-Rong Liang, Cong-Ying Li and Xiang-Lin Tu are heartily thanked for helping in experimental work. We thank Calvin Miller and an anonymous reviewer for their constructive comments and suggestions on different versions of the manuscript and Barbara P. Nash for providing geochemical data from the SRP-YP volcanic provinces. The authors gratefully acknowledge Wei Tian for providing samples from the Dawanqi section and field assistance in the Kuchehe section. This is contribution No.15-2628 from GIGCAS.</t>
  </si>
  <si>
    <t>0024-4937</t>
  </si>
  <si>
    <t>1872-6143</t>
  </si>
  <si>
    <t>Lithos</t>
  </si>
  <si>
    <t>10.1016/j.lithos.2018.12.031</t>
  </si>
  <si>
    <t>HL7TA</t>
  </si>
  <si>
    <t>WOS:000458942700023</t>
  </si>
  <si>
    <t>White, CA; Woodcock, SH; Bannister, RJ; Nichols, PD</t>
  </si>
  <si>
    <t>White, Camille A.; Woodcock, Skye H.; Bannister, Raymond J.; Nichols, Peter D.</t>
  </si>
  <si>
    <t>Terrestrial fatty acids as tracers of finfish aquaculture waste in the marine environment</t>
  </si>
  <si>
    <t>REVIEWS IN AQUACULTURE</t>
  </si>
  <si>
    <t>aquaculture; fatty acid biomarker; marine environment; terrestrial lipid; waste subsidy; waste dispersal</t>
  </si>
  <si>
    <t>SALMON SALMO-SALAR; FISH FARM SEDIMENTS; ORGANIC-MATTER; WILD FISH; STABLE-ISOTOPE; SEA-URCHIN; SULFATE REDUCTION; ESTIMATING DIETS; TROPHIC MARKERS; COASTAL FISH</t>
  </si>
  <si>
    <t>Waste from open-cage aquaculture flows directly into the marine environment from uneaten feeds, faecal material and dissolved nutrients. Sustainable management outcomes are regularly based on the dispersal patterns of the waste, with biochemical tracing a key tool in understanding the footprint of aquaculture. We examined the use of fatty acid (FA) analysis to trace aquaculture waste for this purpose, with the aim of identifying specific biomarkers for environmental applications, as well as identifying challenges that are regularly encountered. Overall, the widespread use of terrestrial-based oils in the production of marine aquaculture feeds has increased the use of FA biomarkers to trace aquaculture waste across benthic and pelagic systems, in vertebrates, invertebrates and environmental samples such as sediment and seston. A combination of linoleic acid (LA), oleic acid (OA) and alpha-linolenic acid (ALA), which are dominant C-18 FA in terrestrial seed and animal oils, is the most commonly used biomarkers, along with overall shifts in FA profile related to diet. A challenge regularly encountered, particularly in lower trophic species, was the capacity of an organism to biomodify or selectively spare certain dietary FA, which can mask assimilation of aquaculture-derived FA. In these species, controlled feeding studies are needed to properly understand FA metabolism and to ensure correct interpretation of FA data collected from wild samples. Overall, as FA biomarkers have the capacity to link aquaculture waste in the environment with potential effect, they are a valuable and increasingly applied tool for examining the overall influence of aquaculture in marine ecosystems.</t>
  </si>
  <si>
    <t>[White, Camille A.] Univ Tasmania, Inst Marine &amp; Antarctic Studies, Private Bag 49, Hobart, Tas 7000, Australia; [White, Camille A.] Univ Melbourne, Sch BioSci, Sustainable Aquaculture Lab, Temperate &amp; Trop, Parkville, Vic, Australia; [Woodcock, Skye H.; Bannister, Raymond J.] Inst Marine Res, Bergen, Norway; [Nichols, Peter D.] CSIRO, Oceans &amp; Atmosphere, Hobart, Tas, Australia</t>
  </si>
  <si>
    <t>University of Tasmania; University of Melbourne; Institute of Marine Research - Norway; Commonwealth Scientific &amp; Industrial Research Organisation (CSIRO)</t>
  </si>
  <si>
    <t>White, CA (corresponding author), Univ Tasmania, Inst Marine &amp; Antarctic Studies, Private Bag 49, Hobart, Tas 7000, Australia.</t>
  </si>
  <si>
    <t>camille.white@utas.edu.au</t>
  </si>
  <si>
    <t>Nichols, Peter D/C-5128-2011</t>
  </si>
  <si>
    <t>Norwegian Research Council [228871]; Overseas Research Experience Scholarship (University of Melbourne)</t>
  </si>
  <si>
    <t>Norwegian Research Council(Research Council of Norway); Overseas Research Experience Scholarship (University of Melbourne)</t>
  </si>
  <si>
    <t>We would like to thank T. Dempster (University of Melbourne) for helpful discussions during the development of this paper. This work was supported by the Norwegian Research Council (Project no. 228871) and an Overseas Research Experience Scholarship (University of Melbourne) awarded to C.A. White.</t>
  </si>
  <si>
    <t>1753-5123</t>
  </si>
  <si>
    <t>1753-5131</t>
  </si>
  <si>
    <t>REV AQUACULT</t>
  </si>
  <si>
    <t>Rev. Aquac.</t>
  </si>
  <si>
    <t>10.1111/raq.12230</t>
  </si>
  <si>
    <t>HL4KQ</t>
  </si>
  <si>
    <t>WOS:000458688100008</t>
  </si>
  <si>
    <t>Zhang, CD; Sirijovski, N; Adler, L; Ferrari, BC</t>
  </si>
  <si>
    <t>Zhang, Chengdong; Sirijovski, Nick; Adler, Lewis; Ferrari, Belinda C.</t>
  </si>
  <si>
    <t>Exophiala macquariensis sp. nov., a cold adapted black yeast species recovered from a hydrocarbon contaminated sub-Antarctic soil</t>
  </si>
  <si>
    <t>FUNGAL BIOLOGY</t>
  </si>
  <si>
    <t>Bioremediation; Diesel fuel; Macquarie island; Soil fungi; Toluene degradation</t>
  </si>
  <si>
    <t>EXOPHILLIC ACID; BIODEGRADATION; FUNGI; ENVIRONMENTS; OLIGOSPERMA; STYRENE; TOLUENE; GROWTH; IDENTIFICATION; DISHWASHERS</t>
  </si>
  <si>
    <t>A new black yeast species, Exophiala macquariensis is described that is a member of the ascomycete family Herpotrichiellaceae, order Chaetothyriales. The genus Exophiala is comprised of opportunistic pathogens isolated from clinical specimens as well as species recovered from hydrocarbon contaminated environments. Several species have been reported to be able to degrade benzene, toluene, ethylbenzene and xylenes. Here, a novel species of Exophiala (CZ06) previously isolated from a Sub-Antarctic, Macquarie Island soil that was spiked with Special Antarctic Blend diesel fuel (SAB) is described. This isolate has the capacity of toluene biodegradation at cold temperatures. Multilocus sequence typing showed that this fungus was closely related to the pathogenic species Exophiala salmonis and Exophiala equina. With the capacity to utilise hydrocarbons as a sole carbon source at 10 degrees C, this fungus has great potential for future bioremediation applications. (C) 2018 British Mycological Society. Published by Elsevier Ltd. All rights reserved.</t>
  </si>
  <si>
    <t>[Zhang, Chengdong; Ferrari, Belinda C.] UNSW Sydney, Sch Biotechnol &amp; Biomol Sci, Sydney, NSW 2052, Australia; [Sirijovski, Nick] Lund Univ, Div Pure &amp; Appl Biochem, S-22100 Lund, Sweden; [Adler, Lewis] UNSW Sydney, Bioanalyt Mass Spectrometry Facil, Sydney, NSW 2052, Australia</t>
  </si>
  <si>
    <t>University of New South Wales Sydney; Lund University; University of New South Wales Sydney</t>
  </si>
  <si>
    <t>Ferrari, BC (corresponding author), UNSW Sydney, Sch Biotechnol &amp; Biomol Sci, Sydney, NSW 2052, Australia.</t>
  </si>
  <si>
    <t>Ferrari, Belinda/AAI-3022-2020</t>
  </si>
  <si>
    <t>Ferrari, Belinda/0000-0001-5043-3726; Adler, Lewis/0000-0001-8427-8947; Sirijovski, Nick/0000-0002-6191-3845</t>
  </si>
  <si>
    <t>UNSW Sydney</t>
  </si>
  <si>
    <t>The authors would like to thank Dr Josie van Dorst for soil sample collection from Sub-Antarctic Macquarie Island. Funding was obtained from UNSW Sydney for this project.</t>
  </si>
  <si>
    <t>1878-6146</t>
  </si>
  <si>
    <t>1878-6162</t>
  </si>
  <si>
    <t>FUNGAL BIOL-UK</t>
  </si>
  <si>
    <t>Fungal Biol.</t>
  </si>
  <si>
    <t>10.1016/j.funbio.2018.11.011</t>
  </si>
  <si>
    <t>Mycology</t>
  </si>
  <si>
    <t>HL4QX</t>
  </si>
  <si>
    <t>WOS:000458709300007</t>
  </si>
  <si>
    <t>Omosanya, KO; Harishidayat, D</t>
  </si>
  <si>
    <t>Omosanya, Kamaldeen Olakunle; Harishidayat, Dicky</t>
  </si>
  <si>
    <t>Seismic geomorphology of Cenozoic slope deposits and deltaic clinoforms in the Great South Basin (GSB) offshore New Zealand</t>
  </si>
  <si>
    <t>GEO-MARINE LETTERS</t>
  </si>
  <si>
    <t>MASS-TRANSPORT DEPOSITS; ANTARCTIC CIRCUMPOLAR CURRENT; SEQUENCE STRATIGRAPHY; CONTINENTAL-MARGIN; CAMPBELL PLATEAU; WATER; CONTOURITES; SUBDUCTION; EVOLUTION; OLIGOCENE</t>
  </si>
  <si>
    <t>In this study, the Cenozoic sedimentation and infill history of the Great South Basin (GSB), New Zealand, is analysed from a seismic geomorphologic perspective. A suite of sediment types, including mass-transport deposits (MTDs), deltaic clinoforms, contourite-drifts and turbidites, are documented based on high-quality 3-D seismic reflection data and multiple regional 2-D seismic profiles. The MTDs include older, highly compacted and deeper Palaeocene deposits that are markers of late Neogene tectonic reactivation, while the younger MTDs were translated over slopes eroded by drifts. Possible trigger mechanisms for mass wasting may include oversteepened margins, prolonged fluid dissipation and weak geological layers. Sedimentation from the Eocene to Recent was contemporaneous with regional plate reorganisation and syn-orogenic activity. As a result, three distinct Eocene deltaic systems with variably oriented channels and depositional elements provide evidence for changing plate kinematics during the Eocene. The Eocene deltaic systems are river-dominated and were deposited during relative rise in sea level under variable flow regimes. The passage of the Antarctic Circumpolar Current in the GSB from the Late Eocene to Oligocene led to the deposition of three elongate, detached contourite drifts. In a final phase of basin infill, hemipelagic sedimentation and deposition by turbidity currents dominated late Neogene sedimentation in the GSB. The analyses presented here demonstrate the importance of geomorphology in understanding the sediment infill history, their interactions and temporal organisation, which have wider implications for numerous geoscience disciplines.</t>
  </si>
  <si>
    <t>[Omosanya, Kamaldeen Olakunle] Norwegian Univ Sci &amp; Technol, Res Ctr Arctic Petr Explorat, Trondheim, Norway; [Omosanya, Kamaldeen Olakunle] Oasis Geoconsulting Ltd, Abeokuta, Ogun State, Nigeria; [Harishidayat, Dicky] Norwegian Univ Sci &amp; Technol, Dept Geosci &amp; Petr, Trondheim, Norway</t>
  </si>
  <si>
    <t>Norwegian University of Science &amp; Technology (NTNU); Norwegian University of Science &amp; Technology (NTNU)</t>
  </si>
  <si>
    <t>Omosanya, KO (corresponding author), Norwegian Univ Sci &amp; Technol, Res Ctr Arctic Petr Explorat, Trondheim, Norway.;Omosanya, KO (corresponding author), Oasis Geoconsulting Ltd, Abeokuta, Ogun State, Nigeria.</t>
  </si>
  <si>
    <t>kamaldeen.o.omosanya@ntnu.no</t>
  </si>
  <si>
    <t>Omosanya, kamaldeen O/F-2918-2012; Harishidayat, Dicky/R-3797-2018</t>
  </si>
  <si>
    <t>Omosanya, kamaldeen O/0000-0001-8959-2329; Harishidayat, Dicky/0000-0003-3729-2441</t>
  </si>
  <si>
    <t>0276-0460</t>
  </si>
  <si>
    <t>1432-1157</t>
  </si>
  <si>
    <t>GEO-MAR LETT</t>
  </si>
  <si>
    <t>Geo-Mar. Lett.</t>
  </si>
  <si>
    <t>10.1007/s00367-018-00558-8</t>
  </si>
  <si>
    <t>Geosciences, Multidisciplinary; Oceanography</t>
  </si>
  <si>
    <t>Geology; Oceanography</t>
  </si>
  <si>
    <t>HK7PN</t>
  </si>
  <si>
    <t>WOS:000458181500006</t>
  </si>
  <si>
    <t>Frank, U; Nowaczyk, NR; Frederichs, T; Liu, JB; Korte, M</t>
  </si>
  <si>
    <t>Frank, Ute; Nowaczyk, Norbert R.; Frederichs, Thomas; Liu, Jiabo; Korte, Monika</t>
  </si>
  <si>
    <t>Palaeo- and rock magnetic investigations of Late Quaternary sediments from the Upper Congo deep-sea fan: on the difficulty in obtaining palaeomagnetic secular variation records from low latitudes</t>
  </si>
  <si>
    <t>INTERNATIONAL JOURNAL OF EARTH SCIENCES</t>
  </si>
  <si>
    <t>Magnetic mineralogy; Palaeomagnetic secular variation; Palaeointensity; Late quaternary; Upper Congo deep-sea fan</t>
  </si>
  <si>
    <t>REMANENCE ACQUISITION EFFICIENCY; ANTARCTIC SOUTH ATLANTIC; LAKE BAROMBI MBO; GEOMAGNETIC-FIELD; RELATIVE PALEOINTENSITY; PALEOSECULAR VARIATION; TEMPERATURE BEHAVIOR; HOLOCENE; HEMATITE; SUSCEPTIBILITY</t>
  </si>
  <si>
    <t>We report here on results of palaeo- and rock magnetic investigations of two sediment cores from the Upper Congo deep-sea fan. The sediments have a high organic content and contain a heterogeneous Fe-mineral assemblage with biogenic magnetite and detrital (Ti-)magnetite as the main magnetic carrier minerals. Pyrite, hematite, and Fe-oxyhydroxides were identified by comparing high-temperature magnetic susceptibility curves with those from Fe-minerals of known composition. According to AMS C-14 dates, the 6.8 m-long profile spans the last 37 kyr. Sediments older than 20 ka are affected by reductive diagenesis that has led to a loss of the fine-grained magnetic mineral fraction. Sediments younger than 20 ka have stable magnetizations. Characteristic remanent magnetization records of inclination and declination were obtained for each core. There is a little agreement between these records, modelled curves, and other sediment records from Equatorial Africa, so no composite record could be established. The cores are not ideal relative palaeointensity recorders and estimates using different normalizers did not yield consistent signals from both cores. Normalization methods used for relative palaeointensity estimation were not developed for sediments that contain large amounts of ultra-fine-grained biogenic magnetite; therefore, the relative palaeointensity estimates should be considered with caution. However, in view of the incoherent picture given by the scarce available palaeointensity information from the region off South-West Africa, the GeoB6517-2 record may provide a tentative relative palaeointensity record for comparison, at least for the past 10 kyr.</t>
  </si>
  <si>
    <t>[Frank, Ute; Nowaczyk, Norbert R.; Liu, Jiabo; Korte, Monika] GFZ German Res Ctr Geosci, D-14473 Potsdam, Germany; [Frederichs, Thomas] Univ Bremen, Fac Geosci, Klagenfurter Str, D-28359 Bremen, Germany</t>
  </si>
  <si>
    <t>Helmholtz Association; Helmholtz-Center Potsdam GFZ German Research Center for Geosciences; University of Bremen</t>
  </si>
  <si>
    <t>Korte, M (corresponding author), GFZ German Res Ctr Geosci, D-14473 Potsdam, Germany.</t>
  </si>
  <si>
    <t>monika@gfz-potsdam.de</t>
  </si>
  <si>
    <t>Frank, Ute/AAS-1157-2021; Korte, Monika/A-6086-2009</t>
  </si>
  <si>
    <t>Korte, Monika/0000-0003-2970-9075</t>
  </si>
  <si>
    <t>German Research Foundation (DFG) [KO2870/4 - 1, NO3334/8 - 1]; China Scholarship Council</t>
  </si>
  <si>
    <t>German Research Foundation (DFG)(German Research Foundation (DFG)); China Scholarship Council(China Scholarship Council)</t>
  </si>
  <si>
    <t>We thank V. Bender and W. Hale for providing access to the GeoB and IODP core repositories, respectively, at MARUM, Bremen, and T. Shanahan for providing the depth-age model for core P12 from Lake Bosumtwi, Ghana, and J. Patzold for providing access to unpublished data sets for cores GeoB6517-2 and GeoB6518-1. We thank Andrew Roberts and an anonymous reviewer for constructive comments that improved the manuscript. This study was funded by the German Research Foundation (DFG), grants KO2870/4 - 1 and NO3334/8 - 1 to MK and NRN, within the scope of the priority program (SPP) 1488 Planetary Magnetism. JL holds a scholarship from the China Scholarship Council.</t>
  </si>
  <si>
    <t>1437-3254</t>
  </si>
  <si>
    <t>1437-3262</t>
  </si>
  <si>
    <t>INT J EARTH SCI</t>
  </si>
  <si>
    <t>Int. J. Earth Sci.</t>
  </si>
  <si>
    <t>10.1007/s00531-018-1653-3</t>
  </si>
  <si>
    <t>HL3YO</t>
  </si>
  <si>
    <t>WOS:000458652200015</t>
  </si>
  <si>
    <t>LaCasce, JH; Escartin, J; Chassignet, EP; Xu, XB</t>
  </si>
  <si>
    <t>LaCasce, J. H.; Escartin, J.; Chassignet, Eric. P.; Xu, Xiaobiao</t>
  </si>
  <si>
    <t>Jet Instability over Smooth, Corrugated, and Realistic Bathymetry</t>
  </si>
  <si>
    <t>Baroclinic flows; Eddies; Instability; Ocean dynamics; Topographic effects</t>
  </si>
  <si>
    <t>ANTARCTIC CIRCUMPOLAR CURRENT; DEEP-OCEAN BENEATH; GULF-STREAM; BAROCLINIC INSTABILITY; NORTH-ATLANTIC; NONLINEAR EVOLUTION; BOTTOM TOPOGRAPHY; ABYSSAL HILLS; ROSSBY WAVES; DYNAMICS</t>
  </si>
  <si>
    <t>The stability of a horizontally and vertically sheared surface jet is examined, with a focus on the vertical structure of the resultant eddies. Over a flat bottom, the instability is mixed baroclinic/barotropic, producing strong eddies at depth that are characteristically shifted downstream relative to the surface eddies. Baroclinic instability is suppressed over a large slope for retrograde jets (with a flow antiparallel to topographic wave propagation) and to a lesser extent for prograde jets (with flow parallel to topographic wave propagation), as seen previously. In such cases, barotropic (lateral) instability dominates if the jet is sufficiently narrow. This yields surface eddies whose size is independent of the slope but proportional to the jet width. Deep eddies still form, forced by interfacial motion associated with the surface eddies, but they are weaker than under baroclinic instability and are vertically aligned with the surface eddies. A sinusoidal ridge acts similarly, suppressing baroclinic instability and favoring lateral instability in the upper layer. A ridge with a 1-km wavelength and an amplitude of roughly 10 m is sufficient to suppress baroclinic instability. Surveys of bottom roughness from bathymetry acquired with shipboard multibeam echo sounding reveal that such heights are common beneath the Kuroshio, the Antarctic Circumpolar Current, and, to a lesser extent, the Gulf Stream. Consistent with this, vorticity and velocity cross sections from a 1/50 degrees HYCOM simulation suggest that Gulf Stream eddies are vertically aligned, as in the linear stability calculations with strong topography. Thus, lateral instability may be more common than previously thought, owing to topography hindering vertical energy transfer.</t>
  </si>
  <si>
    <t>[LaCasce, J. H.; Escartin, J.] Univ Oslo, Dept Geosci, Oslo, Norway; [Chassignet, Eric. P.; Xu, Xiaobiao] Florida State Univ, Tallahassee, FL 32306 USA</t>
  </si>
  <si>
    <t>University of Oslo; State University System of Florida; Florida State University</t>
  </si>
  <si>
    <t>LaCasce, JH (corresponding author), Univ Oslo, Dept Geosci, Oslo, Norway.</t>
  </si>
  <si>
    <t>j.h.lacasce@geo.uio.no</t>
  </si>
  <si>
    <t>Escartin, Javier/B-3344-2008; ESCARTIN, Javier/A-1043-2010</t>
  </si>
  <si>
    <t>ESCARTIN, Javier/0000-0002-3416-6856; Xu, Xiaobiao/0000-0001-8902-7645; Chassignet, Eric/0000-0003-4710-7502</t>
  </si>
  <si>
    <t>Norwegian Research Council [231716]; Office of Naval Research [N00014-15-1-2594]; NSF Physical Oceanography Program [1537136]; Directorate For Geosciences; Division Of Ocean Sciences [1537136] Funding Source: National Science Foundation</t>
  </si>
  <si>
    <t>Norwegian Research Council(Research Council of Norway); Office of Naval Research(Office of Naval Research); NSF Physical Oceanography Program(National Science Foundation (NSF)NSF - Directorate for Geosciences (GEO)); Directorate For Geosciences; Division Of Ocean Sciences(National Science Foundation (NSF)NSF - Directorate for Geosciences (GEO))</t>
  </si>
  <si>
    <t>Thanks to Navid Constantinou, Paal Erik Isachsen, and Bill Young for useful discussions and to two anonymous reviewers for constructive comments. JHL was supported in part by the Norwegian Research Council Project 231716, jetSTREAM. EPC and XX were supported by the Office of Naval Research (Grant N00014-15-1-2594) and the NSF Physical Oceanography Program (Award 1537136). Toshiya Fujiwara (JAMSTEC, Japan) kindly provided the bathymetric grids compiled by the Hydrographic and Oceanographic Department, Japan Coast Guard, and JAMSTEC.</t>
  </si>
  <si>
    <t>10.1175/JPO-D-18-0129.1</t>
  </si>
  <si>
    <t>HL2BE</t>
  </si>
  <si>
    <t>Green Published, Green Submitted, Bronze</t>
  </si>
  <si>
    <t>WOS:000458507400001</t>
  </si>
  <si>
    <t>Bonecker, ACT; Dias, CD; De Castro, MS; De Carvalho, PF; Araujo, AV; Paranhos, R; Cabral, AS; Bonecker, SLC</t>
  </si>
  <si>
    <t>Bonecker, Ana C. T.; Dias, Cristina De O.; De Castro, Marcia S.; De Carvalho, Pedro F.; Araujo, Adriana, V; Paranhos, Rodolfo; Cabral, Anderson S.; Bonecker, Sergio L. C.</t>
  </si>
  <si>
    <t>Vertical distribution of mesozooplankton and ichthyoplankton communities in the South-western Atlantic Ocean (23°14′1S 40°42′19W)</t>
  </si>
  <si>
    <t>mesozooplankton; fish larvae; bacterioplankton; vertical distribution; South-west Atlantic Ocean</t>
  </si>
  <si>
    <t>MEDITERRANEAN SEA; FISH LARVAE; MERIDIONAL TRANSECT; COPEPOD ASSEMBLAGES; FLOW-CYTOMETRY; DUNG BEETLES; CAMPOS BASIN; CARBON FLUX; ZOOPLANKTON; MIGRATION</t>
  </si>
  <si>
    <t>A study was conducted over eight consecutive days in February 2010 in which daily variations in the vertical distributions of heterotrophic bacteria, mesozooplankton and ichthyoplankton at 1-1200 m in the South-western Atlantic Ocean were investigated. Diurnal and nocturnal samples were collected at an oceanographic station at four regional depths: Tropical Water (TW) (1 m), South Atlantic Central Water (SACW) (250 m), Antarctic Intermediate Water (AAIW) (800 m) and Upper Circumpolar Deep Water (UCDW) (1200 m). Bacterial, mesozooplankton and larval fish densities significantly differed between sample depths but not between sampling tow times. In total, 154 zooplankton species and 18 larval fish species were identified. The highest number of taxa was obtained from the night-time TW trawls. This depth zone had the highest densities of mesozooplankton, larval fish and bacterioplankton (auto and heterotrophic), associated with the highest temperature and salinity and the lowest inorganic nutrient concentrations. Two sample groups were identified based on their mesozooplankton and larval fish compositions: night-time TW and other water masses (daytime TW, SACW, AAIW and UCDW). Thirty-two indicator species were detected in night-time TW. The copepod Nullosetigera impar was, to the best of our knowledge, identified for the first time on the Brazilian coast. Our results showed significant variability in the abundance and vertical distribution of mesozooplankton, bacterioplankton and larval fish along the water column in an oceanic area. We have provided new data and insights on the composition and vertical distribution of mesozooplankton, larval fish and bacterioplankton in deep waters in the South-western Atlantic Ocean.</t>
  </si>
  <si>
    <t>[Bonecker, Ana C. T.; Dias, Cristina De O.; De Castro, Marcia S.; De Carvalho, Pedro F.; Araujo, Adriana, V; Bonecker, Sergio L. C.] Univ Fed Rio de Janeiro, Inst Biol, Dept Zool, Av Carlos Chagas Filho,373 Predio CCS,Bloco A, BR-21941902 Rio De Janeiro, RJ, Brazil; [Paranhos, Rodolfo; Cabral, Anderson S.] Univ Fed Rio de Janeiro, Lab Hidrobiol, Dept Biol Marinha, Inst Biol, Av Carlos Chagas Filho,373 Predio CCS,Bloco A, BR-21941902 Rio De Janeiro, Brazil</t>
  </si>
  <si>
    <t>Universidade Federal do Rio de Janeiro; Universidade Federal do Rio de Janeiro</t>
  </si>
  <si>
    <t>Bonecker, ACT (corresponding author), Univ Fed Rio de Janeiro, Inst Biol, Dept Zool, Av Carlos Chagas Filho,373 Predio CCS,Bloco A, BR-21941902 Rio De Janeiro, RJ, Brazil.</t>
  </si>
  <si>
    <t>ana@biologia.ufrj.br</t>
  </si>
  <si>
    <t>Bonecker, Ana Cristina/M-5669-2013; Bonecker, Sergio L. C./J-8992-2012; Castro, Márcia S/A-6026-2013; Dias, Cristina de Oliveira/A-5533-2013; de Araujo, Adriana Valente/L-3560-2017</t>
  </si>
  <si>
    <t>Dias, Cristina de Oliveira/0000-0001-8359-0234; de Araujo, Adriana Valente/0000-0003-1098-6304; Bonecker, Sergio/0000-0001-8156-6900</t>
  </si>
  <si>
    <t>10.1017/S0025315417001989</t>
  </si>
  <si>
    <t>HL1WT</t>
  </si>
  <si>
    <t>WOS:000458495600006</t>
  </si>
  <si>
    <t>Sokolov, SG; Lebedeva, DI; Gordeev, II; Khasanov, FK</t>
  </si>
  <si>
    <t>Sokolov, S. G.; Lebedeva, Daria I.; Gordeev, Ilya I.; Khasanov, F. K.</t>
  </si>
  <si>
    <t>Zdzitowieckitrema incognitum gen. et sp. nov. (Trematoda, Xiphidiata) from the Antarctic fish Muraenolepis marmorata Gunther, 1880 (Gadiformes: Muraenolepidae): ordinary morphology but unclear family affiliation</t>
  </si>
  <si>
    <t>Muraenolepis marmorata; Trematoda; Zdzitowieckitrema incognitum; Biospeedotrema; New genus; 28S rDNA sequences; Antarctic</t>
  </si>
  <si>
    <t>AURICULOSTOMA DIGENEA ALLOCREADIIDAE; RIBOSOMAL-RNA GENE; SP N. TREMATODA; GULF-OF-MEXICO; PHYLOGENETIC AFFINITIES; PLAGIOPORUS STAFFORD; SYSTEMATIC POSITION; NEOLEBOURIA GIBSON; MACVICARIA GIBSON; PARTIAL SEQUENCES</t>
  </si>
  <si>
    <t>Zdzitowieckitrema incognitum n. gen., n. sp. infects the intestine of the gadiform fish Muraenolepis marmorata in Antarctic seas. Morphologically, this parasite corresponds to the diagnosis of the subfamily Plagioporinae sensu Cribb, 2005 (Opecoelidae, Opecoeloidea). Phylogenetic analysis based on 28S rDNA partial sequences revealed that Z. incognitum n. gen., n. sp. shares a recent common ancestor with representatives of the genus Biospeedotrema Bray, Waeschenbach, Dyal, Littlewood &amp; Morand, 2014 (previously assigned to Stenakrinae, Opecoelidae, Opecoeloidea), and that these trematodes collectively form a sister group to the Gorgoderoidea clade of flukes. The most significant differences between Z. incognitum n. gen., n. sp. and Biospeedotrema spp. are the extension of vitelline fields and intestinal branches, position of the testes and the genital pore, morphology of the internal seminal vesicle, and the ovarian complex.</t>
  </si>
  <si>
    <t>[Sokolov, S. G.; Khasanov, F. K.] RAS, AN Severtsov Inst Ecol &amp; Evolut, 33 Leninskij Prosp, Moscow 119071, Russia; [Lebedeva, Daria I.] RAS, Karelian Res Ctr, Inst Biol, 11 Pushkinskaya Str, Petrozavodsk 185910, Russia; [Gordeev, Ilya I.] Russian Fed Res Inst Fisheries &amp; Oceanog, 17 V Krasnoselskaya Str, Moscow 107140, Russia; [Gordeev, Ilya I.] Lomonosov Moscow State Univ, 1 Leninskie Gory, Moscow 119234, Russia</t>
  </si>
  <si>
    <t>Russian Academy of Sciences; Saratov Scientific Center of the Russian Academy of Sciences; Severtsov Institute of Ecology &amp; Evolution; Russian Academy of Sciences; Karelian Research Centre of the Russian Academy of Sciences; Institute of Biology of Karelian Research Centre RAS; Research lnstitute of Fisheries &amp; Oceanography; Lomonosov Moscow State University</t>
  </si>
  <si>
    <t>Lebedeva, DI (corresponding author), RAS, Karelian Res Ctr, Inst Biol, 11 Pushkinskaya Str, Petrozavodsk 185910, Russia.</t>
  </si>
  <si>
    <t>daryal78@gmail.com</t>
  </si>
  <si>
    <t>Khasanov, Fuat/AAE-9647-2019; Lebedeva, Daria/ITV-6835-2023; Gordeev, Ilya/F-2972-2017; Sokolov, Sergey/AAC-3505-2022</t>
  </si>
  <si>
    <t>Lebedeva, Daria/0000-0002-9185-3900; Gordeev, Ilya/0000-0002-6650-9120; Sokolov, Sergey/0000-0002-4822-966X</t>
  </si>
  <si>
    <t>Russian Science Foundation [17-74-10203]; Russian Science Foundation [17-74-10203] Funding Source: Russian Science Foundation</t>
  </si>
  <si>
    <t>The authors are grateful to the crew of f/v Yantar-35 and f/v Yantar-31 (Orion Ltd., Khabarovsk), and f/v Insung No. 7 (Insung Corp., Seoul) for their help in collecting the specimens. This study was supported by the Russian Science Foundation, project no. 17-74-10203.</t>
  </si>
  <si>
    <t>10.1007/s12526-017-0830-0</t>
  </si>
  <si>
    <t>HK8RU</t>
  </si>
  <si>
    <t>WOS:000458258100035</t>
  </si>
  <si>
    <t>Cullen-Knox, C; Fleming, A; Lester, L; Ogier, E</t>
  </si>
  <si>
    <t>Cullen-Knox, C.; Fleming, A.; Lester, L.; Ogier, E.</t>
  </si>
  <si>
    <t>Publicised scrutiny and mediatised environmental conflict: The case of Tasmanian salmon aquaculture</t>
  </si>
  <si>
    <t>SOCIAL LICENSE; GOVERNANCE; NEWS</t>
  </si>
  <si>
    <t>This paper analyses mediatised environmental conflict over the Tasmanian salmon aquaculture industry's performance. It compares the Senate Inquiry into the Regulation of the fin-fish aquaculture industry in Tasmania, the influential Four Corners investigative journalism television program 'Big Fish' and news media coverage following each of these mediatised public investigations. The concept of mediatised environmental conflict is applied to reveal how these different modes of investigation influence public debate. Both the Senate Inquiry and the Four Corners program allowed previously invisible actors and networks to be made visible, while rendering others largely silent, particularly scientists despite strong references to science within the debate. Also, the traditional role of ENGOs in holding industries and Governments to account has shifted in this case to an industry player. Considerable differences in the discourses was observed, raising further questions concerning accountability and transparency in public-policy decision-making in relation to management of marine resources.</t>
  </si>
  <si>
    <t>[Cullen-Knox, C.; Lester, L.] Univ Tasmania, Ctr Marine Socioecol, Hobart, Tas, Australia; [Fleming, A.] CSIRO, Ctr Marine Socioecol, Canberra, ACT, Australia; [Ogier, E.] Inst Marine &amp; Antarctic Studies, Ctr Marine Socioecol, Hobart, Tas, Australia</t>
  </si>
  <si>
    <t>Cullen-Knox, C (corresponding author), Univ Tasmania, Media Sch, Private Bag 17, Hobart, Tas 7000, Australia.</t>
  </si>
  <si>
    <t>cullenc@utas.du.au</t>
  </si>
  <si>
    <t>Fleming, Aysha/E-8753-2011; Lester, Libby/J-7148-2014</t>
  </si>
  <si>
    <t>Fleming, Aysha/0000-0001-9895-1928; Lester, Libby/0000-0003-1046-2412; Ogier, Emily/0000-0001-6157-5279</t>
  </si>
  <si>
    <t>The authors of this paper would like to acknowledge the support of The Centre for Marine Socioecology and the Australian Government Research Training Program Scholarship. This research did not receive any specific grant from funding agencies in the public, commercial, or not-for-profit sectors.</t>
  </si>
  <si>
    <t>10.1016/j.marpol.2018.11.040</t>
  </si>
  <si>
    <t>HL4QK</t>
  </si>
  <si>
    <t>WOS:000458708000033</t>
  </si>
  <si>
    <t>Aponte, JC; Woodward, HK; Abreu, NM; Elsila, JE; Dworkin, JP</t>
  </si>
  <si>
    <t>Aponte, Jose C.; Woodward, Hannah K.; Abreu, Neyda M.; Elsila, Jamie E.; Dworkin, Jason P.</t>
  </si>
  <si>
    <t>Molecular distribution, 13C-isotope, and enantiomeric compositions of carbonaceous chondrite monocarboxylic acids</t>
  </si>
  <si>
    <t>EXTRATERRESTRIAL AMINO-ACIDS; SOLUBLE ORGANIC-COMPOUNDS; COMPOUND-SPECIFIC CARBON; RATIO MASS-SPECTROMETRY; ALIPHATIC-AMINES; MURCHISON METEORITE; ISOTOPIC COMPOSITION; DELTA-C-13 ANALYSIS; AQUEOUS ALTERATION; CARBOXYLIC-ACIDS</t>
  </si>
  <si>
    <t>The water-soluble organic compounds in carbonaceous chondrite meteorites constitute a record of the synthetic reactions occurring at the birth of the solar system and those taking place during parent body alteration and may have been important for the later origins and development of life on Earth. In this present work, we have developed a novel methodology for the simultaneous analysis of the molecular distribution, compound-specific delta C-13, and enantiomeric compositions of aliphatic monocarboxylic acids (MCA) extracted from the hot-water extracts of 16 carbonaceous chondrites from CM, CR, CO, CV, and CK groups. We observed high concentrations of meteoritic MCAs, with total carbon weight percentages which in some cases approached those of carbonates and insoluble organic matter. Moreover, we found that the concentration of MCAs in CR chondrites is higher than in the other meteorite groups, with acetic acid exhibiting the highest concentration in all samples. The abundance of MCAs decreased with increasing molecular weight and with increasing aqueous and/or thermal alteration experienced by the meteorite sample. The delta C-13 isotopic values of MCAs ranged from -52 to +27 parts per thousand, and aside from an inverse relationship between delta C-13 value and carbon straight-chain length for C-3-C-6 MCAs in Murchison, the C-13-isotopic values did not correlate with the number of carbon atoms per molecule. We also observed racemic compositions of 2-methylbutanoic acid in CM and CR chondrites. We used this novel analytical protocol and collective data to shed new light on the prebiotic origins of chondritic MCAs.</t>
  </si>
  <si>
    <t>[Aponte, Jose C.; Elsila, Jamie E.; Dworkin, Jason P.] NASA, Solar Syst Explorat Div, Goddard Space Flight Ctr, Code 691, Greenbelt, MD 20771 USA; [Aponte, Jose C.; Woodward, Hannah K.] Catholic Univ Amer, Dept Chem, Washington, DC 20064 USA; [Woodward, Hannah K.] Univ Reading, Dept Chem, Reading RG6 6UA, Berks, England; [Abreu, Neyda M.] Penn State Univ, Earth Sci Program, Du Bois Campus, Du Bois, PA 15801 USA</t>
  </si>
  <si>
    <t>National Aeronautics &amp; Space Administration (NASA); NASA Goddard Space Flight Center; Catholic University of America; University of Reading; Pennsylvania Commonwealth System of Higher Education (PCSHE); Pennsylvania State University</t>
  </si>
  <si>
    <t>Dworkin, Jason P./0000-0002-3961-8997; Elsila, Jamie/0000-0002-0008-2590</t>
  </si>
  <si>
    <t>NSF; NASA; NASA Astrobiology Institute; Goddard Center for Astrobiology; Simons Foundation (SCOL award) [302497]</t>
  </si>
  <si>
    <t>NSF(National Science Foundation (NSF)); NASA(National Aeronautics &amp; Space Administration (NASA)); NASA Astrobiology Institute; Goddard Center for Astrobiology; Simons Foundation (SCOL award)</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</si>
  <si>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thank T. McCoy, J. Hoskin, and the Smithsonian National Museum of Natural History-Division of Meteorites for providing meteorite samples used in this study, and Y. Kebukawa and an anonymous reviewer for insightful criticism and suggestions to improve the manuscript quality. This research was supported by the NASA Astrobiology Institute and the Goddard Center for Astrobiology, and a grant from the Simons Foundation (SCOL award 302497 to J. P. D.).</t>
  </si>
  <si>
    <t>10.1111/maps.13216</t>
  </si>
  <si>
    <t>HL2PB</t>
  </si>
  <si>
    <t>WOS:000458546500011</t>
  </si>
  <si>
    <t>Soriano, G; Del-Castillo-Alonso, MA; Monforte, L; Tomás-Las-Heras, R; Martínez-Abaigar, J; Núñez-Olivera, E</t>
  </si>
  <si>
    <t>Soriano, Gonzalo; Del-Castillo-Alonso, Maria-Angeles; Monforte, Laura; Tomas-Las-Heras, Rafael; Martinez-Abaigar, Javier; Nunez-Olivera, Encarnacion</t>
  </si>
  <si>
    <t>Photosynthetically-active radiation, UV-A and UV-B, causes both common and specific damage and photoprotective responses in the model liverwort Marchantia polymorpha subsp. ruderalis</t>
  </si>
  <si>
    <t>ULTRAVIOLET-ABSORBING COMPOUNDS; INDUCED DNA-DAMAGE; AQUATIC LIVERWORT; CELL COMPARTMENTATION; SIGNAL-TRANSDUCTION; XANTHOPHYLL CYCLE; ANTARCTIC MOSS; HIGHER-PLANTS; LIGHT; BRYOPHYTES</t>
  </si>
  <si>
    <t>We studied the effects of different radiation treatments on the physiology and UV-absorbing compounds of the model liverwort Marchantia polymorpha subsp. ruderalis. Starting from gemmae, samples were exposed to five radiation treatments: low photosynthetically active radiation (PAR), low PAR+ UV-A, low PAR + UV-B, low PAR + UV-A + UV-B, and high PAR. After 35 days, the maximum quantum yield of photosystem II was similar between treatments, which suggested comparable photoinhibition and physiological vitality, also supported by results showing an unchanged chlorophyll a/b ratio and only slight changes in growth. However, the total contents of both chlorophylls and carotenoids decreased in the UV radiation treatments and, more strongly, in the high-PAR samples, suggesting mainly PAR-dependent damage to the photosynthetic pigments. The xanthophyll index (antheraxanthin + zeaxanthin)/(violaxanthin + antheraxanthin + zeaxanthin) was only increased in the high-PAR samples, indicating an increase in photoprotection through nonphotochemical dissipation of the excess energy. The sclerophylly index (the ratio between the thallus dry mass and surface area) was increased in the UV-B-exposed samples, suggesting a UV-induced structural protection. Only the UV-B-exposed samples showed DNA damage. Several apigenin and luteolin derivatives were found in the methanol-soluble vacuolar fraction of the liverwort and p-coumaric and ferulic acids in the methanol-insoluble cell wall-bound fraction. Most individual soluble compounds, the bulk level of soluble compounds, and chalcone synthase expression increased in UV-B-exposed samples, whereas individual insoluble compounds increased in the samples exposed to only PAR. Principal components analysis summarized these responses, showing the strong influence of both UV-B and PAR levels on the physiology and UV protection of the samples.</t>
  </si>
  <si>
    <t>[Soriano, Gonzalo; Del-Castillo-Alonso, Maria-Angeles; Monforte, Laura; Tomas-Las-Heras, Rafael; Martinez-Abaigar, Javier; Nunez-Olivera, Encarnacion] Univ La Rioja, Fac Ciencia &amp; Tecnol, Madre Dios 53, Logrono 26006, La Rioja, Spain</t>
  </si>
  <si>
    <t>Universidad de La Rioja</t>
  </si>
  <si>
    <t>Núñez-Olivera, E (corresponding author), Univ La Rioja, Fac Ciencia &amp; Tecnol, Madre Dios 53, Logrono 26006, La Rioja, Spain.</t>
  </si>
  <si>
    <t>encarnacion.nunez@unirioja.es</t>
  </si>
  <si>
    <t>Soriano, Gonzalo/A-1353-2019; Martinez-Abaigar, Javier/L-7000-2014; Tomas-Las-Heras, Rafael/M-2754-2018; Monforte, Laura/P-3410-2014; Nunez-Olivera, Encarnacion/L-7164-2014</t>
  </si>
  <si>
    <t>Martinez-Abaigar, Javier/0000-0002-9762-9862; Tomas-Las-Heras, Rafael/0000-0002-8496-7280; Soriano, Gonzalo/0000-0002-1728-7656; DEL CASTILLO ALONSO, MARIA ANGELES/0000-0003-4027-3313; Monforte, Laura/0000-0002-7062-5650; Nunez-Olivera, Encarnacion/0000-0002-7221-3852</t>
  </si>
  <si>
    <t>Spanish Ministry of Economy and Competitiveness (MINECO); European Regional Development Fund (ERDF) [CGL2014-54127-P]; University of La Rioja</t>
  </si>
  <si>
    <t>Spanish Ministry of Economy and Competitiveness (MINECO)(Spanish Government); European Regional Development Fund (ERDF)(European Union (EU)); University of La Rioja</t>
  </si>
  <si>
    <t>This study was supported by the Spanish Ministry of Economy and Competitiveness (MINECO) in combination with the European Regional Development Fund (ERDF) (Project CGL2014-54127-P). University of La Rioja contributed with PhD grants of Plan Propio 2013 and 2014 to GS and MADCA, respectively. We thank Professors Takayuki Kohchi (Kyoto University) and Donat-P. Hader (University of Erlangen) for providing liverwort material and plasmid pBSK, respectively.</t>
  </si>
  <si>
    <t>10.1039/c8pp00421h</t>
  </si>
  <si>
    <t>HL2WG</t>
  </si>
  <si>
    <t>WOS:000458569100013</t>
  </si>
  <si>
    <t>Trigo-Rodríguez, JM; Rimola, A; Tanbakouei, S; Soto, VC; Lee, M</t>
  </si>
  <si>
    <t>Trigo-Rodriguez, Josep M.; Rimola, Albert; Tanbakouei, Safoura; Cabedo Soto, Victoria; Lee, Martin</t>
  </si>
  <si>
    <t>Accretion of Water in Carbonaceous Chondrites: Current Evidence and Implications for the Delivery of Water to Early Earth</t>
  </si>
  <si>
    <t>SPACE SCIENCE REVIEWS</t>
  </si>
  <si>
    <t>Comet; Asteroid; Meteoroid; Meteorite; Minor bodies; Primitive; Tensile strength</t>
  </si>
  <si>
    <t>AQUEOUS ALTERATION; PARENT BODY; DEHYDROXYLATION REACTION; MOLECULAR-DYNAMICS; ORGANIC-MATTER; DFT RESEARCH; CM; ORIGIN; CR; CHONDRULES</t>
  </si>
  <si>
    <t>Protoplanetary disks are dust-rich structures around young stars. The crystalline and amorphous materials contained within these disks are variably thermally processed and accreted to make bodies of a wide range of sizes and compositions, depending on the heliocentric distance of formation. The chondritic meteorites are fragments of relatively small and undifferentiated bodies, and the minerals that they contain carry chemical signatures providing information about the early environment available for planetesimal formation. Acurrent hot topic of debate is the delivery of volatiles to terrestrial planets, understanding that they were built from planetesimals formed under far more reducing conditions than the primordial carbonaceous chondritic bodies. In this review, we describe significant evidence for the accretion of ices and hydrated minerals in the outer protoplanetary disk. In that distant region highly porous and fragile carbon and water-rich transitional asteroids formed, being the parent bodies of the carbonaceous chondrites (CCs). CCs are undifferentiated meteorites that never melted but experienced other physical processes including thermal and aqueous alteration. Recent evidence indicates that few of them have escaped significant alteration, retaining unique features that can be interpreted as evidence of wet accretion. Some examples of carbonaceous chondrite parent body aqueous alteration will be presented. Finally, atomistic interpretations of the first steps leading to water-mediated alteration during the accretion of CCs are provided and discussed. From these new insights into the water retained in CCs we can decipher the pathways of delivery of volatiles to the terrestrial planets.</t>
  </si>
  <si>
    <t>[Trigo-Rodriguez, Josep M.; Tanbakouei, Safoura; Cabedo Soto, Victoria] Campus UAB Bellaterra, CSIC, Inst Space Sci, Carrer Can Magrans S-N, Catalonia 08193, Barcelona, Spain; [Trigo-Rodriguez, Josep M.; Tanbakouei, Safoura] IEEC, C Gran Capita 2-4, Barcelona 08034, Catalonia, Spain; [Rimola, Albert; Cabedo Soto, Victoria] Univ Autonoma Barcelona, Dept Quim, E-08193 Barcelona, Catalonia, Spain; [Lee, Martin] Univ Glasgow, Sch Geog &amp; Earth Sci, Gregory Bldg, Glasgow G12 8QQ, Lanark, Scotland</t>
  </si>
  <si>
    <t>Consejo Superior de Investigaciones Cientificas (CSIC); CSIC - Instituto de Ciencias del Espacio (ICE); University of Barcelona; Institut d'Estudis Espacials de Catalunya (IEEC); Autonomous University of Barcelona; University of Glasgow</t>
  </si>
  <si>
    <t>Trigo-Rodríguez, JM (corresponding author), Campus UAB Bellaterra, CSIC, Inst Space Sci, Carrer Can Magrans S-N, Catalonia 08193, Barcelona, Spain.;Trigo-Rodríguez, JM (corresponding author), IEEC, C Gran Capita 2-4, Barcelona 08034, Catalonia, Spain.</t>
  </si>
  <si>
    <t>trigo@ice.csic.es; albert.rimola@uab.cat</t>
  </si>
  <si>
    <t>Trigo-Rodríguez, Josep M./L-3870-2014; Trigo-Rodriguez, Josep M./ABF-5444-2020; Rimola, Albert/K-1813-2014; Lee, Martin/Q-1040-2019</t>
  </si>
  <si>
    <t>Trigo-Rodríguez, Josep M./0000-0001-8417-702X; Rimola, Albert/0000-0002-9637-4554; Lee, Martin/0000-0002-6004-3622</t>
  </si>
  <si>
    <t>Spanish Ministry of Science and Innovation [AYA2015-67175-P, CTQ2017-89132-P]; UK Science and Technology Facilities Council [ST/N000846/1]; NSF; NASA; STFC [ST/N000846/1] Funding Source: UKRI; Science and Technology Facilities Council [ST/N000846/1] Funding Source: researchfish</t>
  </si>
  <si>
    <t>Spanish Ministry of Science and Innovation(Spanish Government); UK Science and Technology Facilities Council(UK Research &amp; Innovation (UKRI)Science &amp; Technology Facilities Council (STFC)); NSF(National Science Foundation (NSF)); NASA(National Aeronautics &amp; Space Administration (NASA)); STFC(UK Research &amp; Innovation (UKRI)Science &amp; Technology Facilities Council (STFC)); Science and Technology Facilities Council(UK Research &amp; Innovation (UKRI)Science &amp; Technology Facilities Council (STFC))</t>
  </si>
  <si>
    <t>We thank two anonymous reviewers that improved significantly this manuscript. Spanish Ministry of Science and Innovation under research projects AYA2015-67175-P and CTQ2017-89132-P are acknowledged, and we also thank the UK Science and Technology Facilities Council for funding through project ST/N000846/1. Mike Zolensky is acknowledged for kindly providing the Murchison and Renazzo pristine sections studied in this work. AR is indebted to Ramon y Cajal program. ST made this study in the frame of a PhD. on Physics at the Autonomous University of Barcelona (UAB). M. del Mar Abad is acknowledged by her interpretation of the data obtained of Murchison CM2 using the HR-TEM image (Fig. 4) obtained by JMTR at Centro de Instrumentacion Cientifica (CIC), Universidad de Granada.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We thank these institutions for kindly providing the Antarctic meteorites studied here.</t>
  </si>
  <si>
    <t>0038-6308</t>
  </si>
  <si>
    <t>1572-9672</t>
  </si>
  <si>
    <t>SPACE SCI REV</t>
  </si>
  <si>
    <t>Space Sci. Rev.</t>
  </si>
  <si>
    <t>10.1007/s11214-019-0583-0</t>
  </si>
  <si>
    <t>HL2WH</t>
  </si>
  <si>
    <t>WOS:000458569200002</t>
  </si>
  <si>
    <t>Alderman, R; Tuck, GN; Castillo-Jordán, C; Haddon, M; Punt, AE</t>
  </si>
  <si>
    <t>Alderman, R.; Tuck, G. N.; Castillo-Jordan, C.; Haddon, M.; Punt, A. E.</t>
  </si>
  <si>
    <t>Macquarie Island's northern giant petrels and the impacts of pest eradication on population abundance</t>
  </si>
  <si>
    <t>ECOLOGICAL MODELLING</t>
  </si>
  <si>
    <t>Macronectes halli; Non-target poisoning; Recovery time; Population response; Bayesian model</t>
  </si>
  <si>
    <t>CLIMATE-CHANGE; SOUTH GEORGIA; MACRONECTES; MANAGEMENT; FISHERIES; DYNAMICS; STOCK; SEA; PATTERNS; SURVIVAL</t>
  </si>
  <si>
    <t>Pest eradication conducted over the years 2010 to 2014 at Macquarie Island successfully eradicated introduced rabbits, rats and mice from this sub-Antarctic island. The initial aerial baiting phase in the winters of 2010 and 2011 resulted in significant mortality of several native seabird species through primary and secondary ingestion of brodifacoum bait. A species of key concern is the northern giant petrel (Macronectes halli), which, although relatively abundant and increasing on Macquarie Island, is listed as threatened under Australian legislation and was one of the species most affected by poisoning. We use a Bayesian approach to estimate the total mortality and the response of the population to the poisoning event over the short- to medium-term. We then considered how population abundance might respond over the ensuing years. Projections of population trajectories suggest a greater than 50% probability of recovery to the pre-poisoning levels of 2009 breeding pairs by 2017. This modelling approach could be applied to future planned eradications to quantify the mortality and recovery of incidentally affected populations.</t>
  </si>
  <si>
    <t>[Alderman, R.] Dept Primary Ind Pk Water &amp; Environm, 3-134 Macquarie St, Hobart, Tas 7000, Australia; [Tuck, G. N.; Castillo-Jordan, C.; Haddon, M.; Punt, A. E.] Castray Esplanade, CSIRO Oceans &amp; Atmosphere, Hobart, Tas 7000, Australia; [Punt, A. E.] Univ Washington, Sch Aquat &amp; Fishery Sci, Seattle, WA 98195 USA</t>
  </si>
  <si>
    <t>Commonwealth Scientific &amp; Industrial Research Organisation (CSIRO); University of Washington; University of Washington Seattle</t>
  </si>
  <si>
    <t>Tuck, GN (corresponding author), Castray Esplanade, CSIRO Marine Labs, Hobart, Tas, Australia.</t>
  </si>
  <si>
    <t>Geoff.tuck@csiro.au</t>
  </si>
  <si>
    <t>Tuck, Geoff/E-2356-2012</t>
  </si>
  <si>
    <t>Tuck, Geoff/0000-0002-3640-6147; Haddon, Malcolm/0000-0001-6971-7585</t>
  </si>
  <si>
    <t>Commonwealth Government through successive Australian Antarctic Science Grants</t>
  </si>
  <si>
    <t>The authors thank the Australian Bird and Bat Banding Scheme (ABBBS), Dr. Rosemary Gales, Dr. Aleks Terauds, Nigel Brothers, Keith Springer and the many field staff and volunteers for their contribution to both the long-term monitoring of northern giant petrels on Macquarie Island and to MIPEP. Helen McConnell reported the banded giant petrels on Enderby Island and facilitated the collection and analysis of samples. The authors also thank the editor and reviewers for their helpful comments and suggestions. Funding and logistic support for field work was provided by the Commonwealth Government through successive Australian Antarctic Science Grants.</t>
  </si>
  <si>
    <t>0304-3800</t>
  </si>
  <si>
    <t>1872-7026</t>
  </si>
  <si>
    <t>ECOL MODEL</t>
  </si>
  <si>
    <t>Ecol. Model.</t>
  </si>
  <si>
    <t>10.1016/j.ecolmodel.2018.11.004</t>
  </si>
  <si>
    <t>HK8EU</t>
  </si>
  <si>
    <t>WOS:000458223000008</t>
  </si>
  <si>
    <t>Carrea, C; Burridge, CP; Wienecke, B; Emmerson, LM; White, D; Miller, KJ</t>
  </si>
  <si>
    <t>Carrea, Cecilia; Burridge, Christopher P.; Wienecke, Barbara; Emmerson, Louise M.; White, Duanne; Miller, Karen J.</t>
  </si>
  <si>
    <t>High vagility facilitates population persistence and expansion prior to the Last Glacial Maximum in an antarctic top predator: The Snow petrel (Pagodroma nivea)</t>
  </si>
  <si>
    <t>Antarctica; gene flow; historical demography; seabirds; snow petrels</t>
  </si>
  <si>
    <t>EAST ANTARCTICA; ICE-SHEET; SOUTHERN-HEMISPHERE; STATISTICAL-METHOD; LARSEMANN HILLS; CLIMATE-CHANGE; BUNGER HILLS; PHYLOGEOGRAPHY; DIFFERENTIATION; VARIABILITY</t>
  </si>
  <si>
    <t>Aims Pleistocene glacial cycles have had profound effects on the distribution and genetic diversity of high latitude species, which can vary with species-specific traits, such as vagility. Demographic responses of antarctic flying seabirds to the same events remain unassessed. We addressed this knowledge gap by studying the genetic population connectivity and demographic history of a flying seabird endemic to Antarctica, the Snow petrel. We hypothesize that their high vagility due to flight may represent an advantage over non-flying seabirds in enduring past climate variation. Location Approximately 3,000 km of coastline in East Antarctica, covering three areas in Mac. Robertson Land, Princess Elizabeth Land and Wilkes Land. An inland location was also sampled at the Prince Charles Mountains, Mac. Robertson Land. Taxon Snow petrel (Pagodroma nivea). Methods We sampled 93 individuals and sequenced a total of 5,412 base pairs, including two mitochondrial genes, four anonymous nuclear loci and a nuclear intron. We used frequentist and Bayesian approaches to examine population genetic structuring and an Extended Bayesian Skyline Plot method to infer the demographic history of the species in the study area. In addition, evidence of exposed bedrock during glacial periods was summarized in maps of the studied area representing potential refugia for the species. Results Differentiation indexes, genetic clustering and haplotype networks suggest long-term population connectivity for Snow petrels across the study area, with no evidence for reliction into refugia that were genetically isolated. Significantly, population expansions pre-dated the Last Glacial Maximum (LGM), but only where there was evidence of ice-free areas during this period. Main conclusions The high vagility of Snow petrels may have been advantageous for access to foraging areas and supported large populations despite the harsh conditions during the LGM. Our results highlight that species-specific traits can exert a strong influence on demographic responses to the same environmental events.</t>
  </si>
  <si>
    <t>[Carrea, Cecilia; Burridge, Christopher P.; Miller, Karen J.] Univ Tasmania, Sch Nat Sci, Hobart, Tas, Australia; [Wienecke, Barbara; Emmerson, Louise M.] Australian Antarctic Div, Kingston, Tas, Australia; [White, Duanne] Univ Canberra, Inst Appl Ecol, Bruce, ACT, Australia; [Miller, Karen J.] Australian Inst Marine Sci, Indian Ocean Marine Res Ctr, Crawley, WA, Australia</t>
  </si>
  <si>
    <t>University of Tasmania; Australian Antarctic Division; University of Canberra; University of Western Australia; Australian Institute of Marine Science</t>
  </si>
  <si>
    <t>Carrea, C (corresponding author), Univ Tasmania, Sch Nat Sci, Hobart, Tas, Australia.</t>
  </si>
  <si>
    <t>cecilia.carrea@utas.edu.au</t>
  </si>
  <si>
    <t>Carrea, Cecilia/G-6777-2019; White, Duanne A/E-6919-2012; Miller, Karen/V-4098-2019; Burridge, Chris/L-4392-2019; Burridge, Christopher/J-2653-2012</t>
  </si>
  <si>
    <t>White, Duanne/0000-0003-0740-2072; Burridge, Christopher/0000-0002-8185-6091; Carrea, Cecilia/0000-0001-6999-9471</t>
  </si>
  <si>
    <t>Australian Antarctic Science Program [4087, 4184, 4318]; Australian Antarctic Division</t>
  </si>
  <si>
    <t>Australian Antarctic Science Program; Australian Antarctic Division</t>
  </si>
  <si>
    <t>Australian Antarctic Science Program Project Numbers: 4087, 4184, 4318; Australian Antarctic Division</t>
  </si>
  <si>
    <t>10.1111/jbi.13513</t>
  </si>
  <si>
    <t>HK8XP</t>
  </si>
  <si>
    <t>WOS:000458273300016</t>
  </si>
  <si>
    <t>Cottrell, RS; Nash, KL; Halpern, BS; Remenyi, TA; Corney, SP; Fleming, A; Fulton, EA; Hornborg, S; Johne, A; Watson, RA; Blanchard, JL</t>
  </si>
  <si>
    <t>Cottrell, Richard S.; Nash, Kirsty L.; Halpern, Benjamin S.; Remenyi, Tomas A.; Corney, Stuart P.; Fleming, Aysha; Fulton, Elizabeth A.; Hornborg, Sara; Johne, Alexandra; Watson, Reg A.; Blanchard, Julia L.</t>
  </si>
  <si>
    <t>Food production shocks across land and sea</t>
  </si>
  <si>
    <t>MARINE FISHERIES; TRADE-OFFS; EL-NINO; LIVELIHOODS; AQUACULTURE; RESILIENCE; SECURITY; DECLINES; COLLAPSE; DRIVERS</t>
  </si>
  <si>
    <t>Sudden losses to food production (that is, shocks) and their consequences across land and sea pose cumulative threats to global sustainability. We conducted an integrated assessment of global production data from crop, livestock, aquaculture and fisheries sectors over 53 years to understand how shocks occurring in one food sector can create diverse and linked challenges among others. We show that some regions are shock hotspots, exposed frequently to shocks across multiple sectors. Critically, shock frequency has increased through time on land and sea at a global scale. Geopolitical and extreme-weather events were the main shock drivers identified, but with considerable differences across sectors. We illustrate how social and ecological drivers, influenced by the dynamics of the food system, can spill over multiple food sectors and create synchronous challenges or trade-offs among terrestrial and aquatic systems. In a more shock-prone and interconnected world, bold food policy and social protection mechanisms that help people anticipate, cope with and recover from losses will be central to sustainability.</t>
  </si>
  <si>
    <t>[Cottrell, Richard S.; Nash, Kirsty L.; Fleming, Aysha; Fulton, Elizabeth A.; Hornborg, Sara; Watson, Reg A.; Blanchard, Julia L.] Univ Tasmania, Ctr Marine Socioecol, Hobart, Tas, Australia; [Cottrell, Richard S.; Nash, Kirsty L.; Corney, Stuart P.; Hornborg, Sara; Johne, Alexandra; Watson, Reg A.; Blanchard, Julia L.] Univ Tasmania, Inst Marine &amp; Antarctic Studies, Hobart, Tas, Australia; [Halpern, Benjamin S.] Univ Calif Santa Barbara, Natl Ctr Ecol Anal &amp; Synth, Santa Barbara, CA 93106 USA; [Halpern, Benjamin S.] Univ Calif Santa Barbara, Bren Sch Environm Sci &amp; Management, Santa Barbara, CA 93106 USA; [Halpern, Benjamin S.] Imperial Coll London, Ascot, Berks, England; [Remenyi, Tomas A.] Univ Tasmania, Antarctic Climate &amp; Ecosyst Cooperat Res Ctr, Hobart, Tas, Australia; [Fleming, Aysha] CSIRO Land &amp; Water, Hobart, Tas, Australia; [Fulton, Elizabeth A.; Hornborg, Sara] CSIRO Oceans &amp; Atmosphere, Hobart, Tas, Australia; [Hornborg, Sara] RISE Res Inst Sweden, Agrifood &amp; Biosci, Gothenburg, Sweden</t>
  </si>
  <si>
    <t>University of Tasmania; University of Tasmania; National Center for Ecological Analysis &amp; Synthesis; University of California System; University of California Santa Barbara; University of California System; University of California Santa Barbara; Imperial College London; University of Tasmania; Antarctic Climate &amp; Ecosystems Cooperative Research Centre (ACE CRC); Commonwealth Scientific &amp; Industrial Research Organisation (CSIRO); Commonwealth Scientific &amp; Industrial Research Organisation (CSIRO); RISE Research Institutes of Sweden</t>
  </si>
  <si>
    <t>Cottrell, RS (corresponding author), Univ Tasmania, Ctr Marine Socioecol, Hobart, Tas, Australia.;Cottrell, RS (corresponding author), Univ Tasmania, Inst Marine &amp; Antarctic Studies, Hobart, Tas, Australia.</t>
  </si>
  <si>
    <t>richardstuart.cottrell@utas.edu.au</t>
  </si>
  <si>
    <t>Watson, Reg A/F-4850-2012; Nash, Kirsty L/B-5456-2015; Fulton, Beth/A-2871-2008; Blanchard, Julia L/E-4919-2010; Cottrell, Richard S./AAT-8401-2020; Fleming, Aysha/E-8753-2011; Fulton, Beth/AAJ-1398-2021</t>
  </si>
  <si>
    <t>Watson, Reg A/0000-0001-7201-8865; Nash, Kirsty L/0000-0003-0976-3197; Cottrell, Richard S./0000-0002-6499-7503; Fleming, Aysha/0000-0001-9895-1928; Fulton, Beth/0000-0002-5904-7917; Corney, Stuart/0000-0002-8293-0863; Remenyi, Tomas/0000-0002-4145-9323; Blanchard, Julia/0000-0003-0532-4824; Hornborg, Sara/0000-0003-0814-5258</t>
  </si>
  <si>
    <t>CSIRO-UTAS Quantitative Marine Science Program; Australian Training Program; Centre for Marine Socioecology, University of Tasmania</t>
  </si>
  <si>
    <t>CSIRO-UTAS Quantitative Marine Science Program(Commonwealth Scientific &amp; Industrial Research Organisation (CSIRO)); Australian Training Program; Centre for Marine Socioecology, University of Tasmania</t>
  </si>
  <si>
    <t>The authors acknowledge funding and intellectual support from the Centre for Marine Socioecology, University of Tasmania, and R.S.C. acknowledges funding from the CSIRO-UTAS Quantitative Marine Science Program and Australian Training Program.</t>
  </si>
  <si>
    <t>10.1038/s41893-018-0210-1</t>
  </si>
  <si>
    <t>HK9TM</t>
  </si>
  <si>
    <t>WOS:000458334800014</t>
  </si>
  <si>
    <t>Jiang, HY; Mu, L</t>
  </si>
  <si>
    <t>Jiang, Haoyu; Mu, Lin</t>
  </si>
  <si>
    <t>Wave Climate from Spectra and Its Connections with Local and Remote Wind Climate</t>
  </si>
  <si>
    <t>Wind waves</t>
  </si>
  <si>
    <t>NORTH-ATLANTIC; SEA CLIMATE; OCEAN SWELL; VARIABILITY; DISSIPATION; SIGNATURE; PATTERNS; PACIFIC; TRENDS; END</t>
  </si>
  <si>
    <t>Wind-generated waves can propagate over large distances. Therefore, wave spectra from a fixed point can record information about air-sea interactions in distant areas. In this study, the spectral wave climate for a point in the tropical eastern Pacific Ocean is computed. Several well-defined wave climate systems are observed in the mean wave spectrum. Significant seasonal cycling, long-term trends, and correlations with the Southern Oscillation, the Arctic Oscillation, and the Antarctic Oscillation are observed in the local wave spectra, showing abundant climatic information. Projections of wind vectors on the directions pointing to the target location are used to connect the spectral wave climate and basin-scale wind climate, because significant correlations are observed between the wave spectra and the wind projections of both local and remote wind systems. The origins of all the identified wave climate systems, including the westerlies and the trade winds in both hemispheres, are clearly shown in wind projection maps. Some of these origins are thousands of kilometers away from the target point, demonstrating the validity of this connection. Comparisons are made between wave spectra and the corresponding local and remote wind fields with respect to seasonal and interannual variability and long-term trends. The results show that each frequency and direction of ocean wave spectra at a certain location can be approximately linked to the wind field for a geographical area, implying that it is feasible to reconstruct spectral wave climates from observational wind field data and monitor wind climates from observational wave spectra geographically far away.</t>
  </si>
  <si>
    <t>[Jiang, Haoyu; Mu, Lin] China Univ Geosci, Coll Marine Sci &amp; Technol, Wuhan, Hubei, Peoples R China; [Jiang, Haoyu] Qingdao Natl Lab Marine Sci &amp; Technol, Lab Reg Oceanog &amp; Numer Modeling, Qingdao, Peoples R China; [Jiang, Haoyu; Mu, Lin] China Univ Geosci, Shenzhen Res Inst, Shenzhen, Peoples R China</t>
  </si>
  <si>
    <t>China University of Geosciences; Laoshan Laboratory</t>
  </si>
  <si>
    <t>Mu, L (corresponding author), China Univ Geosci, Coll Marine Sci &amp; Technol, Wuhan, Hubei, Peoples R China.;Mu, L (corresponding author), China Univ Geosci, Shenzhen Res Inst, Shenzhen, Peoples R China.</t>
  </si>
  <si>
    <t>moulin1977@hotmail.com</t>
  </si>
  <si>
    <t>Jiang, Haoyu/AAO-8409-2020</t>
  </si>
  <si>
    <t>Jiang, Haoyu/0000-0002-3995-7382</t>
  </si>
  <si>
    <t>National Key Research and Development Program of China [2017YFC1404700]; National Natural Science Foundation of China [41806010]; Discipline Layout Project for Basic Research of Shenzhen Science and Technology Innovation Committee [20170418]; Fundamental Research Funds for the Central Universities, China University of Geosciences (Wuhan) [CUG170673]; Guangdong Special Fund Program for Marine Economy Development [GDME-2018E001]</t>
  </si>
  <si>
    <t>National Key Research and Development Program of China; National Natural Science Foundation of China(National Natural Science Foundation of China (NSFC)); Discipline Layout Project for Basic Research of Shenzhen Science and Technology Innovation Committee; Fundamental Research Funds for the Central Universities, China University of Geosciences (Wuhan)(Fundamental Research Funds for the Central Universities); Guangdong Special Fund Program for Marine Economy Development</t>
  </si>
  <si>
    <t>The ERA-Interim data are downloaded by ECMWF web API. This work is jointly supported by the National Key Research and Development Program of China (Grant 2017YFC1404700), the National Natural Science Foundation of China (41806010), and the Discipline Layout Project for Basic Research of Shenzhen Science and Technology Innovation Committee (Grant 20170418). HJ and LM are also supported by the Fundamental Research Funds for the Central Universities, China University of Geosciences (Wuhan) (CUG170673), and the Guangdong Special Fund Program for Marine Economy Development (Grant GDME-2018E001), respectively. The three anonymous reviewers are greatly appreciated for their helpful comments and suggestions.</t>
  </si>
  <si>
    <t>10.1175/JPO-D-18-0149.1</t>
  </si>
  <si>
    <t>HL0NY</t>
  </si>
  <si>
    <t>WOS:000458392400001</t>
  </si>
  <si>
    <t>Zeng, YC; Xu, JF; Chen, JL; Wang, BD; Huang, F; Yu, HX; Chen, XF; Zhao, PP</t>
  </si>
  <si>
    <t>Zeng, Yun-Chuan; Xu, Ji-Feng; Chen, Jian-Lin; Wang, Bao-Di; Huang, Feng; Yu, Hong-Xia; Chen, Xue-Feng; Zhao, Pei-Pei</t>
  </si>
  <si>
    <t>Breakup of Eastern Gondwana as inferred from the Lower Cretaceous Charong Dolerites in the central Tethyan Himalaya, southern Tibet</t>
  </si>
  <si>
    <t>Neotethyan Ocean; Crustal recycling; Geochemistry; Continental basalt; Zircon</t>
  </si>
  <si>
    <t>ZIRCON U-PB; CONTINENTAL FLOOD BASALTS; LARGE IGNEOUS PROVINCE; ZANGBO SUTURE ZONE; FOLD-THRUST BELT; GEOCHEMICAL EVIDENCE; MAFIC MAGMATISM; TRACE-ELEMENT; TECTONIC IMPLICATIONS; ISOTOPIC CONSTRAINTS</t>
  </si>
  <si>
    <t>The separation of the Indian Plate from the Australia Antarctic Plate and its accretion to the Eurasian Plate is the key to understanding the evolutionary history and paleogeographic reconstruction of Eastern Gondwana in the Jurassic Cretaceous. In this paper, zircon U-Pb dating indicates that the Charong Dolerites (similar to 142 Ma) are newly recognized Lower Cretaceous magmatic rocks in the central Tethyan Himalaya in southern Tibet. These dolerites are characterized by moderate contents of SiO2 (49.9-56.9 wt%), high contents of MgO (4.66-9.69 wt %) and TiO2 (2.20-2.81 wt%), high Zr/Y ratios (7.5-13.1), enrichments in Rb and Th, moderately negative Nb-Ta anomalies, and no Zr-Hf anomalies. Taking into account the narrow range of whole-rock initial Sr-87/Sr-88 ratios (0.7068 to 0.7086), the negative values of epsilon(Nd)(t) (-2.4 to -4.1), and the geochemical makeup of the zircons, the Charong Dolerites are akin to continental basalts, indicating that the central Tethyan Himalayan area was in an extensional setting during the Early Cretaceous. Although the Charong Dolerites indicate a relatively high mantle-melting temperature (similar to 1469 +/- 44 degrees C), this is still lower than the temperature required for a mantle plume origin. In combination with the Lower Cretaceous mafic rocks in the eastern Himalaya and the coeval volcaniclastic sediments, we suggest that the Charong Dolerites were partial melts of a rising asthenospheric mantle, this process having been triggered by rifting between the Indian Plate and the Australia Antarctic Plate. This episode of continental lithospheric extension may have led to the opening of a post-Neotethyan oceanic basin that extended between the Indian Craton and the Tethyan Himalaya during the late Early Cretaceous, a feature that is highly significant in paleogeographic reconstructions of Eastern Gondwana.</t>
  </si>
  <si>
    <t>[Zeng, Yun-Chuan; Xu, Ji-Feng; Huang, Feng] China Univ Geosci, Sch Earth Sci &amp; Resources, State Key Lab Geol Proc &amp; Mineral Resources, Beijing 100083, Peoples R China; [Xu, Ji-Feng; Chen, Jian-Lin] Chinese Acad Sci, Guangzhou Inst Geochem, State Key Lab Isotope Geochem, Guangzhou 510640, Guangdong, Peoples R China; [Xu, Ji-Feng; Chen, Jian-Lin] CAS Ctr Excellence Tibetan Plateau Earth Sci, Beijing 100101, Peoples R China; [Wang, Bao-Di] Chengdu Inst Geol &amp; Mineral Resources, Chengdu 610081, Sichuan, Peoples R China; [Yu, Hong-Xia; Chen, Xue-Feng] Guilin Univ Technol, Sch Earth Sci, Guilin 541004, Peoples R China; [Zhao, Pei-Pei] Hebei GEO Univ, Coll Resources, Shijiazhuang 050031, Hebei, Peoples R China</t>
  </si>
  <si>
    <t>China University of Geosciences; Chinese Academy of Sciences; Guangzhou Institute of Geochemistry, CAS; Guilin University of Technology; Hebei GEO University</t>
  </si>
  <si>
    <t>Xu, JF; Chen, JL (corresponding author), 29 Xueyuan Rd, Beijing 100083, Peoples R China.</t>
  </si>
  <si>
    <t>jifengxu@gig.ac.cn; lzdxchen@gig.ac.cn</t>
  </si>
  <si>
    <t>Zeng, YUNCHUAN/GYU-3922-2022; XU, Ji-Feng/AAS-4232-2021; Huang, Feng/I-1710-2019; , lzdxchen/AAB-8501-2022</t>
  </si>
  <si>
    <t>Zeng, YUNCHUAN/0000-0002-9701-9693; XU, Ji-Feng/0000-0002-1116-1614; Huang, Feng/0000-0001-6215-8223</t>
  </si>
  <si>
    <t>National Key Research and Development Project of China [2016YFC0600304]; Major State Basic Research Program of the Peoples Republic of China [2015CB452602]; Natural Science Foundation of China [41463001, 41573024, 41603033, 41730427, 41773026]; Strategic Priority Research Program (B) of the Chinese Academy of Sciences [XDB03010300]; GIGCAS 135 project [135TP201601]; Fundamental Research Funds for the Central Universities [53200759031]; Support Program of the National Postdoctoral Program for Innovative Talents [BX 201700213]</t>
  </si>
  <si>
    <t>National Key Research and Development Project of China; Major State Basic Research Program of the Peoples Republic of China(National Basic Research Program of China); Natural Science Foundation of China(National Natural Science Foundation of China (NSFC)); Strategic Priority Research Program (B) of the Chinese Academy of Sciences(Chinese Academy of Sciences); GIGCAS 135 project; Fundamental Research Funds for the Central Universities(Fundamental Research Funds for the Central Universities); Support Program of the National Postdoctoral Program for Innovative Talents</t>
  </si>
  <si>
    <t>We thank Editor in-chief Prof. Thomas Algeo, the Guest Editor Prof. Li Jianguo and two anonymous reviewers for detailed reviews and constructive suggestions, which greatly improved the scientific and English quality of our manuscript. This research was financially co-supported by the following funding agencies: The National Key Research and Development Project of China (2016YFC0600304), the Major State Basic Research Program of the Peoples Republic of China (2015CB452602), the Natural Science Foundation of China (41463001, 41573024, 41603033, 41730427, 41773026), the Strategic Priority Research Program (B) of the Chinese Academy of Sciences (XDB03010300), the GIGCAS 135 project (135TP201601), the Fundamental Research Funds for the Central Universities (53200759031) and the Support Program of the National Postdoctoral Program for Innovative Talents (grant BX 201700213).</t>
  </si>
  <si>
    <t>10.1016/j.palaeo.2017.10.010</t>
  </si>
  <si>
    <t>HK3JF</t>
  </si>
  <si>
    <t>WOS:000457811700006</t>
  </si>
  <si>
    <t>Steinthorsdottir, M; Vajda, V; Pole, M</t>
  </si>
  <si>
    <t>Steinthorsdottir, Margret; Vajda, Vivi; Pole, Mike</t>
  </si>
  <si>
    <t>Significant transient pCO2 perturbation at the New Zealand Oligocene-Miocene transition recorded by fossil plant stomata</t>
  </si>
  <si>
    <t>Stomatal proxy; Climate change; Oligocene-Miocene boundary; Mi-1 termination; Lauraceae</t>
  </si>
  <si>
    <t>ATMOSPHERIC CARBON-DIOXIDE; ANTARCTIC ICE-SHEET; ELEVATED CO2 CONCENTRATIONS; SOUTHERN NEW-ZEALAND; LATE EOCENE; MANUHERIKIA GROUP; CENTRAL OTAGO; CLIMATE; CYCLE; EVOLUTION</t>
  </si>
  <si>
    <t>The reorganisation of Earth's climate system from the Oligocene to the Miocene was influenced by complex interactions between Tethyan tectonics, orbital parameters, oceanographic changes, and carbon cycle feedbacks, with climate modelling indicating that pCO(2) was an important factor. Oscillating episodes of climate change during the Oligocene Miocene transition (OMT) have however been difficult to reconcile with existing pCO(2) records. Here we present a new pCO(2) record from the OMT into the early Miocene, reconstructed using the stomatal proxy method with a database of fossil Lauraceae leaves from New Zealand. The leaf database derives from three relatively well-dated sites located in the South Island of New Zealand; Foulden Maar, Mataura River and Grey Lake. Atmospheric pCO(2) values were obtained based on four separate calibrations with three nearest living equivalents, using the stomatal ratio method as well as transfer functions. Our results, based on the mean values of each of the four calibrations, indicate pCO(2) ranging 582-732 ppm (average 650 ppm) at the OMT, falling precipitously to mean values of 430-538 ppm (average 492 ppm) for the earliest Miocene and similar to 454-542 ppm (average 502 ppm) in the early Miocene. The much higher values of pCO(2) at the OMT indicate that pCO played an important role in climate dynamics during this time, potentially including the abrupt termination of glaciations.</t>
  </si>
  <si>
    <t>[Steinthorsdottir, Margret; Vajda, Vivi] Swedish Museum Nat Hist, Dept Palaeobiol, SE-10405 Stockholm, Sweden; [Steinthorsdottir, Margret] Stockholm Univ, Bolin Ctr Climate Res, SE-10961 Stockholm, Sweden; [Pole, Mike] Queensland Herbarium, Brisbane Bot Gardens, Mt Coot Tha Rd, Toowong, Qld 4066, Australia</t>
  </si>
  <si>
    <t>Swedish Museum of Natural History; Stockholm University</t>
  </si>
  <si>
    <t>Steinthorsdottir, M (corresponding author), Swedish Museum Nat Hist, Dept Palaeobiol, SE-10405 Stockholm, Sweden.</t>
  </si>
  <si>
    <t>margret.steinthorsdottir@nrm.se</t>
  </si>
  <si>
    <t>Pole, Michael S/C-8335-2016; Vajda, Vivi/N-7693-2018</t>
  </si>
  <si>
    <t>Pole, Mike/0000-0001-6125-9284</t>
  </si>
  <si>
    <t>Swedish Research Council (VR Starting Grant) [NT -7 2016 04905, VR 2015 4264]; Bolin Centre for Climate Research, Stockholm University; Linnaeus Centre Lund University Carbon Cycle Centre (LUCCI) - Swedish Research Concil [VR 349 2007 8705]</t>
  </si>
  <si>
    <t>Swedish Research Council (VR Starting Grant); Bolin Centre for Climate Research, Stockholm University; Linnaeus Centre Lund University Carbon Cycle Centre (LUCCI) - Swedish Research Concil</t>
  </si>
  <si>
    <t>We gratefully acknowledge funding from the Swedish Research Council (VR Starting Grant NT -7 2016 04905 to M.S. and VR 2015 4264 to V.V.) and with additional funding from the Bolin Centre for Climate Research, Stockholm University to M.S. V.V. further acknowledges support from the Linnaeus Centre Lund University Carbon Cycle Centre (LUCCI), funded by the Swedish Research Concil (VR 349 2007 8705). M. Huber (Purdue University) is thanked for helpful discussions and C.H. Lear (Cardiff University) provided constructive feedback on an earlier version of the manuscript.</t>
  </si>
  <si>
    <t>10.1016/j.palaeo.2018.01.039</t>
  </si>
  <si>
    <t>WOS:000457811700013</t>
  </si>
  <si>
    <t>Brandano, M; Tomassetti, L; Cornacchia, I</t>
  </si>
  <si>
    <t>Brandano, Marco; Tomassetti, Laura; Cornacchia, Irene</t>
  </si>
  <si>
    <t>The lower Rupelian cluster reefs of Majella platform, the shallow water record of Eocene to Oligocene transition</t>
  </si>
  <si>
    <t>SEDIMENTARY GEOLOGY</t>
  </si>
  <si>
    <t>Carbonate ramp; Corals; Eocene; Oligocene; Oi-1 event</t>
  </si>
  <si>
    <t>MAIELLA CARBONATE PLATFORM; CORALLINE RED ALGAE; ANTARCTIC GLACIATION; PALEOENVIRONMENTAL CHANGES; SEQUENCE STRATIGRAPHY; OCEAN CIRCULATION; FACIES ANALYSIS; OLIGOMIOCENE; MARGIN; BASIN</t>
  </si>
  <si>
    <t>The Eocene-Oligocene Transition is a key interval in the evolution of the modern climate, representing the last greenhouse-icehouse transition faced by the Earth. Shallow-water carbonate systems hold essential information of the global changes related to the E-O Transition. In this work, we focus on the Majella Mountain carbonate ramp to identify the shallow-water sedimentary expression of the oceanographic and sea-level changes related to the E-O Transition, and to compare it with the deep-marine records and the coeval shallow-water successions. Field observations, coupled with the study of thin sections to identify textural characters, and of the larger benthic foraminiferal associations for biostratigraphic purposes, allowed reconstructing the depositional model and the stratigraphic distribution of the examined ramp. The lower Rupelian ramp outcropping in the Majella Mountain is characterized by seagrass meadows in the euphotic inner ramp. Corals developed in the middle ramp, building mounded cluster reefs in the mesophotic zone, below wave base, in high hydrodynamic conditions produced by rip-currents induced by storm events or by the breaker zone of internal-waves. The outer ramp consists of alternating bioturbated wackestone rich in planktonic foraminifera, bioclastic packstone and skeletal rudstone to floatstone. The depositional model of the Oligocene ramps is the result of the major changes that occurred during the greenhouse-icehouse transition. In the Majella platform, the E-O Transition corresponds to an unconformity developed on the Priabonian substrate, where the cluster reefs grew and expanded. The unconformity results from the sea level drop of tens of meters, recorded also in the outer ramp, related to the Oi-1 event. The cluster reefs started to develop when the Priabonian ramp was flooded and continued to grow during the following highstands, forming an extensive coral unit that prograded basinwards, interfingering with the outer ramp deposits. (C) 2018 Elsevier B.V. All rights reserved.</t>
  </si>
  <si>
    <t>[Brandano, Marco; Tomassetti, Laura; Cornacchia, Irene] Univ Roma La Sapienza, Dipartimento Sci Terra, P Aldo Moro 5, I-00185 Rome, Italy</t>
  </si>
  <si>
    <t>Sapienza University Rome</t>
  </si>
  <si>
    <t>Brandano, M (corresponding author), Univ Roma La Sapienza, Dipartimento Sci Terra, P Aldo Moro 5, I-00185 Rome, Italy.</t>
  </si>
  <si>
    <t>marco.brandano@uniroma1.it</t>
  </si>
  <si>
    <t>Brandano, Marco/D-4843-2012; CORNACCHIA, Irene/AAZ-3536-2020; Tomassetti, Laura/B-6164-2014</t>
  </si>
  <si>
    <t>Brandano, Marco/0000-0003-1657-9486; CORNACCHIA, Irene/0000-0002-5658-2367; Tomassetti, Laura/0000-0001-9989-9105</t>
  </si>
  <si>
    <t>Sapienza University of Rome project (Ateneo Project 2017)</t>
  </si>
  <si>
    <t>This research is funded by Sapienza University of Rome project (Ateneo Project 2017, Resp Michele Lustrino). Criticisms and comments by reviewer Pascal Kindler Fotini Pomoni Papaioannou and Editor Brian Jones greatly improved the manuscript. The Majella National Park, in the person of Dr. Elena Liberatoscioli in particular, is sincerely thanked for the license to take samples within the Park.</t>
  </si>
  <si>
    <t>0037-0738</t>
  </si>
  <si>
    <t>1879-0968</t>
  </si>
  <si>
    <t>SEDIMENT GEOL</t>
  </si>
  <si>
    <t>Sediment. Geol.</t>
  </si>
  <si>
    <t>10.1016/j.sedgeo.2018.11.013</t>
  </si>
  <si>
    <t>HJ9FK</t>
  </si>
  <si>
    <t>WOS:000457504000002</t>
  </si>
  <si>
    <t>Hooper, J; Mayewski, P; Marx, S; Henson, S; Potocki, M; Sneed, S; Handley, M; Gassó, S; Fischer, M; Saunders, KM</t>
  </si>
  <si>
    <t>Hooper, James; Mayewski, Paul; Marx, Samuel; Henson, Stephanie; Potocki, Mariusz; Sneed, Sharon; Handley, Mike; Gasso, Santiago; Fischer, Matthew; Saunders, Krystyna M.</t>
  </si>
  <si>
    <t>Examining links between dust deposition and phytoplankton response using ice cores</t>
  </si>
  <si>
    <t>AEOLIAN RESEARCH</t>
  </si>
  <si>
    <t>IRON FERTILIZATION EXPERIMENT; SOUTHERN-OCEAN; NORTH PACIFIC; CARBON SEQUESTRATION; DISSOLVED IRON; TRANSPORT; WATER; VARIABILITY; SEDIMENTS; BIOGEOCHEMISTRY</t>
  </si>
  <si>
    <t>Dust is a major source of nutrients to remote ocean environments, influencing primary productivity (PP). Enhanced oceanic PP causes drawdown of atmospheric CO2 and is considered likely to be a driver of climate variability on glacial-interglacial timeframes. However, the scale of this relationship and its operation over shorter tirnescales remains uncertain, while it is unclear whether dust fertilisation, or other mechanisms, e.g. nutrient upwelling, are the primary driver of PP in high-nutrient low-chlorophyll (HNLC) ocean regions. In this study, we demonstrate, using dust derived Fe and Methanesulfonic acid (a measure of ocean PP) deposition in ice cores from the South Atlantic (South Georgia Island) and North Pacific (Yukon), that PP is significantly correlated with Dust-Pe on both an event and annual scale. However, measuring the relationship between (dust) Fe fertilization and PP in high resolution ice cores is subject to a number of highly complex factors, which are discussed and together used to recommend future research directions. In conclusion, our research suggests that changes in aeolian Fe flux, due to climate change and human activity in dust source regions, could have significant implications for HNLC ocean PP and, therefore potentially, carbon sequestration.</t>
  </si>
  <si>
    <t>[Hooper, James; Marx, Samuel] Univ Wollongong, Sch Earth &amp; Environm Sci, GeoQuEST Res Ctr, Wollongong, NSW 2522, Australia; [Mayewski, Paul; Potocki, Mariusz; Sneed, Sharon; Handley, Mike] Univ Maine, Climate Change Inst, Orono, ME 04469 USA; [Henson, Stephanie] Natl Oceanog Ctr, European Way, Southampton SO14 3ZH, Hants, England; [Potocki, Mariusz] Univ Maine, Sch Earth &amp; Climate Sci, Orono, ME 04469 USA; [Gasso, Santiago] NASA, GESTAR, Greenbelt, MD 20771 USA; [Fischer, Matthew; Saunders, Krystyna M.] Australian Nucl Sci &amp; Technol Org, Lucas Heights, NSW 2234, Australia</t>
  </si>
  <si>
    <t>University of Wollongong; University of Maine System; University of Maine Orono; NERC National Oceanography Centre; University of Southampton; University of Maine System; University of Maine Orono; National Aeronautics &amp; Space Administration (NASA); Australian Nuclear Science &amp; Technology Organisation</t>
  </si>
  <si>
    <t>Hooper, J (corresponding author), Univ Wollongong, Sch Earth &amp; Environm Sci, GeoQuEST Res Ctr, Wollongong, NSW 2522, Australia.</t>
  </si>
  <si>
    <t>james@james-hooper.com</t>
  </si>
  <si>
    <t>Marx, Samuel K/D-1122-2013; Henson, Stephanie/AAC-9709-2019; Mayewski, Paul Andrew/HRD-6969-2023; Gasso, Santiago/H-9571-2014; Saunders, Krystyna/G-1368-2019</t>
  </si>
  <si>
    <t>Gasso, Santiago/0000-0002-6872-0018; Hooper, James/0000-0002-1796-6800; Marx, Samuel/0000-0003-2333-5260; Saunders, Krystyna/0000-0002-6800-2630</t>
  </si>
  <si>
    <t>US National Science Foundation; Australian Institute of Nuclear Science and Engineering; University of Wollongong; NERC [noc010009] Funding Source: UKRI</t>
  </si>
  <si>
    <t>US National Science Foundation(National Science Foundation (NSF)); Australian Institute of Nuclear Science and Engineering; University of Wollongong; NERC(UK Research &amp; Innovation (UKRI)Natural Environment Research Council (NERC))</t>
  </si>
  <si>
    <t>The expeditions to collect both Ice cores were organised and enabled by the Climate Change Institute (CCI) at the University of Maine. Major Ions and trace elements analyses were undertaken at the CCI facility. The Climate Change Institute kindly provided the core data for this paper. The Mt. Logan project was supported by a US National Science Foundation grant to P. Mayewski. For the South Georgia core we would like to thank Skip Novak for his generous logistical support and guiding on South Georgia and to the Pelagic Australis team who sailed us to SG (Dave Roberts, Tomas Geipel &amp; Lizzy Fitzsimmons), and to the Westwind EXpedition team who sailed on Pelagic Australis and assisted in the ice core retrieval and island logistics (P. Mayewski, S. Novak, G. Casassa, M. Potocki, J. Hooper, J. Auger, T. Smallwood). We are also grateful to the Government of South Georgia and the South Sandwich Islands for granting permission to undertake fieldwork on South Georgia, and to the British Antarctic Survey for their hospitality at the King Edward Point Station and help with retrieving weather data for the station. We are grateful to NASA for Chl and PAR data, and NOAA for SST data used in analysing the South Georgia Core. We thank Sam Lin for statistical advice. J. Hooper would like to thank the Australian Institute of Nuclear Science and Engineering and the University of Wollongong for funding support. The data used in this paper can be accessed via the Climate Change Institute's ice core data repository: http://cci.um.maine.edu/icecoredata/or by contacting the corresponding author.</t>
  </si>
  <si>
    <t>1875-9637</t>
  </si>
  <si>
    <t>2212-1684</t>
  </si>
  <si>
    <t>AEOLIAN RES</t>
  </si>
  <si>
    <t>Aeolian Res.</t>
  </si>
  <si>
    <t>10.1016/j.aeolia.2018.11.001</t>
  </si>
  <si>
    <t>HK1LB</t>
  </si>
  <si>
    <t>WOS:000457665300004</t>
  </si>
  <si>
    <t>Simms, AR; Lisiecki, L; Gebbie, G; Whitehouse, PL; Clark, JF</t>
  </si>
  <si>
    <t>Simms, Alexander R.; Lisiecki, Lorraine; Gebbie, Geoffrey; Whitehouse, Pippa L.; Clark, Jordan F.</t>
  </si>
  <si>
    <t>Balancing the last glacial maximum (LGM) sea-level budget</t>
  </si>
  <si>
    <t>Eustatic; Sea level; Antarctica; Pleistocene; Lowstand</t>
  </si>
  <si>
    <t>ANTARCTIC ICE-SHEET; ISOSTATIC-ADJUSTMENT MODEL; LATE PLEISTOCENE; SOUTH GEORGIA; MELTING HISTORY; BONAPARTE GULF; VOLUME; GREENLAND; DEGLACIATION; EVOLUTION</t>
  </si>
  <si>
    <t>Estimates of post-Last Glacial Maximum (LGM) sea-level rise are not balanced by the estimated amount of ice melted since the LGM. We quantify this missing ice by reviewing the possible contributions from each of the major ice sheets. This missing ice amounts to 18.1 +/- 9.6 m of global sea-level rise. Ocean expansion accounts for 2.4 +/- 0.3 m of this discrepancy while groundwater could contribute a maximum of another 1.4 m to this offset. After accounting for these two potential contributors to the sea-level budget, the shortfall of 15.6 +/- 9.6m suggests that either a large reservoir of water (e.g. a missing LGM ice sheet) has yet to be discovered or current estimates of one or more of the known LGM ice sheets are too small. Included within this latter possibility are potential inadequacies of current models of glacial isostatic adjustment. (C) 2018 Elsevier Ltd. All rights reserved.</t>
  </si>
  <si>
    <t>[Simms, Alexander R.; Lisiecki, Lorraine; Clark, Jordan F.] Univ Calif Santa Barbara, Dept Earth Sci, 1006 Webb Hall, Santa Barbara, CA 93106 USA; [Gebbie, Geoffrey] Woods Hole Oceanog Inst, Dept Phys Oceanog, Woods Hole, MA 02543 USA; [Whitehouse, Pippa L.] Univ Durham, Dept Phys Geog, South Rd, Durham DH1 3LE, England</t>
  </si>
  <si>
    <t>University of California System; University of California Santa Barbara; Woods Hole Oceanographic Institution; Durham University</t>
  </si>
  <si>
    <t>Simms, AR (corresponding author), Univ Calif Santa Barbara, Dept Earth Sci, 1006 Webb Hall, Santa Barbara, CA 93106 USA.</t>
  </si>
  <si>
    <t>asimms@geol.ucsb.edu</t>
  </si>
  <si>
    <t>Simms, Alexander R/E-5609-2012; IPO, PAGES/JXY-7546-2024; Lisiecki, Lorraine E/C-4066-2008</t>
  </si>
  <si>
    <t>Simms, Alexander/0000-0001-5034-2189; Lisiecki, Lorraine/0000-0001-7859-0096; Whitehouse, Pippa/0000-0002-9092-3444</t>
  </si>
  <si>
    <t>US-UK Fulbright Commission; Directorate For Geosciences; Division Of Ocean Sciences [1536380] Funding Source: National Science Foundation</t>
  </si>
  <si>
    <t>US-UK Fulbright Commission; Directorate For Geosciences; Division Of Ocean Sciences(National Science Foundation (NSF)NSF - Directorate for Geosciences (GEO))</t>
  </si>
  <si>
    <t>The authors would like to thank Adam Arce for his assistance in coding the groundwater table data. Chris Stokes, Matt Jackson, and James Kennett are thanked for helpful discussions. This study also benefited from discussions with the broader PALSEA community. Formal reviews by Lev Tarasov and an anonymous reviewer as well as associate editor Glenn Milne improved this manuscript. Completion of this manuscript was made possible while ARS was on sabbatical at Durham University with support from the US-UK Fulbright Commission.</t>
  </si>
  <si>
    <t>10.1016/j.quascirev.2018.12.018</t>
  </si>
  <si>
    <t>HK1IN</t>
  </si>
  <si>
    <t>WOS:000457658600011</t>
  </si>
  <si>
    <t>Zhang, H; Yu, ZY; Liang, ES; Yang, M; Ashley, MCB; Cui, XQ; Du, FJ; Fu, JN; Gong, XF; Gu, BZ; Hu, Y; Jiang, P; Liu, HG; Lawrence, J; Liu, Q; Li, XY; Li, ZY; Ma, B; Mould, J; Shang, ZH; Suntzeff, NB; Tao, C; Tian, QG; Tinney, CG; Uddin, SA; Wang, LF; Wang, SH; Wang, XF; Wei, P; Wright, D; Wu, XF; Wittenmyer, RA; Xu, LZ; Yang, SH; Yu, C; Yuan, XY; Zheng, J; Zhou, HY; Zhou, JL; Zhu, ZX</t>
  </si>
  <si>
    <t>Zhang, Hui; Yu, Zhouyi; Liang, Ensi; Yang, Ming; Ashley, Michael C. B.; Cui, Xiangqun; Du, Fujia; Fu, Jianning; Gong, Xuefei; Gu, Bozhong; Hu, Yi; Jiang, Peng; Liu, Huigen; Lawrence, Jon; Liu, Qiang; Li, Xiaoyan; Li, Zhengyang; Ma, Bin; Mould, Jeremy; Shang, Zhaohui; Suntzeff, Nicholas B.; Tao, Charling; Tian, Qiguo; Tinney, C. G.; Uddin, Syed A.; Wang, Lifan; Wang, Songhu; Wang, Xiaofeng; Wei, Peng; Wright, Duncan; Wu, Xuefeng; Wittenmyer, Robert A.; Xu, Lingzhe; Yang, Shi-hai; Yu, Ce; Yuan, Xiangyan; Zheng, Jessica; Zhou, Hongyan; Zhou, Ji-lin; Zhu, Zhenxi</t>
  </si>
  <si>
    <t>Exoplanets in the Antarctic Sky. I. The First Data Release of AST3-II (CHESPA) and New Found Variables within the Southern CVZ of TESS</t>
  </si>
  <si>
    <t>ASTROPHYSICAL JOURNAL SUPPLEMENT SERIES</t>
  </si>
  <si>
    <t>binaries: eclipsing; catalogs; planets and satellites: detection; stars: variables: general; surveys; techniques: photometric</t>
  </si>
  <si>
    <t>POINT-SOURCE CATALOG; DOME-C; PHOTOMETRY; PLANET; SITE; BRIGHTNESS; PARAMETERS; TELESCOPE; ALGORITHM; EARTH</t>
  </si>
  <si>
    <t>Located at Dome A, the highest point of the Antarctic plateau, the Chinese Kunlun station is considered to be one of the best ground-based photometric sites because of its extremely cold, dry, and stable atmosphere. A target can be monitored from there for over 40 days without diurnal interruption during a polar winter. This makes Kunlun station a perfect site to search for short-period transiting exoplanets. Since 2008, an observatory has existed at Kunlun station, and three telescopes are working there. Using these telescopes, the AST3 project has been carried out over the last 6 yr with a search for transiting exoplanets as one of its key programs (CHESPA). In the austral winters of 2016 and 2017, a set of target fields in the southern continuous viewing zone (CVZ) of TESS were monitored by the AST3-II telescope. In this paper, we introduce the CHESPA and present the first data release containing photometry of 26,578 bright stars (m(i) &lt;= 15). The best photometric precision at the optimum magnitude for the survey is around 2 mmag. To demonstrate the data quality, we also present a catalog of 221 variables with a brightness variation greater than 5 mmag from the 2016 data. Among these variables, 179 are newly identified periodic variables not listed in the AAVSO database (https://www.aavso.org/), and 67 are listed in the Candidate Target List. These variables will require careful attention to avoid false-positive signals when searching for transiting exoplanets. Dozens of new transiting exoplanet candidates will be released in a subsequent paper.</t>
  </si>
  <si>
    <t>[Zhang, Hui; Yu, Zhouyi; Liang, Ensi; Yang, Ming; Liu, Huigen; Wei, Peng; Zhou, Ji-lin] Nanjing Univ, Minist Educ, Sch Astron &amp; Space Sci, Key Lab Modern Astron &amp; Astrophys, Nanjing 210023, Jiangsu, Peoples R China; [Ashley, Michael C. B.] Univ New South Wales, Sch Phys, Sydney, NSW 2052, Australia; [Cui, Xiangqun; Du, Fujia; Gong, Xuefei; Gu, Bozhong; Li, Xiaoyan; Li, Zhengyang; Xu, Lingzhe; Yang, Shi-hai; Yuan, Xiangyan; Zheng, Jessica] Nanjing Inst Astron Opt &amp; Technol, Nanjing 210042, Jiangsu, Peoples R China; [Cui, Xiangqun; Du, Fujia; Gong, Xuefei; Gu, Bozhong; Hu, Yi; Jiang, Peng; Li, Xiaoyan; Li, Zhengyang; Ma, Bin; Shang, Zhaohui; Wang, Lifan; Wu, Xuefeng; Yang, Shi-hai; Yuan, Xiangyan; Zhu, Zhenxi] Chinese Ctr Antarctic Astron, 451 Jinqiao Rd, Nanjing 210008, Jiangsu, Peoples R China; [Fu, Jianning] Beijing Normal Univ, Dept Astron, Beijing 100875, Peoples R China; [Hu, Yi; Liu, Qiang; Ma, Bin; Shang, Zhaohui] Chinese Acad Sci, Natl Astron Observ, Beijing 100012, Peoples R China; [Jiang, Peng] Polar Res Inst China, Shanghai 200136, Peoples R China; [Lawrence, Jon] Macquarie Univ, Australian Astron Opt, N Ryde, NSW 2109, Australia; [Ma, Bin] Univ Chinese Acad Sci, Beijing 100049, Peoples R China; [Mould, Jeremy] Swinburne Univ Technol, Ctr Astrophys &amp; Supercomp, POB 218,Mail H29, Hawthorn, Vic 3122, Australia; [Mould, Jeremy] ARC Ctr Excellence All Sky Astrophys CAASTRO, Sydney, NSW, Australia; [Shang, Zhaohui] Tianjin Normal Univ, Tianjin Astrophys Ctr, Tianjin 300387, Peoples R China; [Suntzeff, Nicholas B.; Wang, Lifan] Texas A&amp;M Univ, Dept Phys &amp; Astron, George P &amp; Cynthia Woods Mitchell Inst Fundamenta, 4242 TAMU, College Stn, TX 77843 USA; [Tao, Charling] Aix Marseille Univ, CNRS, IN2P3, CPPM, Marseille, France; [Tao, Charling; Wang, Xiaofeng] Tsinghua Univ, Phys Dept, Beijing 100084, Peoples R China; [Tao, Charling; Wang, Xiaofeng] Tsinghua Univ, Tsinghua Ctr Astrophys THCA, Beijing 100084, Peoples R China; [Tian, Qiguo; Zhou, Hongyan] Polar Res Inst China, 451 Jinqiao Rd, Shanghai 200136, Peoples R China; [Tinney, C. G.] UNSW, Sch Phys, Exoplanetary Sci, Unsw Sydney, NSW 2052, Australia; [Uddin, Syed A.; Wang, Lifan; Wu, Xuefeng; Zhu, Zhenxi] Purple Mt Observ, Nanjing 210008, Jiangsu, Peoples R China; [Wang, Songhu] Yale Univ, Dept Astron, New Haven, CT 06511 USA; [Wright, Duncan; Wittenmyer, Robert A.] Univ Southern Queensland, Computat Engn &amp; Sci Res Ctr, Toowoomba, Qld 4350, Australia; [Yu, Ce] Tianjin Univ, Sch Comp Sci &amp; Technol, Tianjin 300072, Peoples R China; [Zheng, Jessica] Australian Astron Observ, 105 Delhi Rd, N Ryde, NSW 2113, Australia</t>
  </si>
  <si>
    <t>Nanjing University; University of New South Wales Sydney; Chinese Academy of Sciences; Nanjing Institute of Astronomical Optics &amp; Technology, NAOC, CAS; Beijing Normal University; Chinese Academy of Sciences; National Astronomical Observatory, CAS; Polar Research Institute of China; Macquarie University; Chinese Academy of Sciences; University of Chinese Academy of Sciences, CAS; Swinburne University of Technology; Tianjin Normal University; Texas A&amp;M University System; Texas A&amp;M University College Station; Aix-Marseille Universite; Centre National de la Recherche Scientifique (CNRS); CNRS - National Institute of Nuclear and Particle Physics (IN2P3); Tsinghua University; Tsinghua University; Polar Research Institute of China; University of New South Wales Sydney; Chinese Academy of Sciences; Nanjing Institute of Astronomical Optics &amp; Technology, NAOC, CAS; Purple Mountain Observatory, CAS; Yale University; University of Southern Queensland; Tianjin University</t>
  </si>
  <si>
    <t>Zhang, H; Zhou, JL (corresponding author), Nanjing Univ, Minist Educ, Sch Astron &amp; Space Sci, Key Lab Modern Astron &amp; Astrophys, Nanjing 210023, Jiangsu, Peoples R China.</t>
  </si>
  <si>
    <t>huizhang@nju.edu.cn; zhoujl@nju.edu.cn</t>
  </si>
  <si>
    <t>wei, peng/IVH-1711-2023; Wright, Duncan J/D-4029-2011; Yang, Shihai/J-1593-2012; Liu, Hui-Gen/HLQ-5128-2023; Yang, Ming/GWV-1365-2022; Uddin, Syed A/C-1539-2018; Zhang, Cheng/JAD-2236-2023; Zhang, Hui/HHN-8494-2022; Zhang, Huiming/HZH-4348-2023</t>
  </si>
  <si>
    <t>Yang, Ming/0000-0002-6926-2872; Lawrence, Jon/0000-0002-6998-6993; Wang, Songhu/0000-0002-7846-6981; zhang, hui/0000-0003-3491-6394; Mould, Jeremy/0000-0003-3820-1740; Suntzeff, Nicholas/0000-0002-8102-181X; Wright, Duncan/0000-0001-7294-5386; Ashley, Michael/0000-0003-1412-2028; hu, yi/0000-0003-3317-4771; Tinney, C.G./0000-0002-7595-0970; Zheng, Rong/0000-0002-3498-4437</t>
  </si>
  <si>
    <t>Natural Science Foundation of China (NSFC) [11673011, 11333002, 11273019]; National Basic Research Program (973 Program) of China [2013CB834900, 2013CB834904]; Chinese Polar Environment Comprehensive Investigation &amp; Assessment Program [CHINARE2016-02-03]; Australian Antarctic Division; Australian National Collaborative Research Infrastructure Strategy; Robert Martin Ayers Sciences Fund</t>
  </si>
  <si>
    <t>Natural Science Foundation of China (NSFC)(National Natural Science Foundation of China (NSFC)); National Basic Research Program (973 Program) of China(National Basic Research Program of China); Chinese Polar Environment Comprehensive Investigation &amp; Assessment Program; Australian Antarctic Division; Australian National Collaborative Research Infrastructure Strategy(Australian GovernmentDepartment of Industry, Innovation and Science); Robert Martin Ayers Sciences Fund</t>
  </si>
  <si>
    <t>This work was supported by the Natural Science Foundation of China (NSFC grants 11673011, 11333002, and 11273019) and the National Basic Research Program (973 Program) of China (grant Nos. 2013CB834900 and 2013CB834904). The authors deeply appreciate all the CHINAREs for their great effort in installing/maintaining CSTAR, CSTAR-II, AST3-I, AST3-II, and PLATO-A. This study has also been supported by the Chinese Polar Environment Comprehensive Investigation &amp; Assessment Program (grant No. CHINARE2016-02-03), the Australian Antarctic Division, and the Australian National Collaborative Research Infrastructure Strategy administered by Astronomy Australia Limited. HZ is also grateful to the High Performance Computing Center (HPCC) of Nanjing University for reducing the data used in this paper. This research was made possible through the use of the AAVSO Photometric All-Sky Survey (APASS), funded by the Robert Martin Ayers Sciences Fund.</t>
  </si>
  <si>
    <t>0067-0049</t>
  </si>
  <si>
    <t>1538-4365</t>
  </si>
  <si>
    <t>ASTROPHYS J SUPPL S</t>
  </si>
  <si>
    <t>Astrophys. J. Suppl. Ser.</t>
  </si>
  <si>
    <t>10.3847/1538-4365/aaec0c</t>
  </si>
  <si>
    <t>HJ0IB</t>
  </si>
  <si>
    <t>WOS:000456841400001</t>
  </si>
  <si>
    <t>Exoplanets in the Antarctic Sky. II. 116 Transiting Exoplanet Candidates Found by AST3-II (CHESPA) within the Southern CVZ of TESS</t>
  </si>
  <si>
    <t>EXTRASOLAR PLANET CANDIDATES; POINT-SOURCE CATALOG; DOME-C; 1ST RELEASE; TIME-SERIES; SITE; SEARCH; IDENTIFICATION; BRIGHTNESS; PHOTOMETRY</t>
  </si>
  <si>
    <t>We report first results from the CHinese Exoplanet Searching Program from Antarctica (CHESPA)-a wide-field high-resolution photometric survey for transiting exoplanets carried out using telescopes of the AST3 (Antarctic Survey Telescopes times 3) project. There are now three telescopes (AST3-I, AST3-II, and CSTAR-II) operating at Dome A-the highest point on the Antarctic Plateau-in a fully automatic and remote mode to exploit the superb observing conditions of the site, and its long and uninterrupted polar nights. The search for transiting exoplanets is one of the key projects for AST3. During the austral winters of 2016 and 2017 we used the AST3-II telescope to survey a set of target fields near the southern ecliptic pole, falling within the continuous viewing zone of the TESS mission. The first data release of the 2016 data, including images, catalogs, and light curves of 26,578 bright stars (7.5 &lt;= m(i) &lt;= 15), was presented in Zhang et al. The best precision, as measured by the rms of the light curves at the optimum magnitude of the survey (m(i) = 10), is around 2 mmag. We detect 222 objects with plausible transit signals from these data, 116 of which are plausible transiting exoplanet candidates according to their stellar properties as given by the TESS Input Catalog, Gaia DR2, and TESS-HERMES spectroscopy. With the first data release from TESS expected in late 2018, this candidate list will be timely for improving the rejection of potential false-positives.</t>
  </si>
  <si>
    <t>[Zhang, Hui; Yu, Zhouyi; Liang, Ensi; Yang, Ming; Liu, Huigen; Wei, Peng; Zhou, Ji-lin] Nanjing Univ, Sch Astron &amp; Space Sci, Key Lab Modern Astron &amp; Astrophys, Minist Educ, Nanjing 210023, Jiangsu, Peoples R China; [Ashley, Michael C. B.] Univ New South Wales, Sch Phys, Sydney, NSW 2052, Australia; [Cui, Xiangqun; Du, Fujia; Gong, Xuefei; Gu, Bozhong; Li, Xiaoyan; Li, Zhengyang; Xu, Lingzhe; Yang, Shi-hai; Yuan, Xiangyan] Nanjing Inst Astron Opt &amp; Technol, Nanjing 210042, Peoples R China; [Cui, Xiangqun; Du, Fujia; Gong, Xuefei; Gu, Bozhong; Hu, Yi; Li, Xiaoyan; Li, Zhengyang; Ma, Bin; Shang, Zhaohui; Wang, Lifan; Wu, Xuefeng; Yang, Shi-hai; Yuan, Xiangyan] Chinese Ctr Antarctic Astron, Nanjing 210008, Jiangsu, Peoples R China; [Fu, Jianning] Beijing Normal Univ, Dept Astron, Beijing 100875, Peoples R China; [Hu, Yi; Liu, Qiang; Ma, Bin; Shang, Zhaohui] Chinese Acad Sci, Natl Astron Observ, Beijing 100012, Peoples R China; [Jiang, Peng] Polar Res Inst China, Shanghai 200136, Peoples R China; [Jiang, Peng] Chinese Ctr Antarctic Astron, 451 Jinqiao Rd, Nanjing 210008, Jiangsu, Peoples R China; [Lawrence, Jon] Macquarie Univ, Australian Astron Opt, N Ryde, NSW 2109, Australia; [Ma, Bin] Univ Chinese Acad Sci, Beijing 100049, Peoples R China; [Mould, Jeremy] Swinburne Univ Technol, Ctr Astrophys &amp; Supercomp, POB 218,Mail Number H29, Hawthorn, Vic 3122, Australia; [Mould, Jeremy] ARC Ctr Excellence All Sky Astrophys CAASTRO, Melbourne, Vic, Australia; [Shang, Zhaohui] Tianjin Normal Univ, Tianjin Astrophys Ctr, Tianjin 300387, Peoples R China; [Suntzeff, Nicholas B.; Wang, Lifan] Texas A&amp;M Univ, Dept Phys &amp; Astron, George P &amp; Cynthia Woods Mitchell Inst Fundamenta, 4242 TAMU, College Stn, TX 77843 USA; [Tao, Charling] Aix Marseille Univ, CNRS, CPPM, IN2P3, Marseille, France; [Tao, Charling; Wang, Xiaofeng] Tsinghua Univ, Phys Dept, Beijing 100084, Peoples R China; [Tao, Charling; Wang, Xiaofeng] Tsinghua Univ, Tsinghua Ctr Astrophys THCA, Beijing 100084, Peoples R China; [Tian, Qiguo; Zhou, Hongyan] Polar Res Inst China, 451 Jinqiao Rd, Shanghai 200136, Peoples R China; [Tinney, C. G.] UNSW Sydney, Sch Phys, Exoplanetary Sci UNSW, Sydney, NSW 2052, Australia; [Uddin, Syed A.; Wang, Lifan; Wu, Xuefeng; Zhu, Zhenxi] Purple Mt Observ, Nanjing 210008, Jiangsu, Peoples R China; [Wang, Songhu] Yale Univ, Dept Astron, New Haven, CT 06511 USA; [Wright, Duncan; Wittenmyer, Robert A.] Univ Southern Queensland, Computat Engn &amp; Sci Res Ctr, Toowoomba, Qld 4350, Australia; [Yu, Ce] Tianjin Univ, Sch Comp Sci &amp; Technol, Tianjin 300072, Peoples R China; [Zheng, Jessica] Australian Astron Observ, 105 Delhi Rd, N Ryde, NSW 2113, Australia</t>
  </si>
  <si>
    <t>Nanjing University; University of New South Wales Sydney; Chinese Academy of Sciences; Nanjing Institute of Astronomical Optics &amp; Technology, NAOC, CAS; Beijing Normal University; Chinese Academy of Sciences; National Astronomical Observatory, CAS; Polar Research Institute of China; Macquarie University; Chinese Academy of Sciences; University of Chinese Academy of Sciences, CAS; Swinburne University of Technology; Melbourne Genomics Health Alliance; Tianjin Normal University; Texas A&amp;M University System; Texas A&amp;M University College Station; Aix-Marseille Universite; Centre National de la Recherche Scientifique (CNRS); CNRS - National Institute of Nuclear and Particle Physics (IN2P3); Tsinghua University; Tsinghua University; Polar Research Institute of China; University of New South Wales Sydney; Purple Mountain Observatory, CAS; Chinese Academy of Sciences; Nanjing Institute of Astronomical Optics &amp; Technology, NAOC, CAS; Yale University; University of Southern Queensland; Tianjin University</t>
  </si>
  <si>
    <t>Zhang, H; Zhou, JL (corresponding author), Nanjing Univ, Sch Astron &amp; Space Sci, Key Lab Modern Astron &amp; Astrophys, Minist Educ, Nanjing 210023, Jiangsu, Peoples R China.</t>
  </si>
  <si>
    <t>wei, peng/IVH-1711-2023; Uddin, Syed A/C-1539-2018; Wright, Duncan J/D-4029-2011; Yang, Shihai/J-1593-2012; Yang, Ming/GWV-1365-2022; Zhang, Cheng/JAD-2236-2023; Zhang, Hui/HHN-8494-2022; Zhang, Huiming/HZH-4348-2023; Liu, Hui-Gen/HLQ-5128-2023</t>
  </si>
  <si>
    <t>Yang, Ming/0000-0002-6926-2872; Lawrence, Jon/0000-0002-6998-6993; Suntzeff, Nicholas/0000-0002-8102-181X; Wright, Duncan/0000-0001-7294-5386; zhang, hui/0000-0003-3491-6394; Ashley, Michael/0000-0003-1412-2028; Wang, Songhu/0000-0002-7846-6981; Zheng, Rong/0000-0002-3498-4437; Mould, Jeremy/0000-0003-3820-1740; hu, yi/0000-0003-3317-4771; Tinney, C.G./0000-0002-7595-0970</t>
  </si>
  <si>
    <t>Natural Science Foundation of China (NSFC) [11673011, 11333002, 11273019]; National Basic Research Program (973 Program) of China [2013CB834900, 2013CB834904]; Chinese Polar Environment Comprehensive Investigation &amp; Assessment Program [CHINARE2016-02-03]; Australian Antarctic Division; Australian National Collaborative Research Infrastructure Strategy</t>
  </si>
  <si>
    <t>Natural Science Foundation of China (NSFC)(National Natural Science Foundation of China (NSFC)); National Basic Research Program (973 Program) of China(National Basic Research Program of China); Chinese Polar Environment Comprehensive Investigation &amp; Assessment Program; Australian Antarctic Division; Australian National Collaborative Research Infrastructure Strategy(Australian GovernmentDepartment of Industry, Innovation and Science)</t>
  </si>
  <si>
    <t>This work was supported by the Natural Science Foundation of China (NSFC grants 11673011, 11333002, 11273019), National Basic Research Program (973 Program) of China (grants No. 2013CB834900, 2013CB834904). The authors deeply appreciate all the CHINAREs for their great effort in installing/maintaining CSTAR, CSTAR-II, AST3-I, AST3-II and PLATO-A. This study has also been supported by the Chinese Polar Environment Comprehensive Investigation &amp; Assessment Program (grant No. CHINARE2016-02-03), the Australian Antarctic Division, and the Australian National Collaborative Research Infrastructure Strategy administered by Astronomy Australia Limited. Zhang is also grateful to the High Performance Computing Center (HPCC) of Nanjing University for reducing the data used in this paper.</t>
  </si>
  <si>
    <t>10.3847/1538-4365/aaf583</t>
  </si>
  <si>
    <t>WOS:000456841400002</t>
  </si>
  <si>
    <t>Shannon, S; Smith, R; Wiltshire, A; Payne, T; Huss, M; Betts, R; Caesar, J; Koutroulis, A; Jones, D; Harrison, S</t>
  </si>
  <si>
    <t>Shannon, Sarah; Smith, Robin; Wiltshire, Andy; Payne, Tony; Huss, Matthias; Betts, Richard; Caesar, John; Koutroulis, Aris; Jones, Darren; Harrison, Stephan</t>
  </si>
  <si>
    <t>Global glacier volume projections under high-end climate change scenarios</t>
  </si>
  <si>
    <t>GREENLAND ICE-SHEET; SEA-LEVEL RISE; MASS-BALANCE; ENERGY-BALANCE; MODEL; SNOW; RUNOFF; SCALE; LAND; MELT</t>
  </si>
  <si>
    <t>The Paris agreement aims to hold global warming to well below 2 degrees C and to pursue efforts to limit it to 1.5 degrees C relative to the pre-industrial period. Recent estimates based on population growth and intended carbon emissions from participant countries suggest global warming may exceed this ambitious target. Here we present glacier volume projections for the end of this century, under a range of high-end climate change scenarios, defined as exceeding +2 degrees C global average warming relative to the pre-industrial period. Glacier volume is modelled by developing an elevation-dependent mass balance model for the Joint UK Land Environment Simulator (JULES). To do this, we modify JULES to include glaciated and unglaciated surfaces that can exist at multiple heights within a single grid box. Present-day mass balance is calibrated by tuning albedo, wind speed, precipitation, and temperature lapse rates to obtain the best agreement with observed mass balance profiles. JULES is forced with an ensemble of six Coupled Model Intercomparison Project Phase 5 (CMIP5) models, which were downscaled using the high-resolution HadGEM3-A atmosphere-only global climate model. The CMIP5 models use the RCP8.5 climate change scenario and were selected on the criteria of passing +2 degrees C global average warming during this century. The ensemble mean volume loss at the end of the century plus or minus 1 standard deviation is -64 +/- 5% for all glaciers excluding those on the peripheral of the Antarctic ice sheet. The uncertainty in the multi-model mean is rather small and caused by the sensitivity of HadGEM3-A to the boundary conditions supplied by the CMIP5 models. The regions which lose more than 75% of their initial volume by the end of the century are Alaska, western Canada and the US, Iceland, Scandinavia, the Russian Arctic, central Europe, Caucasus, high-mountain Asia, low latitudes, southern Andes, and New Zealand. The ensemble mean ice loss expressed in sea level equivalent contribution is 215.2 +/- 21.3 mm. The largest contributors to sea level rise are Alaska (44.6 +/- 1.1 mm), Arctic Canada north and south (34.9 +/- 3.0 mm), the Russian Arctic (33.3 +/- 4.8 mm), Greenland (20.1 +/- 4.4), high-mountain Asia (combined central Asia, South Asia east and west), (18.0 +/- 0.8 mm), southern Andes (14.4 +/- 0.1 mm), and Svalbard (17.0 +/- 4.6 mm). Including parametric uncertainty in the calibrated mass balance parameters gives an upper bound global volume loss of 281.1mm of sea level equivalent by the end of the century. Such large ice losses will have inevitable consequences for sea level rise and for water supply in glacier-fed river systems.</t>
  </si>
  <si>
    <t>[Shannon, Sarah; Betts, Richard] Univ Exeter, Sch Geog, Queens Dr, Exeter EX4 4QJ, Devon, England; [Shannon, Sarah; Payne, Tony] Univ Bristol, Bristol Glaciol Ctr, Dept Geog Sci, Univ Rd, Bristol BS8 1SS, Avon, England; [Smith, Robin] Univ Reading, Dept Meteorol, NCAS Climate, Reading RG6 6BB, Berks, England; [Wiltshire, Andy; Betts, Richard; Caesar, John] Met Off, Fitzroy Rd, Exeter EX1 3PB, Devon, England; [Huss, Matthias] Univ Fribourg, Dept Geosci, Fribourg, Switzerland; [Huss, Matthias] Swiss Fed Inst Technol, Lab Hydraul Hydrol &amp; Glaciol, Zurich, Switzerland; [Koutroulis, Aris] Tech Univ Crete, Sch Environm Engn, Akrotiri 73100, Chania, Greece; [Jones, Darren; Harrison, Stephan] Univ Exeter, Penryn Campus,Treliever Rd, Penryn TR10 9FE, Cornwall, England</t>
  </si>
  <si>
    <t>University of Exeter; University of Bristol; University of Reading; UK Research &amp; Innovation (UKRI); Natural Environment Research Council (NERC); NERC National Centre for Atmospheric Science; Met Office - UK; University of Fribourg; Swiss Federal Institutes of Technology Domain; ETH Zurich; Technical University of Crete; University of Exeter</t>
  </si>
  <si>
    <t>Shannon, S (corresponding author), Univ Exeter, Sch Geog, Queens Dr, Exeter EX4 4QJ, Devon, England.;Shannon, S (corresponding author), Univ Bristol, Bristol Glaciol Ctr, Dept Geog Sci, Univ Rd, Bristol BS8 1SS, Avon, England.</t>
  </si>
  <si>
    <t>sarah.shannon@bristol.ac.uk</t>
  </si>
  <si>
    <t>Huss, Matthias/O-1399-2019; Betts, Richard A/P-8976-2015; Koutroulis, Aristeidis/H-4393-2019; Huss, Matthias/JLL-6340-2023; Caesar, John/D-1403-2015; Wiltshire, Andy/C-2848-2008; Koutroulis, Aristeidis/O-9601-2016; payne, antony/A-8916-2008</t>
  </si>
  <si>
    <t>Huss, Matthias/0000-0002-2377-6923; Betts, Richard A/0000-0002-4929-0307; Koutroulis, Aristeidis/0000-0002-2999-7575; Koutroulis, Aristeidis/0000-0002-2999-7575; payne, antony/0000-0001-8825-8425</t>
  </si>
  <si>
    <t>European Union Seventh Framework Programme FP7/2007-2013 [603864]; NERC [ncas10003, NE/R015244/1] Funding Source: UKRI</t>
  </si>
  <si>
    <t>European Union Seventh Framework Programme FP7/2007-2013; NERC(UK Research &amp; Innovation (UKRI)Natural Environment Research Council (NERC))</t>
  </si>
  <si>
    <t>This research was funded by the European Union Seventh Framework Programme FP7/2007-2013 under grant agreement no. 603864. We would like to thank the Natural Environment Research Council (NERC) for the use of the Joint Analysis System Meeting Infrastructure Needs (JASMIN) supercomputer cluster. We wish to thank Ben Marzeion and the anonymous referee for their useful comments, which helped to improve the paper.</t>
  </si>
  <si>
    <t>10.5194/tc-13-325-2019</t>
  </si>
  <si>
    <t>HJ8DI</t>
  </si>
  <si>
    <t>WOS:000457426200001</t>
  </si>
  <si>
    <t>Muto, A; Anandakrishnan, S; Alley, RB; Horgan, HJ; Parizek, BR; Koellner, S; Christianson, K; Holschuh, N</t>
  </si>
  <si>
    <t>Muto, Atsuhiro; Anandakrishnan, Sridhar; Alley, Richard B.; Horgan, Huw J.; Parizek, Byron R.; Koellner, Stephen; Christianson, Knut; Holschuh, Nicholas</t>
  </si>
  <si>
    <t>Relating bed character and subglacial morphology using seismic data from Thwaites Glacier, West Antarctica</t>
  </si>
  <si>
    <t>Thwaites Glacier; West Antarctica; seismic reflectivity; bed character; till properties</t>
  </si>
  <si>
    <t>AMUNDSEN SEA EMBAYMENT; RUTFORD ICE STREAM; BASAL CONDITIONS; PINE ISLAND; BENEATH; DISCHARGE; AMPLITUDE; COLLAPSE</t>
  </si>
  <si>
    <t>Seismic measurements on Thwaites Glacier show a spatially variable bed character, with implications for ice-sheet stability. The West Antarctic Ice Sheet is losing mass rapidly through outlet glaciers and ice streams in the Amundsen Sea Embayment, including Thwaites Glacier, where limited observations and modeling suggest that ice-flow rates depend on bed properties. Here we characterize bed properties of Thwaites Glacier based on amplitude analysis of reflection-seismic data from a similar to 40-km-long profile collected in the approximate flow direction and two similar to 10-km-long profiles transverse to flow. The upstream portion of the seismic profile reveals a similar to 12-km long sedimentary basin with ice-flow-aligned bedforms capped by a continuous till layer that is likely soft and deforming (porosity similar to 0.4-0.45), with several locations where water has pooled at the bed. Downstream of the sedimentary basin, the bed rises by similar to 400 m over similar to 25 km into subglacial highlands. Our seismic survey of these subglacial highlands reveals strong spatial variations in bed character across rugged topography (similar to 200 m amplitude at similar to 2- to 5-km wavelength) resembling crag-and-tails. Till on the stoss sides (facing upglacier) of topographic highs is more consolidated (porosity similar to 0.3-0.35 or lower), whereas the lee sides (facing downglacier) and flat regions exhibit porosity similar to the till of the upstream sedimentary basin. Modeling studies could use the observed correlation between bed character and bed aspect and slope to extend our observations to other parts of Thwaites Glacier, resulting in more-realistic models of future grounding-line retreat. Our findings highlight the need for more geophysical constraints on bed properties for important outlets in Antarctica and Greenland. (C) 2018 Published by Elsevier B.V.</t>
  </si>
  <si>
    <t>[Muto, Atsuhiro] Temple Univ, Dept Earth &amp; Environm Sci, Philadelphia, PA 19122 USA; [Anandakrishnan, Sridhar; Alley, Richard B.; Parizek, Byron R.] Penn State Univ, Dept Geosci, University Pk, PA 16802 USA; [Anandakrishnan, Sridhar; Alley, Richard B.; Parizek, Byron R.] Penn State Univ, Earth &amp; Environm Syst Inst, University Pk, PA 16802 USA; [Horgan, Huw J.] Victoria Univ Wellington, Antarctic Res Ctr, Wellington, New Zealand; [Parizek, Byron R.] Penn State Univ DuBois, Geosci &amp; Math, Du Bois, PA USA; [Koellner, Stephen] Penn State Univ, Dept Math, University Pk, PA 16802 USA; [Christianson, Knut; Holschuh, Nicholas] Univ Washington, Dept Earth &amp; Space Sci, Seattle, WA 98195 USA</t>
  </si>
  <si>
    <t>Pennsylvania Commonwealth System of Higher Education (PCSHE); Temple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Victoria University Wellington; Pennsylvania Commonwealth System of Higher Education (PCSHE); Pennsylvania State University; Pennsylvania Commonwealth System of Higher Education (PCSHE); Pennsylvania State University; Pennsylvania State University - University Park; University of Washington; University of Washington Seattle</t>
  </si>
  <si>
    <t>Muto, A (corresponding author), Temple Univ, Dept Earth &amp; Environm Sci, Philadelphia, PA 19122 USA.</t>
  </si>
  <si>
    <t>amuto@temple.edu</t>
  </si>
  <si>
    <t>Muto, Atsuhiro/0000-0002-1722-2457; Horgan, Huw/0000-0002-4836-0078</t>
  </si>
  <si>
    <t>US National Science Foundation [NSF-NERC-PLR-1738934, OPP-0424589, PLR-1443190]; National Aeronautics and Space Administration [NNX15AH84G]; Heising-Simons Foundation [2018-0769]</t>
  </si>
  <si>
    <t>US National Science Foundation(National Science Foundation (NSF)); National Aeronautics and Space Administration(National Aeronautics &amp; Space Administration (NASA)); Heising-Simons Foundation</t>
  </si>
  <si>
    <t>This work was supported by the US National Science Foundation under grants NSF-NERC-PLR-1738934 (A.M., S.A., R.B.A., B.R.P., K.C., N.H.), OPP-0424589 (S.A., R.B.A.), PLR-1443190 (B.R.P., S.J.K.), by the National Aeronautics and Space Administration under grant NNX15AH84G (A.M., B.R.P., S.J.K.) and by the Heising-Simons Foundation, Grant Agreement #2018-0769 (S.A., R.B.A., B.R.P.). We thank Mike Jayred from the Ice Drilling and Design Operations for leading the drilling of seismic-shot holes. We also thank J. MacGregor, L Peters and D. Voigt for their help in data collection. We are also grateful for the field support provided by Raytheon Polar Services Company. Comments from two anonymous reviewers improved the manuscript. The dataset used in this study is available through Mendeley Data and from the corresponding author upon request.</t>
  </si>
  <si>
    <t>10.1016/j.epsl.2018.12.008</t>
  </si>
  <si>
    <t>HJ0YT</t>
  </si>
  <si>
    <t>WOS:000456889800019</t>
  </si>
  <si>
    <t>Yan, Q; Wei, T; Zhang, ZS</t>
  </si>
  <si>
    <t>Yan, Qing; Wei, Ting; Zhang, Zhongshi</t>
  </si>
  <si>
    <t>Reexamination of the Late Pliocene Climate over China Using a 25-km Resolution General Circulation Model</t>
  </si>
  <si>
    <t>Paleoclimate; Climate records; Climate models</t>
  </si>
  <si>
    <t>ASIAN SUMMER MONSOON; PLIOMIP EXPERIMENTAL-DESIGN; ANTARCTIC ICE-SHEET; MID-PLIOCENE; EAST-ASIA; WESTERN YUNNAN; POLLEN RECORD; NORTH PACIFIC; LATE MIOCENE; PRECIPITATION</t>
  </si>
  <si>
    <t>Simulations of past warm climate provide an opportunity to better understand how the climate system may respond to increased greenhouse gas emissions. Using the similar to 25-km-resolution Community Atmosphere Model, version 4 (CAM4), we examine climate change over China in the Late Pliocene warm period (3.264-3.025 Ma) and further explore the influences of different sea surface temperature (SST) forcings and model horizontal resolutions. Initial evaluation shows that the high-resolution CAM4 performs well in capturing the climatological distribution of present-day temperature, precipitation, and low-level monsoon circulations over China. Based on the standard Pliocene Research, Interpretation and Synoptic Mapping (version 4; PRISM4) boundary conditions, CAM4 predicts an increase of annual mean temperature by similar to 0.5 degrees C over China in the Late Pliocene relative to the preindustrial era, with the greatest warming in northwest China but cooling in southwest China. Enhanced annual mean precipitation is observed in the Late Pliocene over most of China except for northwest China where precipitation is decreased. The East Asian summer (winter) monsoon is intensified (weakened) in the Late Pliocene as suggested by geological evidence, which is attributed to the enhanced (reduced) land-sea thermal contrast. The East Asian monsoon domain exhibits a northwestward expansion in the Late Pliocene, especially over the Tibetan Plateau. Additionally, our results indicate that the modeled climate change is sensitive to the Late Pliocene SST forcings and model resolution. Particularly, different SST forcings [PRISM4-based vs Pliocene Model Intercomparison Project (PlioMIP)-based SSTs] affect the modeled phase change of summer monsoon and the associated precipitation change, while model resolution (similar to 25 vs 400 km) mainly impacts precipitation change.</t>
  </si>
  <si>
    <t>[Yan, Qing] Chinese Acad Sci, Inst Atmospher Phys, Nansen Zhu Int Res Ctr, Beijing, Peoples R China; [Yan, Qing] Chinese Acad Sci, Ctr Excellence Tibetan Plateau Earth Sci, Beijing, Peoples R China; [Wei, Ting] Chinese Acad Meteorol Sci, State Key Lab Severe Weather, Beijing, Peoples R China; [Zhang, Zhongshi] China Univ Geosci, Sch Environm Studies, Dept Atmospher Sci, Wuhan, Hubei, Peoples R China; [Zhang, Zhongshi] Bjerknes Ctr Climate Res, Uni Res Climate, Bergen, Norway</t>
  </si>
  <si>
    <t>Chinese Academy of Sciences; Institute of Atmospheric Physics, CAS; Chinese Academy of Sciences; China Meteorological Administration; Chinese Academy of Meteorological Sciences (CAMS); China University of Geosciences; Bjerknes Centre for Climate Research</t>
  </si>
  <si>
    <t>Yan, Q (corresponding author), Chinese Acad Sci, Inst Atmospher Phys, Nansen Zhu Int Res Ctr, Beijing, Peoples R China.;Yan, Q (corresponding author), Chinese Acad Sci, Ctr Excellence Tibetan Plateau Earth Sci, Beijing, Peoples R China.</t>
  </si>
  <si>
    <t>yanqing@mail.iap.ac.cn</t>
  </si>
  <si>
    <t>zhang, zhi/HPH-4905-2023; Yan, Qing/C-5413-2013; Zhang, Zhongshi/ADE-5510-2022; Zhang, zs/GXN-3521-2022</t>
  </si>
  <si>
    <t>Zhang, Zhongshi/0000-0002-2354-1622;</t>
  </si>
  <si>
    <t>National Key Research and Development Program of China [2016YFA0602704]; National Natural Science Foundation of China [41772179, 41505068, 41472160]; Thousand Talents Program for Distinguished Young Scholars; Young Elite Scientists Sponsorship Program by CAST [2017QNRC001]</t>
  </si>
  <si>
    <t>National Key Research and Development Program of China; National Natural Science Foundation of China(National Natural Science Foundation of China (NSFC)); Thousand Talents Program for Distinguished Young Scholars; Young Elite Scientists Sponsorship Program by CAST</t>
  </si>
  <si>
    <t>Many thanks to the editor and three anonymous reviewers for their very constructive and useful comments in helping to improve our manuscript. We thank the PRISM4 and PlioMIP groups for producing and making available their outputs. We thank R. Zhang and X.F. Huang for help on the compilation of proxies over China. This study was jointly funded by the National Key Research and Development Program of China (2016YFA0602704), the National Natural Science Foundation of China (41772179, 41505068, and 41472160), the Thousand Talents Program for Distinguished Young Scholars (for Z.S. Zhang), and the Young Elite Scientists Sponsorship Program by CAST (2017QNRC001). The high-resolution CAM4 data are freely available upon request.</t>
  </si>
  <si>
    <t>10.1175/JCLI-D-18-0378.1</t>
  </si>
  <si>
    <t>HJ5ZE</t>
  </si>
  <si>
    <t>WOS:000457261700002</t>
  </si>
  <si>
    <t>Brunette, C; Tremblay, B; Newton, R</t>
  </si>
  <si>
    <t>Brunette, Charles; Tremblay, Bruno; Newton, Robert</t>
  </si>
  <si>
    <t>Winter Coastal Divergence as a Predictor for the Minimum Sea Ice Extent in the Laptev Sea</t>
  </si>
  <si>
    <t>Arctic; Sea ice; Lagrangian circulation/transport; Satellite observations; Seasonal forecasting; Interannual variability</t>
  </si>
  <si>
    <t>ARCTIC OSCILLATION; SNOW DEPTH; MODEL; PREDICTABILITY; VARIABILITY; THICKNESS; EXPORT; OCEAN; TEMPERATURE; CIRCULATION</t>
  </si>
  <si>
    <t>Seasonal predictability of the minimum sea ice extent (SIE) in the Laptev Sea is investigated using winter coastal divergence as a predictor. From February to May, the new ice forming in wind-driven coastal polynyas grows to a thickness approximately equal to the climatological thickness loss due to summer thermodynamic processes. Estimating the area of sea ice that is preconditioned to melt enables seasonal predictability of the minimum SIE. Wintertime ice motion is quantified by seeding passive tracers along the coastlines and advecting them with the Lagrangian Ice Tracking System (LITS) forced with sea ice drifts from the Polar Pathfinder dataset for years 1992-2016. LITS-derived landfast ice estimates are comparable to those of the Russian Arctic and Antarctic Research Institute ice charts. Time series of the minimum SIE and coastal divergence show trends of -24.2% and +31.3% per decade, respectively. Statistically significant correlation (r = -0.63) between anomalies of coastal divergence and the following September SIE occurs for coastal divergence integrated from February to the beginning of May. Using the coastal divergence anomaly to predict the minimum SIE departure from the trend improves the explained variance by 21% compared to hindcasts based on persistence of the linear trend. Coastal divergence anomalies correlate with the winter mean Arctic Oscillation index (r = 0.69). LITS-derived areas of coastal divergence tend to underestimate the total area covered by thin ice in the CryoSat-2/SMOS (Soil Moisture and Ocean Salinity) thickness dataset, as suggested by a thermodynamic sea ice growth model.</t>
  </si>
  <si>
    <t>[Brunette, Charles; Tremblay, Bruno] McGill Univ, Dept Atmospher &amp; Ocean Sci, Montreal, PQ, Canada; [Newton, Robert] Columbia Univ, Lamont Doherty Earth Observ, Palisades, NY USA</t>
  </si>
  <si>
    <t>McGill University; Columbia University</t>
  </si>
  <si>
    <t>Brunette, C (corresponding author), McGill Univ, Dept Atmospher &amp; Ocean Sci, Montreal, PQ, Canada.</t>
  </si>
  <si>
    <t>charles.brunette@mail.mcgill.ca</t>
  </si>
  <si>
    <t>Brunette, Charles/0000-0002-1601-1068</t>
  </si>
  <si>
    <t>Forecasting Regional Arctic Sea Ice from a Month to Seasons (FRAMS) project - Marine Environmental Observation, Prediction and Response Network (MEOPAR); Canadian Sea Ice and Snow Evolution Network (CanSISE) - Natural Science and Engineering Research Council (NSERC) Climate Change and Atmospheric Research Program; Office of Naval Research [ONR-N00014-11-1-0977]; Fonds de Recherche du Quebec-Nature et Technologie (FRQNT); ArcTrain Canada; Quebec-Ocean; Institut Nordique du Quebec; National Science Foundation [NSF-PLR 15-04404]; ESA project SMOS+Sea Ice</t>
  </si>
  <si>
    <t>Forecasting Regional Arctic Sea Ice from a Month to Seasons (FRAMS) project - Marine Environmental Observation, Prediction and Response Network (MEOPAR); Canadian Sea Ice and Snow Evolution Network (CanSISE) - Natural Science and Engineering Research Council (NSERC) Climate Change and Atmospheric Research Program; Office of Naval Research(Office of Naval Research); Fonds de Recherche du Quebec-Nature et Technologie (FRQNT); ArcTrain Canada; Quebec-Ocean; Institut Nordique du Quebec; National Science Foundation(National Science Foundation (NSF)); ESA project SMOS+Sea Ice</t>
  </si>
  <si>
    <t>This research was supported by the Forecasting Regional Arctic Sea Ice from a Month to Seasons (FRAMS) project, which is funded by the Marine Environmental Observation, Prediction and Response Network (MEOPAR). This project received additional support from the Canadian Sea Ice and Snow Evolution Network (CanSISE), which is funded by the Natural Science and Engineering Research Council (NSERC) Climate Change and Atmospheric Research Program. This research is a contribution to project ONR-N00014-11-1-0977 from the Office of Naval Research. Charles Brunette is grateful for academic and financial support from the Fonds de Recherche du Quebec-Nature et Technologie (FRQNT), ArcTrain Canada, Quebec-Ocean, and the Institut Nordique du Quebec. Robert Newton was supported by the National Science Foundation (NSF-PLR 15-04404). We thank Valeria Selyuzhenok for kindly sharing the gridded AARI landfast ice dataset. Original AARI ice charts were obtained through the World Meteorological Organisation Global Digital Sea Ice Data Bank Project. Geometrical operations on polygons were performed using the University of Manchester Generic Polygon Clipper library, designed by Alan Murta. The merging of CryoSat-2 and SMOS data was funded by the ESA project SMOS+Sea Ice. We thank Matthieu Chevallier and two anonymous reviewers for their thoughtful comments that significantly helped to improve the quality of the manuscript.</t>
  </si>
  <si>
    <t>10.1175/JCLI-D-18-0169.1</t>
  </si>
  <si>
    <t>HJ6TC</t>
  </si>
  <si>
    <t>WOS:000457324400005</t>
  </si>
  <si>
    <t>DallaSanta, K; Gerber, EP; Toohey, M</t>
  </si>
  <si>
    <t>DallaSanta, Kevin; Gerber, Edwin P.; Toohey, Matthew</t>
  </si>
  <si>
    <t>The Circulation Response to Volcanic Eruptions: The Key Roles of Stratospheric Warming and Eddy Interactions</t>
  </si>
  <si>
    <t>Atmosphere; Volcanoes; Empirical orthogonal functions; General circulation models</t>
  </si>
  <si>
    <t>QUASI-BIENNIAL OSCILLATION; RELATIVELY SIMPLE AGCM; NORTHERN-HEMISPHERE; CLIMATE MODEL; POLAR VORTEX; PART I; PINATUBO ERUPTION; OZONE DEPLETION; STORM TRACKS; SEA-ICE</t>
  </si>
  <si>
    <t>Proxy data and observations suggest that large tropical volcanic eruptions induce a poleward shift of the North Atlantic jet stream in boreal winter. However, there is far from universal agreement in models on this effect and its mechanism, and the possibilities of a corresponding jet shift in the Southern Hemisphere or the summer season have received little attention. Using a hierarchy of simplified atmospheric models, this study examines the impact of stratospheric aerosol on the extratropical circulation over the annual cycle. In particular, the models allow the separation of the dominant shortwave (surface cooling) and longwave (stratospheric warming) impacts of volcanic aerosol. It is found that stratospheric warming shifts the jet poleward in both the summer and winter hemispheres. The experiments cannot definitively rule out the role of surface cooling, but they provide no evidence that it shifts the jet poleward. Further study with simplified models demonstrates that the response to stratospheric warming is remarkably generic and does not depend critically on the boundary conditions (e.g., the planetary wave forcing) or the atmospheric physics (e.g., the treatment of radiative transfer and moist processes). It does, however, fundamentally involve both zonal-mean and eddy circulation feedbacks. The time scales, seasonality, and structure of the response provide further insight into the mechanism, as well as its connection to modes of intrinsic natural variability. These findings have implications for the interpretation of comprehensive model studies and for postvolcanic prediction.</t>
  </si>
  <si>
    <t>[DallaSanta, Kevin; Gerber, Edwin P.] NYU, Courant Inst Math Sci, Ctr Atmosphere Ocean Sci, New York, NY 10003 USA; [Toohey, Matthew] GEOMAR Helmholtz Ctr Ocean Res Kiel, Kiel, Germany</t>
  </si>
  <si>
    <t>New York University; Helmholtz Association; GEOMAR Helmholtz Center for Ocean Research Kiel</t>
  </si>
  <si>
    <t>DallaSanta, K (corresponding author), NYU, Courant Inst Math Sci, Ctr Atmosphere Ocean Sci, New York, NY 10003 USA.</t>
  </si>
  <si>
    <t>dalla@cims.nyu.edu</t>
  </si>
  <si>
    <t>DallaSanta, Kevin/GPC-8701-2022; Toohey, Matthew/AAL-1896-2021; Toohey, Matthew/G-3129-2010</t>
  </si>
  <si>
    <t>Toohey, Matthew/0000-0002-7070-405X; DallaSanta, Kevin/0000-0002-5411-7728</t>
  </si>
  <si>
    <t>National Science Foundation [AGS-1546585]; European Research Commission [677756]; Deutsche Forschungsgemeinschaft (DFG) in the framework of the priority program Antarctic Research with Comparative Investigations in Glaciated Areas of the Arctic [TO 967/1-1]</t>
  </si>
  <si>
    <t>National Science Foundation(National Science Foundation (NSF)); European Research Commission(European Union (EU)European Commission Joint Research Centre); Deutsche Forschungsgemeinschaft (DFG) in the framework of the priority program Antarctic Research with Comparative Investigations in Glaciated Areas of the Arctic(German Research Foundation (DFG))</t>
  </si>
  <si>
    <t>The authors thank Martin Jucker and three anonymous reviewers for their constructive feedback on an earlier version of this manuscript. The authors also thank Chaim Garfinkel for developing and sharing the topographic configuration of MiMA. KD and EPG acknowledge support of the National Science Foundation to New York University through Grant AGS-1546585. EPG additionally acknowledges support of European Research Commission through Project 677756, FORECASToneMONTH for the development of MiMA. MTacknowledges support from the Deutsche Forschungsgemeinschaft (DFG) in the framework of the priority program Antarctic Research with Comparative Investigations in Glaciated Areas of the Arctic through Grant TO 967/1-1.</t>
  </si>
  <si>
    <t>10.1175/JCLI-D-18-0099.1</t>
  </si>
  <si>
    <t>HJ6TN</t>
  </si>
  <si>
    <t>WOS:000457325500002</t>
  </si>
  <si>
    <t>McWatters, RS; Rowe, RK; Wilkins, D; Spedding, T; Hince, G; Richardson, J; Snape, I</t>
  </si>
  <si>
    <t>McWatters, R. S.; Rowe, R. K.; Wilkins, D.; Spedding, T.; Hince, G.; Richardson, J.; Snape, I.</t>
  </si>
  <si>
    <t>Modelling of vapour intrusion into a building impacted by a fuel spill in Antarctica</t>
  </si>
  <si>
    <t>Cold regions; Vapour barrier; Indoor air; Remediation; Soil reuse guidelines; Biopile</t>
  </si>
  <si>
    <t>PETROLEUM-HYDROCARBONS; POLYSTYRENE WASTES; BIODEGRADATION; SOIL; EVAPORATION; MIGRATION</t>
  </si>
  <si>
    <t>A new vapour intrusion contaminant transport model was designed specifically to allow an assessment of the impact of a hydrocarbon fuel spill on air quality in cold region buildings. The model is applied to a recent situation in Antarctica, where a diesel spill impacted the construction of a new building. For the first time, this model allows consideration of the diffusive resistance of different vapour barrier to the transport of hydrocarbons into the building and an assessment of the effectiveness of different products. Site specific indoor air criteria are derived. Five scenarios are modelled at field temperatures: (1) build on current contaminated site; (2) excavate contaminated soil, backfill with clean soil and assess impact of residual contamination; (3) excavate and backfill with remediated (biopile) soil; (4) backfill with remediated soil and assess impact of residual contamination; (5) backfill with remediated soil and assess impact of a potential future fuel spill. Two different vapour barriers, a co-extruded ethylene vinyl alcohol (EVOH) geomembrane (VB1) and a linear low-density (LLDPE) geomembrane (VB2), are investigated for each scenario and compared to a base case with no vapour barrier, providing quantifiable evidence of the benefit of installing an engineered vapour barrier Contaminant concentrations were below regulatory limits for Scenarios (2-5) with VB1 and air exchange in the building. For all scenarios, the EVOH geomembrane (VB1) was consistently superior at reducing vapour transport into the building indoor air space over the LLDPE geomembrane (VB2) and no vapour barrier. The risk mitigation measures developed for this contaminated Antarctic site may be relevant for other buildings in cold regions.</t>
  </si>
  <si>
    <t>[McWatters, R. S.; Wilkins, D.; Spedding, T.; Hince, G.; Richardson, J.; Snape, I.] Antarctic Conservat &amp; Management, Australian Antarctic Div, Kingston, Tas, Australia; [Rowe, R. K.] Queens Univ, Geoengn Ctr, Queens RMC, Kingston, ON, Canada</t>
  </si>
  <si>
    <t>Australian Antarctic Division; Queens University - Canada; Royal Military College - Canada</t>
  </si>
  <si>
    <t>McWatters, RS (corresponding author), Antarctic Conservat &amp; Management, Australian Antarctic Div, Kingston, Tas, Australia.</t>
  </si>
  <si>
    <t>rebecca.mcwatters@aad.gov.au</t>
  </si>
  <si>
    <t>Wilkins, Daniel/AAF-3959-2020</t>
  </si>
  <si>
    <t>Spedding, Tim/0000-0002-4023-2469; Richardson, Jeremy/0000-0003-3289-9324; Wilkins, Daniel/0000-0003-2081-483X; Rowe, R. Kerry/0000-0002-1009-0447</t>
  </si>
  <si>
    <t>Australian Antarctic Science grants [1136, 4036]</t>
  </si>
  <si>
    <t>Australian Antarctic Science grants</t>
  </si>
  <si>
    <t>This work was conducted under Australian Antarctic Science grants 1136 and 4036, and insurance funding. The authors acknowledge the hard work and assistance of L. Wise, D. Terry, B. Sfiligoj, G. Lagerewskij, V. Di Battista and the past and present persons at the Australian Antarctic Division and Casey Station, and of research collaborators from University of Melbourne, Macquarie University, Monash University, and Queen's University. The authors acknowledge the specialist technical advice from Nick Woodford, Coffey Services Australia Pty Ltd.</t>
  </si>
  <si>
    <t>10.1016/j.jenvman.2018.07.092</t>
  </si>
  <si>
    <t>HI7MU</t>
  </si>
  <si>
    <t>WOS:000456641100052</t>
  </si>
  <si>
    <t>Burton-Johnson, A; Macpherson, CG; Muraszko, JR; Harrison, RJ; Jordan, TA</t>
  </si>
  <si>
    <t>Burton-Johnson, A.; Macpherson, C. G.; Muraszko, J. R.; Harrison, R. J.; Jordan, T. A.</t>
  </si>
  <si>
    <t>Tectonic strain recorded by magnetic fabrics CAMS) in plutons, including Mt Kinabalu, Borneo: A tool to explore past tectonic regimes and syn-magmatic deformation</t>
  </si>
  <si>
    <t>JOURNAL OF STRUCTURAL GEOLOGY</t>
  </si>
  <si>
    <t>Tectonics; Magnetic fabrics; Magmatic fabrics; Intrusions; Granites; SE Asia; Mt Kinabalu</t>
  </si>
  <si>
    <t>SYNTECTONIC GRANITE; SHEAR DEFORMATION; SIERRA-NEVADA; NORTH BORNEO; PURE SHEAR; EMPLACEMENT; SUSCEPTIBILITY; ROCKS; AMS; ANISOTROPY</t>
  </si>
  <si>
    <t>Tectonic strain commonly overprints magmatic fabrics in AMS (Anisotropy of Magnetic Susceptibility) data for plutonic rocks produced by both compressional and extensional regimes. Mt Kinabalu, Borneo, is a composite pluton with an exceptional vertical range of exposure and clearly defined internal contacts, We show that tectonic fabrics are recorded pervasively throughout the intrusion, even near contacts, and present a workflow distinguishing compressive and extensional syn-magmatic deformation. At Mt Kinabalu this reveals a pervasive tectonic fabric indicating NW-SE Miocene extension in Borneo at 7.9-7.3 Ma, later than previously recognised, oriented NW-SE at 319 degrees +/- 13.1 degrees. Comparing data from Mt Kinabalu with data from globally distributed studies shows that tectonic strain is commonly recorded by plutons. Therefore, AMS fabric can be used to identify the syn-magmatic tectonic setting and combined with both geochronology and evidence for paleomagnetic rotation to provide a powerful tool for accurate determination of syn-magmatic tectonic regimes and strain orientations within temporal frameworks.</t>
  </si>
  <si>
    <t>[Burton-Johnson, A.; Jordan, T. A.] British Antarctic Survey, Madingley Rd, Cambridge CB3 0ET, England; [Macpherson, C. G.] Univ Durham, Dept Earth Sci, Durham DH1 3LE, England; [Muraszko, J. R.; Harrison, R. J.] Univ Cambridge, Dept Earth Sci, Cambridge CB2 3EQ, England</t>
  </si>
  <si>
    <t>UK Research &amp; Innovation (UKRI); Natural Environment Research Council (NERC); NERC British Antarctic Survey; Durham University; University of Cambridge</t>
  </si>
  <si>
    <t>Burton-Johnson, A (corresponding author), British Antarctic Survey, Madingley Rd, Cambridge CB3 0ET, England.</t>
  </si>
  <si>
    <t>alerto@bas.ac.uk</t>
  </si>
  <si>
    <t>Harrison, Richard J/B-3609-2010; Macpherson, Colin/F-3861-2012</t>
  </si>
  <si>
    <t>Macpherson, Colin/0000-0001-5302-6405; Burton-Johnson, Alex/0000-0003-2208-0075</t>
  </si>
  <si>
    <t>Natural Environment Research Council; SE Asia Research Group at Royal Holloway; NERC [bas0100029] Funding Source: UKRI</t>
  </si>
  <si>
    <t>Natural Environment Research Council(UK Research &amp; Innovation (UKRI)Natural Environment Research Council (NERC)); SE Asia Research Group at Royal Holloway; NERC(UK Research &amp; Innovation (UKRI)Natural Environment Research Council (NERC))</t>
  </si>
  <si>
    <t>This study was funded by the Natural Environment Research Council. We thank Carl Stevenson at the University of Birmingham for providing equipment and training for our AMS analyses and discussion of our results. We wish to thank Robert Hall, Mike Cottam and the SE Asia Research Group at Royal Holloway for their support and discussions throughout this project. We thank Alim Biun, Felix Tongkul and Maklarin Lakim for their assistance in facilitating the field season; Jamili Nais of Sabah Parks who allowed us to work in the National Park; and the mountain guides and researchers of Mt Kinabalu National Park, especially Alijen Jen, Halli, Jasirin, Sokaibin, Maklarin Lakim, Sapinus, Samuel and Nicholas. We thank Ian Alsop for his work as Editor in reviewing this paper, and an Anonymous reviewer and Frantisek Hrouda and for taking the time to review our submission. To receive such a positive review is greatly encouraging.</t>
  </si>
  <si>
    <t>0191-8141</t>
  </si>
  <si>
    <t>J STRUCT GEOL</t>
  </si>
  <si>
    <t>J. Struct. Geol.</t>
  </si>
  <si>
    <t>10.1016/j.jsg.2018.11.014</t>
  </si>
  <si>
    <t>HJ9IU</t>
  </si>
  <si>
    <t>WOS:000457512900004</t>
  </si>
  <si>
    <t>Martínez-Alarcón, D; Harms, L; Hagen, W; Saborowski, R</t>
  </si>
  <si>
    <t>Martinez-Alarcon, Diana; Harms, Lars; Hagen, Wilhelm; Saborowski, Reinhard</t>
  </si>
  <si>
    <t>Transcriptome analysis of the midgut gland of the brown shrimp Crangon crangon indicates high polymorphism in digestive enzymes</t>
  </si>
  <si>
    <t>Molecular adaptation; Isoforms; Variable environment; Utilization of diet</t>
  </si>
  <si>
    <t>LITOPENAEUS-VANNAMEI; EXPRESSION ANALYSIS; GENE-EXPRESSION; ANTARCTIC KRILL; MESSENGER-RNA; DECAPODA; CHITINASES; CRUSTACEA; PROTEINASES; ISOFORMS</t>
  </si>
  <si>
    <t>Tolerance of organisms towards heterogeneous and variable environments is highly related to physiological flexibility. An effective strategy to enhance physiological flexibility is the expression of polymorphic enzymes. This seems to be the case in the brown shrimp Crangon crangon. It shows high reproduction rates, feeds opportunistically on endo- and epibenthic organisms, and is apparently well adapted to variable environmental conditions. Previous electrophoretic studies revealed a high level of polymorphism and no consistent phenotype of digestive enzymes between individuals. In order to understand the underlying biochemical processes, we carried out a transcriptome-based study of digestive enzymes of C. crangon. Detailed sequence analyses of triacylglycerol lipase, phospholipase A(2), alpha amylase, chitinase, trypsin and cathepsin L were performed to identify putative isoforms. The number of isoforms, and thus the degree of polymorphism varied among enzymes: lipases and carbohydrases showed higher numbers of isoforms in enzymes that besides their extracellular function also have diverse intracellular functions. Furthermore, cysteine proteinases showed a lower polymorphism than serine proteinases. We suggest that the expression of enzyme isoforms improves the efficiency of C. crangon in gaining energy from different food sources.</t>
  </si>
  <si>
    <t>[Martinez-Alarcon, Diana; Hagen, Wilhelm] Univ Bremen, Marine Zool, Bremen Marine Ecol BreMarE, POB 330440, D-28334 Bremen, Germany; [Martinez-Alarcon, Diana; Harms, Lars; Saborowski, Reinhard] Helmholtz Ctr Polar &amp; Marine Res AWI, Alfred Wegener Inst, POB 120161, D-27570 Bremerhaven, Germany</t>
  </si>
  <si>
    <t>University of Bremen; Helmholtz Association; Alfred Wegener Institute, Helmholtz Centre for Polar &amp; Marine Research</t>
  </si>
  <si>
    <t>Martínez-Alarcón, D (corresponding author), Univ Bremen, Marine Zool, Bremen Marine Ecol BreMarE, POB 330440, D-28334 Bremen, Germany.</t>
  </si>
  <si>
    <t>diana.martinez-alarcon@awi.de</t>
  </si>
  <si>
    <t>Martinez-Alarcon, Diana/0000-0001-9918-2526; Hagen, Wilhelm/0000-0002-7462-9931; Saborowski, Reinhard/0000-0003-0289-6501</t>
  </si>
  <si>
    <t>German Academic Exchange Service (DAAD) [91575636]; Helmholtz Research Program PACES II</t>
  </si>
  <si>
    <t>German Academic Exchange Service (DAAD)(Deutscher Akademischer Austausch Dienst (DAAD)); Helmholtz Research Program PACES II</t>
  </si>
  <si>
    <t>The authors would like to thank the captain and the crew of the research vessel Uthorn for their support, as well as Lukas Ro13 and Mara Weidung for their assistance during the field trips and Kristine Reuter and Andrea Eschbach for their support in the laboratory. Financial support was provided by the German Academic Exchange Service (DAAD) with the scholarship number 91575636 to D.M.A., and by the Helmholtz Research Program PACES II to D.M.A. and R.S.</t>
  </si>
  <si>
    <t>10.1016/j.margen.2018.09.006</t>
  </si>
  <si>
    <t>HI9EI</t>
  </si>
  <si>
    <t>WOS:000456757700001</t>
  </si>
  <si>
    <t>Boyd, PW</t>
  </si>
  <si>
    <t>Boyd, Philip W.</t>
  </si>
  <si>
    <t>Physiology and iron modulate diverse responses of diatoms to a warming Southern Ocean</t>
  </si>
  <si>
    <t>CLIMATE-CHANGE; TEMPERATURE; GROWTH; MODEL; WILL</t>
  </si>
  <si>
    <t>Climate change-mediated alteration of Southern Ocean primary productivity is projected to have biogeochemical ramifications regionally, and globally due to altered northward nutrient supply(1,2). Laboratory manipulation studies that investigated the influence of the main drivers (CO2, light, nutrients, temperature and iron) on Southern Ocean diatoms revealed that temperature and iron exert major controls on growth under year 2100 conditions(3,4). However, detailed physiological studies, targeting temperature and iron, are required to improve our mechanistic understanding of future diatom responses. Here, I show that thermal performance curves of bloom-forming polar species are more diverse than previously shown(5), with the optimum temperature for growth (T-opt) ranging from 5-16 degrees C (the annual temperature range is -1-8 degrees C). Furthermore, iron deficiency probably decreases polar diatom T-opt and T-max (the upper bound for growth), as recently revealed for macronutrients and temperate phytoplankton(6). Together, this diversity of thermal performance curves and the physiological interplay between iron and temperature may alter the diatom community composition. T-opt will be exceeded during 2100 summer low iron/warmer conditions, tipping some species close or beyond T-max, but giving others a distinct physiological advantage. Future polar conditions will enhance primary productivity(2-4), but will also probably cause floristic shifts, such that the biogeochemical roles and elemental stoichiometry of dominant diatom species will alter the polar biogeochemistry and northwards nutrient supply.</t>
  </si>
  <si>
    <t>[Boyd, Philip W.] Univ Tasmania, Inst Marine &amp; Antarctic Studies, Hobart, Tas, Australia; [Boyd, Philip W.] Univ Tasmania, Antarctic Climate &amp; Ecosyst Cooperat Res Ctr, Hobart, Tas, Australia</t>
  </si>
  <si>
    <t>University of Tasmania; University of Tasmania; Antarctic Climate &amp; Ecosystems Cooperative Research Centre (ACE CRC)</t>
  </si>
  <si>
    <t>Boyd, PW (corresponding author), Univ Tasmania, Inst Marine &amp; Antarctic Studies, Hobart, Tas, Australia.;Boyd, PW (corresponding author), Univ Tasmania, Antarctic Climate &amp; Ecosyst Cooperat Res Ctr, Hobart, Tas, Australia.</t>
  </si>
  <si>
    <t>Boyd, Philip/J-7624-2014</t>
  </si>
  <si>
    <t>Boyd, Philip/0000-0001-7850-1911</t>
  </si>
  <si>
    <t>Antarctic Climate and Ecosystems Cooperative Research Centre, University of Tasmania, Hobart, Australia; Australian Research Council [FL160100131]; Australian Research Council [FL160100131] Funding Source: Australian Research Council</t>
  </si>
  <si>
    <t>Antarctic Climate and Ecosystems Cooperative Research Centre, University of Tasmania, Hobart, Australia; Australian Research Council(Australian Research Council); Australian Research Council(Australian Research Council)</t>
  </si>
  <si>
    <t>I am grateful to K. Karsh (CSIRO, Australia) for conducting the phytoplankton laboratory culture assays and maintaining the cultures, R. Corkery (TIA, UTAS, Australia) for curve fitting the TPCs, the laboratory of A. McMinn (IMAS, UTAS, Australia) for isolating the polar species, I. Lima (WHOI, USA) and S. Doney (VIMS, USA) for providing the temperature range from NCAR Community Earth System Model 2, J. Llort and P. Strutton (IMAS) for providing the time-series of temperature and chlorophyll a from the profiling bio-floats, and M. Ellwood (ANU, Australia) for sharing unpublished data on C. neglectus. This work was primarily funded by the Antarctic Climate and Ecosystems Cooperative Research Centre, University of Tasmania, Hobart, Australia, and by the Australian Research Council through a Laureate awarded to PWB (FL160100131).</t>
  </si>
  <si>
    <t>10.1038/s41558-018-0389-1</t>
  </si>
  <si>
    <t>HJ2JP</t>
  </si>
  <si>
    <t>WOS:000456994900020</t>
  </si>
  <si>
    <t>González-Gaya, B; Martínez-Varela, A; Vila-Costa, M; Casal, P; Cerro-Gálvez, E; Berrojalbiz, N; Lundin, D; Vidal, M; Mompeán, C; Bode, A; Jiménez, B; Dachs, J</t>
  </si>
  <si>
    <t>Gonzalez-Gaya, Belen; Martinez-Varela, Alicia; Vila-Costa, Maria; Casal, Paulo; Cerro-Galvez, Elena; Berrojalbiz, Naiara; Lundin, Daniel; Vidal, Montserrat; Mompean, Carmen; Bode, Antonio; Jimenez, Begona; Dachs, Jordi</t>
  </si>
  <si>
    <t>Biodegradation as an important sink of aromatic hydrocarbons in the oceans</t>
  </si>
  <si>
    <t>VERTICAL FLUXES; BACTERIAL-DEGRADATION; MEDITERRANEAN SEA; OIL-SPILL; PAHS; WATER; DEPOSITION; ATLANTIC; DIOXYGENASES; ATMOSPHERE</t>
  </si>
  <si>
    <t>Atmospheric deposition of semivolatile aromatic hydrocarbons accounts for an important input of organic matter to the surface ocean. Nevertheless, the biogeochemical cycling and sinks of semivolatile aromatic hydrocarbons in the ocean remain largely uncharacterized. Here we present measurements of 64 polycyclic aromatic hydrocarbons in plankton and seawater from the Atlantic, Pacific, Indian and Southern Oceans, as well an assessment of their microbial degradation genes. Concentrations of the more hydrophobic compounds decreased when the plankton biomass was higher, consistent with the relevance of the biological pump. The mass balance for the global oceans showed that the settling fluxes of aromatic hydrocarbons in the water column were two orders of magnitude lower than the atmospheric deposition fluxes. This imbalance was high for low molecular weight hydrocarbons, such as phenanthrene and methylphenanthrenes, highly abundant in the dissolved phase. Parent polycyclic aromatic hydrocarbons were depleted to a higher degree than alkylated polycyclic aromatic hydrocarbons, and the degradation genes for polycyclic aromatic hydrocarbons were found to be ubiquitous in oceanic metagenomes. These observations point to a key role of biodegradation in depleting the bioavailable dissolved hydrocarbons and to the microbial degradation of atmospheric inputs of organic matter as a relevant process for the marine carbon cycle.</t>
  </si>
  <si>
    <t>[Gonzalez-Gaya, Belen; Martinez-Varela, Alicia; Vila-Costa, Maria; Casal, Paulo; Cerro-Galvez, Elena; Berrojalbiz, Naiara; Dachs, Jordi] IDAEA CSIC, Dept Environm Chem, Inst Environm Assessment &amp; Water Res, Barcelona, Spain; [Gonzalez-Gaya, Belen; Jimenez, Begona] IQOG CSIC, Dept Instrumental Anal &amp; Environm Chem, Inst Organ Chem, Madrid, Spain; [Lundin, Daniel] Linnaeus Univ, Ctr Ecol &amp; Evolut Microbial Model Syst, EEMiS, Kalmar, Sweden; [Vidal, Montserrat] Univ Barcelona, Dept Evolutionary Biol Ecol &amp; Environm Sci, Barcelona, Spain; [Mompean, Carmen; Bode, Antonio] Oceanog Ctr A Coruna, Spanish Oceanog Inst, IEO, La Coruna, Spain</t>
  </si>
  <si>
    <t>Consejo Superior de Investigaciones Cientificas (CSIC); CSIC - Centro de Investigacion y Desarrollo Pascual Vila (CID-CSIC); CSIC - Instituto de Diagnostico Ambiental y Estudios del Agua (IDAEA); Consejo Superior de Investigaciones Cientificas (CSIC); CSIC - Instituto de Quimica Organica General (IQOG); Linnaeus University; University of Barcelona</t>
  </si>
  <si>
    <t>Dachs, J (corresponding author), IDAEA CSIC, Dept Environm Chem, Inst Environm Assessment &amp; Water Res, Barcelona, Spain.</t>
  </si>
  <si>
    <t>jordi.dachs@idaea.csic.es</t>
  </si>
  <si>
    <t>Jiménez, Begoña/C-6324-2012; Gonzalez-Gaya, Belen/P-6640-2019; Bode, Antonio/B-7949-2009; Vidal, Montserrat/L-6051-2014; Berrojalbiz, Naiara/R-4832-2016; Vila-Costa, Maria/L-4833-2014</t>
  </si>
  <si>
    <t>Jiménez, Begoña/0000-0002-2401-4648; Gonzalez-Gaya, Belen/0000-0003-1497-9486; Bode, Antonio/0000-0002-9535-2548; Vila-Costa, Maria/0000-0003-1730-8418; Lundin, Daniel/0000-0002-8779-6464; Martinez-Varela, Alicia/0000-0003-4936-3155; Dachs, Jordi/0000-0002-4237-169X; CERRO-GALVEZ, ELENA/0000-0001-9821-9227</t>
  </si>
  <si>
    <t>Spanish Government through the Malaspina 2010 project [CSD2008-00077]; Spanish Government through the REMARCA project [CTM2012-34673]; Spanish Government through the SENTINEL project [CTM2015-70535-P]; Spanish Government through the ISOMICS project [CTM2015-65691-R]; BBVA Foundation; Spanish government; Catalan government; Spanish Oceanography Institute; Catalan Government [2017SGR800]</t>
  </si>
  <si>
    <t>Spanish Government through the Malaspina 2010 project; Spanish Government through the REMARCA project; Spanish Government through the SENTINEL project; Spanish Government through the ISOMICS project; BBVA Foundation(BBVA Foundation); Spanish government(Spanish Government); Catalan government; Spanish Oceanography Institute; Catalan Government</t>
  </si>
  <si>
    <t>The authors thank the support of the RV Hesperides staff and UTM technicians during the cruise and Antarctic campaign. G. Caballero and M. J. Ojeda are acknowledged for technical support during the extraction and processing of the samples. This work was funded by the Spanish Government through the Malaspina 2010 (CSD2008-00077), REMARCA (CTM2012-34673), SENTINEL (CTM2015-70535-P) and ISOMICS (CTM2015-65691-R) projects. M.V.-C. acknowledges a Leonardo award from BBVA Foundation. Predoctoral fellowships from the Spanish government (A. M.-V. and P.C.), Catalan government (E.C.-G.), Spanish Oceanography Institute (C.M.) and BBVA Foundation (B.G.-G.) are acknowledged. B.G.-G., A.M.-V., M.V.-C., P.C., E.C.-G., N.B. and J.D. belong to the Global Change and Genomic Biogeochemistry research group funded by the Catalan Government (2017SGR800).</t>
  </si>
  <si>
    <t>10.1038/s41561-018-0285-3</t>
  </si>
  <si>
    <t>HJ5CC</t>
  </si>
  <si>
    <t>WOS:000457194900011</t>
  </si>
  <si>
    <t>Levy, RH; Meyers, SR; Naish, TR; Golledge, NR; McKay, RM; Crampton, JS; DeConto, RM; De Santis, L; Florindo, F; Gasson, EGW; Harwood, DM; Luyendyk, BP; Powell, RD; Clowes, C; Kulhanek, DK</t>
  </si>
  <si>
    <t>Levy, R. H.; Meyers, S. R.; Naish, T. R.; Golledge, N. R.; McKay, R. M.; Crampton, J. S.; DeConto, R. M.; De Santis, L.; Florindo, F.; Gasson, E. G. W.; Harwood, D. M.; Luyendyk, B. P.; Powell, R. D.; Clowes, C.; Kulhanek, D. K.</t>
  </si>
  <si>
    <t>Antarctic ice-sheet sensitivity to obliquity forcing enhanced through ocean connections</t>
  </si>
  <si>
    <t>MIDDLE MIOCENE CLIMATE; ROSS SEA; HEMISPHERE CLIMATE; CONTINENTAL-SHELF; ODP SITE-1165; PRYDZ BAY; SOUTHERN; LEVEL; INTENSIFICATION; HISTORY</t>
  </si>
  <si>
    <t>Deep sea geological records indicate that Antarctic ice-sheet growth and decay is strongly influenced by the Earth's astronomical variations (known as Milankovitch cycles), and that the frequency of the glacial-interglacial cycles changes through time. Here we examine the emergence of a strong obliquity (axial tilt) control on Antarctic ice-sheet evolution during the Miocene by correlating the Antarctic margin geological records from 34 to 5 million years ago with a measure of obliquity sensitivity that compares the variance in deep sea sediment core oxygen-isotope data at obliquity timescales with variance of the calculated obliquity forcing. Our analysis reveals distinct phases of ice-sheet evolution and suggests the sensitivity to obliquity forcing increases when ice-sheet margins extend into marine environments. We propose that this occurs because obliquity-driven changes in the meridional temperature gradient affect the position and strength of the circum-Antarctic easterly flow and enhance (or reduce) ocean heat transport across the Antarctic continental margin. The influence of obliquity-driven changes in ocean dynamics is amplified when marine ice sheets are extensive, and sea ice is limited. Our reconstruction of the Antarctic ice-sheet history suggests that if sea-ice cover decreases in the coming decades, ocean-driven melting at the ice-sheet margin will be amplified.</t>
  </si>
  <si>
    <t>[Levy, R. H.; Golledge, N. R.; Crampton, J. S.; Clowes, C.] GNS Sci, Lower Hutt, New Zealand; [Levy, R. H.; Naish, T. R.; Golledge, N. R.; McKay, R. M.] Victoria Univ Wellington, Antarctic Res Ctr, Wellington, New Zealand; [Meyers, S. R.] Univ Wisconsin, Dept Geosci, Madison, WI USA; [Crampton, J. S.] Victoria Univ Wellington, Sch Geog Environm &amp; Earth Sci, Wellington, New Zealand; [DeConto, R. M.] Univ Massachusetts, Dept Geosci, Amherst, MA 01003 USA; [De Santis, L.] Ist Nazl Oceanog &amp; Geofis Sperimentale OGS, Trieste, Italy; [Florindo, F.] INGV, Rome, Italy; [Gasson, E. G. W.] Univ Bristol, Sch Geog Sci, Bristol, Avon, England; [Harwood, D. M.] Univ Nebraska, Earth &amp; Atmospher Sci, Lincoln, NE USA; [Luyendyk, B. P.] Univ Calif Santa Barbara, Earth Sci Dept, Santa Barbara, CA 93106 USA; [Powell, R. D.] Northern Illinois Univ, Dept Geol &amp; Environm Geosci, De Kalb, IL USA; [Kulhanek, D. K.] Texas A&amp;M Univ, Int Ocean Discovery Program, College Stn, TX USA</t>
  </si>
  <si>
    <t>GNS Science - New Zealand; Victoria University Wellington; University of Wisconsin System; University of Wisconsin Madison; Victoria University Wellington; University of Massachusetts System; University of Massachusetts Amherst; Istituto Nazionale di Oceanografia e di Geofisica Sperimentale; Istituto Nazionale Geofisica e Vulcanologia (INGV); University of Bristol; University of Nebraska System; University of Nebraska Lincoln; University of California System; University of California Santa Barbara; Northern Illinois University; Texas A&amp;M University System; Texas A&amp;M University College Station</t>
  </si>
  <si>
    <t>Levy, RH (corresponding author), GNS Sci, Lower Hutt, New Zealand.;Levy, RH (corresponding author), Victoria Univ Wellington, Antarctic Res Ctr, Wellington, New Zealand.</t>
  </si>
  <si>
    <t>r.levy@gns.cri.nz</t>
  </si>
  <si>
    <t>Florindo, Fabio/F-4119-2010; Florindo, Fabio/M-1459-2019; Levy, Richard H/E-2477-2011; Florindo, Fabio/AAU-2548-2021; Crampton, James/G-1381-2012</t>
  </si>
  <si>
    <t>Florindo, Fabio/0000-0002-6058-9748; Florindo, Fabio/0000-0002-6058-9748; Kulhanek, Denise/0000-0002-2156-6383; Gasson, Edward/0000-0003-4653-6217; Golledge, Nicholas/0000-0001-7676-8970; Naish, Tim/0000-0002-1185-9932; McKay, Robert/0000-0002-5602-6985; Meyers, Stephen/0000-0003-4422-720X; Crampton, James/0000-0003-3270-9981; De Santis, Laura/0000-0002-7752-7754; Levy, Richard/0000-0002-8783-0167</t>
  </si>
  <si>
    <t>New Zealand Ministry of Business Innovation and Employment [C05X1001]; NSF [EAR-1151438]; New Zealand Ministry of Business, Innovation &amp; Employment (MBIE) [C05X1001] Funding Source: New Zealand Ministry of Business, Innovation &amp; Employment (MBIE)</t>
  </si>
  <si>
    <t>New Zealand Ministry of Business Innovation and Employment(New Zealand Ministry of Business, Innovation and Employment (MBIE)); NSF(National Science Foundation (NSF)); New Zealand Ministry of Business, Innovation &amp; Employment (MBIE)(New Zealand Ministry of Business, Innovation and Employment (MBIE))</t>
  </si>
  <si>
    <t>This study was supported by the New Zealand Ministry of Business Innovation and Employment contract C05X1001 (R.H.L., T.R.N., N.R.G. and R.M.M.) and by NSF grant EAR-1151438 (S.R.M.). A sabbatical leave from the University of Wisconsin-Madison supported S.R.M to conduct research at the Institute of Geological and Nuclear Science.</t>
  </si>
  <si>
    <t>10.1038/s41561-018-0284-4</t>
  </si>
  <si>
    <t>WOS:000457194900013</t>
  </si>
  <si>
    <t>Leach, H; Strass, V</t>
  </si>
  <si>
    <t>Leach, Harry; Strass, Volker</t>
  </si>
  <si>
    <t>Cyclonic eddies and upper thermocline fine-scale structures in the Antarctic Circumpolar Current</t>
  </si>
  <si>
    <t>Mesoscale eddies; Fine-scale structures; Antarctic Circumpolar Current</t>
  </si>
  <si>
    <t>POLAR FRONT; POTENTIAL VORTICITY; ATLANTIC SECTOR; SUBMESOSCALE; CIRCULATION; ANATOMY; EDDY; GENERATION; SUBDUCTION; EVOLUTION</t>
  </si>
  <si>
    <t>Mesoscale eddies in the open ocean are mostly formed by baroclinic instability, in which the available potential energy from the large-scale slope of the isopycnals is converted into the kinetic energy of the flow around the eddy. As a permissible form of motion within a rapidly rotating and stratified fluid eddies driven by baroclinic instability are important for the poleward and vertical transport, not only of physical properties, but also biogeochemical ones. In this paper, we present observations from four cyclonic eddies in the Antarctic Circumpolar Current. We have sorted them by apparent age, based on altimeter data and consideration of the degree of homogenisation of the potential temperature-salinity(?S) relationship, and then looked at the spatial distribution of measures of fine-scale variability in the upper thermocline. The youngest eddy shows isopycnals which are domed upwards and it contains a variety of waters with differing temperature-salinity characteristics. The fine-scale variability is higher in the core of the eddy. The older eddies show a core which is more homogeneous in potential temperature and salinity. The isopycnals are flatter in the centre of the eddy, and in cross-section, they can be M-shaped, so that the steepest gradients are concentrated around the edge. The fine-scale variability is more concentrated around the edges where the density gradients are stronger. We hypothesise that lateral stirring and mixing processes within the eddy homogenise the water so that the temperature-salinity relationship becomes tighter. When the eddy eventually collapses, this modified water can be released back into the flow. Thus, we see how the interplay of mesoscale and small-scale processes are modifying water mass properties and, potentially, regulate biogeochemical processes.</t>
  </si>
  <si>
    <t>[Leach, Harry] Univ Liverpool, Dept Earth Ocean &amp; Ecol Sci, 4 Brownlow St, Liverpool L69 3GP, Merseyside, England; [Strass, Volker] Helmholtz Zentrum Polar &amp; Meeresforsch, Alfred Wegener Inst, Postfach 12 01 61, D-27515 Bremerhaven, Germany</t>
  </si>
  <si>
    <t>University of Liverpool; Helmholtz Association; Alfred Wegener Institute, Helmholtz Centre for Polar &amp; Marine Research</t>
  </si>
  <si>
    <t>Leach, H (corresponding author), Univ Liverpool, Dept Earth Ocean &amp; Ecol Sci, 4 Brownlow St, Liverpool L69 3GP, Merseyside, England.</t>
  </si>
  <si>
    <t>leach@liv.ac.uk</t>
  </si>
  <si>
    <t>Leach, Harry/0000-0003-1774-5167; Strass, Volker/0000-0002-7539-1400</t>
  </si>
  <si>
    <t>German Federal Ministry for Education and Research (Bundesministerium fur Bildung und Forschung, BMBF); Royal Society [ANTXVIII/2, ANTXXI/3]; School of Environmental Sciences [ANTXXVIII/3]</t>
  </si>
  <si>
    <t>German Federal Ministry for Education and Research (Bundesministerium fur Bildung und Forschung, BMBF)(Federal Ministry of Education &amp; Research (BMBF)); Royal Society(Royal Society); School of Environmental Sciences</t>
  </si>
  <si>
    <t>This study is supported by the German Federal Ministry for Education and Research (Bundesministerium fur Bildung und Forschung, BMBF) for funding Polarstern and this ship's captains and crews. HL's travel costs were born by the Royal Society (ANTXVIII/2, ANTXXI/3) and the School of Environmental Sciences (ANTXXVIII/3).</t>
  </si>
  <si>
    <t>10.1007/s10236-018-1241-x</t>
  </si>
  <si>
    <t>HI9RV</t>
  </si>
  <si>
    <t>WOS:000456796200002</t>
  </si>
  <si>
    <t>Bartlett, J; Convey, P; Hayward, SAL</t>
  </si>
  <si>
    <t>Bartlett, Jesamine; Convey, Pete; Hayward, Scott A. L.</t>
  </si>
  <si>
    <t>Not so free range? Oviposition microhabitat and egg clustering affects Eretmoptera murphyi (Diptera: Chironomidae) reproductive success</t>
  </si>
  <si>
    <t>Desiccation; Heat tolerance; Parthenogenesis; Life history; Antarctica; Climate change; Invasive species</t>
  </si>
  <si>
    <t>CRYPTOPYGUS-ANTARCTICUS; SIGNY ISLAND; LIFE-HISTORY; ALASKOZETES-ANTARCTICUS; HABITAT PREFERENCE; MIDGE; TEMPERATURE; COLLEMBOLAN; TOLERANCE; DESICCATION</t>
  </si>
  <si>
    <t>Understanding the physiology of non-native species in Antarctica is key to elucidating their ability to colonise an area, and how they may respond to changes in climate. Eretmoptera murphyi is a chironomid midge introduced to Signy Island (Maritime Antarctic) from South Georgia (Sub-Antarctic) where it is endemic. Here, we explore the tolerance of this species' egg masses to heat and desiccation stress encountered within two different oviposition microhabitats (ground surface vegetation and underlying soil layer). Our data show that, whilst oviposition takes place in both substrates, egg sacs laid individually in soil are at the greatest risk of failing to hatch, whilst those aggregated in the surface vegetation have the lowest risk. The two microhabitats are characterised by significantly different environmental conditions, with greater temperature fluctuations in the surface vegetation, but lower humidity (%RH) and available water content in the soil. Egg sacs were not desiccation resistant and lost water rapidly, with prolonged exposure to 75% RH affecting survival for eggs in singly oviposited egg sacs. In contrast, aggregated egg sacs (n = 10) experienced much lower desiccation rates and survival of eggs remained above 50% in all treatments. Eggs had high heat tolerance in the context of the current microhabitat conditions on Signy. We suggest that the atypical (for this family) use of egg sac aggregation in E. murphyi has developed as a response to environmental stress. Current temperature patterns and extremes on Signy Island are unlikely to affect egg survival, but changes in the frequency and duration of extreme events could be a greater challenge.</t>
  </si>
  <si>
    <t>[Bartlett, Jesamine; Hayward, Scott A. L.] Univ Birmingham, Birmingham B15 2TT, W Midlands, England; [Convey, Pete] British Antarctic Survey, NERC, Madingley Rd, Cambridge CB3 0ET, England</t>
  </si>
  <si>
    <t>University of Birmingham; UK Research &amp; Innovation (UKRI); Natural Environment Research Council (NERC); NERC British Antarctic Survey</t>
  </si>
  <si>
    <t>Hayward, SAL (corresponding author), Univ Birmingham, Birmingham B15 2TT, W Midlands, England.</t>
  </si>
  <si>
    <t>s.a.hayward@bham.ac.uk</t>
  </si>
  <si>
    <t>Convey, Peter/AAV-5728-2020</t>
  </si>
  <si>
    <t>Convey, Peter/0000-0001-8497-9903</t>
  </si>
  <si>
    <t>Natural Environment Research Council (NERC) through The Central England NERC Training Alliance (CENTA) Doctoral Training Partnership (DTP) [RRBN19276]; University of Birmingham; British Antarctic Survey (BAS); NERC; BAS through a NERC-CASS grant [CASS-121]; NERC [bas0100036] Funding Source: UKRI</t>
  </si>
  <si>
    <t>Natural Environment Research Council (NERC) through The Central England NERC Training Alliance (CENTA) Doctoral Training Partnership (DTP); University of Birmingham; British Antarctic Survey (BAS); NERC(UK Research &amp; Innovation (UKRI)Natural Environment Research Council (NERC)); BAS through a NERC-CASS grant; NERC(UK Research &amp; Innovation (UKRI)Natural Environment Research Council (NERC))</t>
  </si>
  <si>
    <t>J Bartlett is funded by a Natural Environment Research Council (NERC) through The Central England NERC Training Alliance (CENTA) Doctoral Training Partnership (DTP) (RRBN19276). Her PhD studentship is supported by the University of Birmingham and the British Antarctic Survey (BAS). P. Convey is supported by NERC core funding to the BAS 'Biodiversity, Evolution and Adaptation' Team. Fieldwork in this study was supported by BAS through a NERC-CASS grant (CASS-121) and permitted by the United Kingdom Foreign &amp; Commonwealth Office through Specialist Activities in Antarctica (No 22/2016). The authors thank staff at Signy Research Station for their practical and moral support. This study also contributes to the SCAR 'State of the Antarctic Ecosystem' (AntEco) programme.</t>
  </si>
  <si>
    <t>10.1007/s00300-018-2420-4</t>
  </si>
  <si>
    <t>HJ5MB</t>
  </si>
  <si>
    <t>WOS:000457224500003</t>
  </si>
  <si>
    <t>Barrera-Oro, E; Moreira, E; Seefeldt, MA; Francione, MV; Quartino, ML</t>
  </si>
  <si>
    <t>Barrera-Oro, Esteban; Moreira, Eugenia; Anna Seefeldt, Meike; Valli Francione, Mariano; Liliana Quartino, Maria</t>
  </si>
  <si>
    <t>The importance of macroalgae and associated amphipods in the selective benthic feeding of sister rockcod species Notothenia rossii and N-coriiceps (Nototheniidae) in West Antarctica</t>
  </si>
  <si>
    <t>Antarctic fish; Diet; Potter Cove; South Shetland Islands; Marine ecology</t>
  </si>
  <si>
    <t>KING-GEORGE ISLAND; SOUTH SHETLAND ISLANDS; POTTER COVE; SUBTIDAL MACROALGAE; MARINE MACROALGAE; FOOD-WEB; ICE CAP; FISH; DIET; PENINSULA</t>
  </si>
  <si>
    <t>Studies on feeding selectivity in Antarctic fish with comparison between diet organisms and those available in the wild are scarce. We explored this issue in Notothenia rossii (NOR) and N. coriiceps (NOC) at Potter Cove in summer 2016 to test: (1) their preference among different benthic groups, primarily species of algae and amphipods and (2) differences between these nototheniids given their distinct morphology but their known similar general ecology in the fjords. The methodology included a comparative analysis of benthic organisms identified in the stomachs and those collected on macroalgal beds (Ivlev Index). Benthic amphipods, mainly Gondogeneia antarctica and Cheirimedon femoratus, followed by macroalgae, mainly Palmaria decipiens and Desmarestia spp., were the most important and frequent dietary items (IRI%) for both nototheniids. However, NOC was more herbivorous and fed more intensively on a wider diversity of benthic organisms such as certain algal-associated groups like gastropods and bivalves, whereas NOR fed on a greater proportion of epibenthic amphipods and other epibenthic prey. Although in the last three decades the physiognomy of the inner cove has been changed due to theretreat of the Fourcade Glacier, at our sampling site in the outer cove the abundance and vertical distribution of macroalgae did not show substantial changes compared with those reported in the literature in 1994-1996. Temporal differences in the feeding selectivity of NOC on amphipod species, between contemporary and historical samples, may be explained by variations in the assemblage of the algal-associated epifauna. We suggest factors that may have produced these changes.</t>
  </si>
  <si>
    <t>[Barrera-Oro, Esteban; Moreira, Eugenia; Liliana Quartino, Maria] Inst Antartico Argentino, 25 Mayo 1143, San Martin, Buenos Aires, Argentina; [Barrera-Oro, Esteban; Moreira, Eugenia] Consejo Nacl Invest Cient &amp; Tecn, Godoy Cruz 2290,C1425FQB, Buenos Aires, DF, Argentina; [Barrera-Oro, Esteban; Liliana Quartino, Maria] Museo Argentino Ciencias Nat Bernardino Rivadavia, Angel Gallardo 470,CI405DJR, Buenos Aires, DF, Argentina; [Anna Seefeldt, Meike] Helmholtz Ctr Polar &amp; Marine Res, Alfred Wegener Inst, Funct Ecol Sect, Handelshafen 12, D-27570 Bremerhaven, Germany; [Anna Seefeldt, Meike] Ruhr Univ Bochum, Dept Anim Ecol Evolut &amp; Biodivers, Fac Biol &amp; Biotechnol, Univ Str 150, D-44801 Bochum, Germany; [Valli Francione, Mariano] Univ Nacl Gen Sarmiento, Los Polvorines, Argentina</t>
  </si>
  <si>
    <t>Instituto Antartico Argentino; Consejo Nacional de Investigaciones Cientificas y Tecnicas (CONICET); Museo Argentino de Ciencias Naturales Bernardino Rivadavia (MACN); Helmholtz Association; Alfred Wegener Institute, Helmholtz Centre for Polar &amp; Marine Research; Ruhr University Bochum</t>
  </si>
  <si>
    <t>Barrera-Oro, E (corresponding author), Inst Antartico Argentino, 25 Mayo 1143, San Martin, Buenos Aires, Argentina.;Barrera-Oro, E (corresponding author), Consejo Nacl Invest Cient &amp; Tecn, Godoy Cruz 2290,C1425FQB, Buenos Aires, DF, Argentina.;Barrera-Oro, E (corresponding author), Museo Argentino Ciencias Nat Bernardino Rivadavia, Angel Gallardo 470,CI405DJR, Buenos Aires, DF, Argentina.</t>
  </si>
  <si>
    <t>ebarreraoro1@gmail.com</t>
  </si>
  <si>
    <t>MOREIRA, EUGENIA/0000-0002-3704-1696; Seefeldt, Meike Anna/0000-0003-2106-6933</t>
  </si>
  <si>
    <t>ANPCyT-DNA [PICTO 0100-2010]; German Science Foundation (DFG) [HE 3391/7-1, 1158]; EU research network IMCONet - Marie Curie Action IRSES (FP7 IRSES) [319718]</t>
  </si>
  <si>
    <t>ANPCyT-DNA; German Science Foundation (DFG)(German Research Foundation (DFG)); EU research network IMCONet - Marie Curie Action IRSES (FP7 IRSES)</t>
  </si>
  <si>
    <t>We thank C. Bellisio and J. Acosta for their help in field activities and laboratory tasks and Lic. G. Campana for the sampling bags. The divers and boat drivers of Carlini Station provided valuable logistic support. We are very grateful to Prof. J. T. Eastman for his valuable comments on the manuscript. This study was undertaken within the scientific collaboration between Instituto Antartico Argentino and the Alfred Wegener Institute Helmholtz Centre for Polar and Marine Research. It was supported by grants from ANPCyT-DNA (PICTO 0100-2010). M.A.S. was funded by the German Science Foundation (DFG) with the project HE 3391/7-1 within the Priority Programme 1158 on Antarctic Research. This paper presents an outcome of the EU research network IMCONet funded by the Marie Curie Action IRSES (FP7 IRSES, Action No. 319718).</t>
  </si>
  <si>
    <t>10.1007/s00300-018-2424-0</t>
  </si>
  <si>
    <t>WOS:000457224500006</t>
  </si>
  <si>
    <t>Meibers, HE; Finch, G; Gregg, RT; Glenn, S; Assani, KD; Jennings, EC; Davies, B; Rosendale, AJ; Holmes, CJ; Gantz, JD; Spacht, DE; Lee, RE; Denlinger, DL; Weirauch, MT; Benoit, JB</t>
  </si>
  <si>
    <t>Meibers, Hannah E.; Finch, Geoffrey; Gregg, Robert T.; Glenn, Sierra; Assani, Keavash D.; Jennings, Emily C.; Davies, Benjamin; Rosendale, Andrew J.; Holmes, Christopher J.; Gantz, J. D.; Spacht, Drew E.; Lee, Richard E., Jr.; Denlinger, David L.; Weirauch, Matthew T.; Benoit, Joshua B.</t>
  </si>
  <si>
    <t>Sex- and developmental-specific transcriptomic analyses of the Antarctic mite, Alaskozetes antarcticus, reveal transcriptional shifts underlying oribatid mite reproduction</t>
  </si>
  <si>
    <t>RNA-seq; Reproduction; Testis-specific serine; threonine protein kinases; Mite; Antarctic reproductive biology</t>
  </si>
  <si>
    <t>AMERONOTHRUS-LINEATUS ACARI; SEMINAL FLUID PROTEINS; RNA-SEQ; LIFE-CYCLE; DERMATOPHAGOIDES-FARINAE; TETRANYCHUS-URTICAE; GENE-EXPRESSION; ADULT SURVIVAL; IDENTIFICATION; GENOME</t>
  </si>
  <si>
    <t>The oribatid mite Alaskozetes antarcticus, one of the most abundant terrestrial invertebrates in Antarctica, survives extreme temperature fluctuation and desiccation, and thrives in the short growing season characteristic of this polar environment. Several aspects of the mite's ecology and physiology are well studied, but little is known about its reproduction. In this study, we utilize sex- and development-specific next-generation RNA-sequencing (RNA-seq) analyses to identify differentially regulated transcripts underlying reproduction of A. antarcticus. Pairwise comparisons between males, females, and tritonymphs revealed more than 4000 enriched transcripts based on different transcriptional levels among sexes and developmental stages. More than 500 of these enriched transcripts were differentially upregulated over 1000-fold. Many of the highly enriched and sex-specific transcripts were previously uncharacterized or have no known orthology. Of the transcripts identified, gene ontology-based analyses linked the transcriptional distinctions to differences in reproduction, chemosensation, and stress response. Our comparative approach allowed us to determine sexually dimorphic transcript expression in A. antarcticus. We anticipate that this study will provide a baseline to better understand the mechanisms that underlie reproduction in both polar and non-polar oribatid mites.</t>
  </si>
  <si>
    <t>[Meibers, Hannah E.; Finch, Geoffrey; Gregg, Robert T.; Glenn, Sierra; Assani, Keavash D.; Jennings, Emily C.; Davies, Benjamin; Rosendale, Andrew J.; Holmes, Christopher J.; Benoit, Joshua B.] Univ Cincinnati, Dept Biol Sci, Cincinnati, OH 45221 USA; [Gantz, J. D.; Lee, Richard E., Jr.] Miami Univ, Dept Biol, Oxford, OH 45056 USA; [Spacht, Drew E.; Denlinger, David L.] Ohio State Univ, Dept Entomol, 1735 Neil Ave, Columbus, OH 43210 USA; [Spacht, Drew E.; Denlinger, David L.] Ohio State Univ, Dept Evolut Ecol &amp; Organismal Biol, Columbus, OH 43210 USA; [Weirauch, Matthew T.] Cincinnati Childrens Hosp Med Ctr, Ctr Autoimmune Genom &amp; Etiol, Cincinnati, OH 45229 USA; [Weirauch, Matthew T.] Cincinnati Childrens Hosp Med Ctr, Div Biomed Informat, Cincinnati, OH 45229 USA; [Weirauch, Matthew T.] Cincinnati Childrens Hosp Med Ctr, Div Dev Biol, Cincinnati, OH 45229 USA; [Weirauch, Matthew T.] Univ Cincinnati, Coll Med, Dept Pediat, Cincinnati, OH USA</t>
  </si>
  <si>
    <t>University System of Ohio; University of Cincinnati; University System of Ohio; Miami University; University System of Ohio; Ohio State University; University System of Ohio; Ohio State University; University System of Ohio; University of Cincinnati; Cincinnati Children's Hospital Medical Center; Cincinnati Children's Hospital Medical Center; Cincinnati Children's Hospital Medical Center; University System of Ohio; University of Cincinnati</t>
  </si>
  <si>
    <t>Benoit, JB (corresponding author), Univ Cincinnati, Dept Biol Sci, Cincinnati, OH 45221 USA.</t>
  </si>
  <si>
    <t>Jennings, Emily/0000-0002-7687-5319; Meibers, Hannah/0000-0002-5084-5701; Holmes, Christopher/0000-0001-9612-366X</t>
  </si>
  <si>
    <t>National Science Foundation [NSF PLR 1341385, NSF PLR 1341393, DEB-1654417]; United States Department of Agriculture's National Institute of Food and Agricultural Grant [2016-67012-24652]; NIFA [2016-67012-24652, 810683] Funding Source: Federal RePORTER</t>
  </si>
  <si>
    <t>National Science Foundation(National Science Foundation (NSF)); United States Department of Agriculture's National Institute of Food and Agricultural Grant; NIFA(United States Department of Agriculture (USDA)National Institute of Food and Agriculture)</t>
  </si>
  <si>
    <t>This research was supported by the National Science Foundation (NSF PLR 1341385 and NSF PLR 1341393 with partial support for equipment in DEB-1654417) and the United States Department of Agriculture's National Institute of Food and Agricultural Grant (2016-67012-24652). We are grateful for the hard work and assistance of the support staff at Palmer Station and the CCHMC Sequencing Core.</t>
  </si>
  <si>
    <t>10.1007/s00300-018-2427-x</t>
  </si>
  <si>
    <t>WOS:000457224500009</t>
  </si>
  <si>
    <t>Borghello, P; Torres, DS; Montalti, D; Ibañez, AE</t>
  </si>
  <si>
    <t>Borghello, Paloma; Sebastian Torres, Diego; Montalti, Diego; Esteban Ibanez, Andres</t>
  </si>
  <si>
    <t>Diet of the Brown Skua (Stercorarius antarcticus lonnbergi) at Hope Bay, Antarctic Peninsula: differences between breeders and non-breeders</t>
  </si>
  <si>
    <t>Brown Skua (Stercorarius antarcticus lonnbergi); Breeding; Non-breeding; Diet; Pellets; Antarctica</t>
  </si>
  <si>
    <t>SYMPATRIC SOUTH POLAR; CATHARACTA-SKUA; MIGRATION STRATEGIES; FEEDING TERRITORIES; FORAGING BEHAVIOR; ACTIVITY PATTERNS; HABITAT USE; ISLAND; REPRODUCTION; PETRELS</t>
  </si>
  <si>
    <t>Top predators exhibit a critical role in ecosystem functioning and in the stability of the food web, so research on diet is relevant to understand their foraging behavior. Seasonal variation in diet and prey selection may be the result of fluctuations in the physiological demands during the different annual life cycles, and ecological factors such as resource availability, which may influence the foraging behavior. Moreover, the competition for the feeding territories between conspecifics in a population or with other predators may also lead to diversification of the diet. In this work, we determined the diet of breeding and non-breeding Brown Skuas (Stercorarius antarcticus lonnbergi) at Hope Bay, Antarctic Peninsula, to understand prey selection and the feeding habits of groups with different physiological and energy demands. To assess the breeders' diet, 204 pellets were collected near the nests, while for non-breeders, 330 pellets were obtained from different areas where they usually group, and prey items were determined. Pellet dimensions were larger in non-breeding skuas. Breeding skuas' pellets showed a higher content of energy-rich items such as penguin eggs, fishes and molluscs, while in non-breeding skuas, pellets consisted mainly of penguin feathers and bones. The differences in diet between the groups may be a consequence of the supplementation of the food obtained on land by traveling to the ocean by breeding skuas, in order to compensate the energetic demands during reproduction. Our results highlight differences in the feeding habits and prey selection, as well as a variation in the flexibility of the foraging strategy of both groups.</t>
  </si>
  <si>
    <t>[Borghello, Paloma; Sebastian Torres, Diego; Montalti, Diego; Esteban Ibanez, Andres] UNLP, Museo La Plata, Secc Ornitol, Div Zool Vert,FCNyM,CONICET, Paseo Bosque S-N,B1900FWA, Buenos Aires, DF, Argentina; [Montalti, Diego] IAA, Buenos Aires, DF, Argentina</t>
  </si>
  <si>
    <t>Consejo Nacional de Investigaciones Cientificas y Tecnicas (CONICET); National University of La Plata; Museo La Plata</t>
  </si>
  <si>
    <t>Ibañez, AE (corresponding author), UNLP, Museo La Plata, Secc Ornitol, Div Zool Vert,FCNyM,CONICET, Paseo Bosque S-N,B1900FWA, Buenos Aires, DF, Argentina.</t>
  </si>
  <si>
    <t>aeibanez@fcnym.unlp.edu.ar</t>
  </si>
  <si>
    <t>Proyecto de Investigacion Plurianual (PIP- CONICET) [0158]; Instituto Antartico Argentino [PICTA-2010-0080, PICT-2014-3323]; Agencia Nacional de Promocion Cientifica y Tecnologica</t>
  </si>
  <si>
    <t>Proyecto de Investigacion Plurianual (PIP- CONICET); Instituto Antartico Argentino; Agencia Nacional de Promocion Cientifica y Tecnologica(ANPCyTSpanish Government)</t>
  </si>
  <si>
    <t>This work was made possible thanks to the Instituto Antartico Argentino (IAA), which provided logistical support and permission to carry out the fieldwork at Bahia Esperanza/Hope Bay, Antarctic Peninsula. This work was supported by Proyecto de Investigacion Plurianual (PIP- CONICET no 0158) and Agencia Nacional de Promocion Cientifica y Tecnologica and Instituto Antartico Argentino (PICTA-2010-0080)(To DM), and partially supported by (PICT-2014-3323) (to AEI). Special thanks to Facundo Xavier Palacio for help with statistical analysis, as well as to the Editor and reviewers for their interesting and helpful criticisms for improvement of the manuscript.</t>
  </si>
  <si>
    <t>10.1007/s00300-018-2429-8</t>
  </si>
  <si>
    <t>WOS:000457224500011</t>
  </si>
  <si>
    <t>Determeyer-Wiedmann, N; Sadowsky, A; Convey, P; Ott, S</t>
  </si>
  <si>
    <t>Determeyer-Wiedmann, Nadine; Sadowsky, Andres; Convey, Peter; Ott, Sieglinde</t>
  </si>
  <si>
    <t>Physiological life history strategies of photobionts of lichen species from Antarctic and moderate European habitats in response to stressful conditions</t>
  </si>
  <si>
    <t>Stress conditions; Adaptation; Photosystem II and I; Electron transport; Ratio LET to CET</t>
  </si>
  <si>
    <t>ELECTRON-TRANSPORT; CULTURE EXPERIMENTS; PHOTOSYSTEM-II; WATER; SELECTIVITY; DIVERSITY; TREBOUXIA; PHOTOINHIBITION; PARTNERSHIPS; RESISTANCE</t>
  </si>
  <si>
    <t>The vegetation of many terrestrial habitats across Antarctica is dominated by poikilohydric symbiotic lichens. Terrestrial habitats generally are characterised by extended exposure to desiccation and high irradiation. Physiological adaptation mechanisms of the algal partner (photobiont) are key factors in the successful colonisation of lichens of locations under severe environmental conditions. This study focused on isolated photobionts of the genus Trebouxia, from the continental Antarctic lichens Buellia frigida, Pleopsidium chlorophanum, the maritime Antarctic lichen Umbilicaria antarctica, and the Swedish lichen Fulgensia bracteata from a moderate temperate ecosystem at sea level. The photosystems PS II and PS I and the ratio of linear to cyclic electron transport were studied to elucidate adaptation mechanisms in the physiology of the photobionts in response to desiccation and light stress. The photobionts of the Antarctic lichens demonstrated striking tolerance to the stress conditions studied. Although the photobionts of U. antarctica and P. chlorophanum were genetically identical based on non-coding internally transcribed spacer (ITS), their physiological responses were clearly different, possibly indicating ecotypic differentiation. The photobiont of F. bracteata showed clearly different responses to those of the Antarctic photobionts. The response differences of the photobionts studied point to fundamental differences in life history strategies.</t>
  </si>
  <si>
    <t>[Determeyer-Wiedmann, Nadine; Ott, Sieglinde] Heinrich Heine Univ, Inst Bot, Univ Str 1, D-40225 Dusseldorf, Germany; [Sadowsky, Andres] Heinrich Heine Univ, Cluster Excellence Plant Sci CEPLAS, Univ Str 1, D-40225 Dusseldorf, Germany; [Sadowsky, Andres] Heinrich Heine Univ, Inst Plant Biochem, Univ Str 1, D-40225 Dusseldorf, Germany; [Convey, Peter] British Antarctic Survey, Nat Environm Res Council, Madingley Rd, Cambridge CB3 0ET, England</t>
  </si>
  <si>
    <t>Heinrich Heine University Dusseldorf; Heinrich Heine University Dusseldorf; University of Cologne; Heinrich Heine University Dusseldorf; UK Research &amp; Innovation (UKRI); Natural Environment Research Council (NERC); NERC British Antarctic Survey</t>
  </si>
  <si>
    <t>Ott, S (corresponding author), Heinrich Heine Univ, Inst Bot, Univ Str 1, D-40225 Dusseldorf, Germany.</t>
  </si>
  <si>
    <t>otts@hhu.de</t>
  </si>
  <si>
    <t>German Research Foundation (DFG) [Ot 96/15-1, SPP 1158]; NERC; NERC [bas0100036] Funding Source: UKRI</t>
  </si>
  <si>
    <t>German Research Foundation (DFG)(German Research Foundation (DFG)); NERC(UK Research &amp; Innovation (UKRI)Natural Environment Research Council (NERC)); NERC(UK Research &amp; Innovation (UKRI)Natural Environment Research Council (NERC))</t>
  </si>
  <si>
    <t>We thank Eva Posthoff for her invaluable help with the photobiont cultures. The authors are especially grateful to Ulrike Ruprecht for her invaluable help and support on the molecular identification of the photobionts. Particular thanks for hergreat effort. Thanks are also due to the organising committee of the XIIth SCAR Biology Symposium 2017, Leuven, Belgium. SO is grateful to the German Research Foundation (DFG) for financing the Research Project Ot 96/15-1 as part of the Antarctic Priority Program (SPP 1158). PC is supported by NERC core funding to the British Antarctic Survey's 'Biodiversity, Evolution and Adaptation' Team. Special thanks are due to the Bundesanstalt fur Geologie und Rohstoffe (Andreas Laufer, Detlef Damaske) as well as to the British Antarctic Survey for the opportunity to collect the lichen samples used in this study. Thanks are also due to the staff at Rothera Station and Gondwana Station for logistic support. The authors also thank the reviewers for their invaluable comments.</t>
  </si>
  <si>
    <t>10.1007/s00300-018-2430-2</t>
  </si>
  <si>
    <t>WOS:000457224500012</t>
  </si>
  <si>
    <t>Phillips, RA; Silk, JRD; Massey, A; Hughes, KA</t>
  </si>
  <si>
    <t>Phillips, Richard A.; Silk, Janet R. D.; Massey, Alison; Hughes, Kevin A.</t>
  </si>
  <si>
    <t>Surveys reveal increasing and globally important populations of south polar skuas and Antarctic shags in Ryder Bay (Antarctic Peninsula)</t>
  </si>
  <si>
    <t>Antarctic Peninsula; Blue-eyed shag; Imperial shag; Important bird area; Long-term monitoring; Marguerite Bay; Population trends</t>
  </si>
  <si>
    <t>LONG-TERM CHANGES; BREEDING SUCCESS; GREAT SKUAS; CATHARACTA-MACCORMICKI; MARINE ECOSYSTEM; ST KILDA; CONSERVATION; PRODUCTIVITY; CLIMATE; PENGUIN</t>
  </si>
  <si>
    <t>Despite their importance in ecosystems, population sizes and trends are unknown for many seabirds, including in the Antarctic. Here we report on the first comprehensive survey of south polar skuas Stercorarius maccormicki and Antarctic shags Leucocarbo bransfieldensis in Ryder Bay, and collate previous count data. In austral summer 2017/18, totals of 259 skuas at club sites and 978 occupied skua territories were counted in 2.3 km(2) of suitable habitat at Rothera Point and adjacent islands. Based on the mean nearest neighbour distance (23.2m), skua nest densities were comparable with colonies elsewhere. Long-term monitoring of skuas at Rothera Point indicated considerable annual variation and overall increases of 1.9 and 1.3% per annum, respectively, in breeding pairs from 1975/76 to 2017/18, and occupied territories from 1988/89 to 2017/18. In total, 405 pairs of Antarctic shags bred at two known and one newly discovered colony in 2017/18. Previous counts at the two known colonies indicated substantial annual variation and increases of 5.5 and 3.3% per annum, respectively, from 1985/86 to 2017/18 and 1989/90 to 2017/18. Factors leading to overall increases in both species, and the intermittent seasons of near-complete failure to breed, are unclear, but likely to reflect impacts of environmental change on their marine prey or sea ice. The breeding populations of south polar skuas and Antarctic shags in Ryder Bay represent 10.3 and 3.5%, respectively, of revised global estimates of 9500 and 11,684 breeding pairs. We recommend that the breeding colonies be included as important bird areas (IBAs) and within the Antarctic Specially Protected Area (ASPA) system, and provision made to conserve foraging areas at sea.</t>
  </si>
  <si>
    <t>[Phillips, Richard A.; Silk, Janet R. D.; Massey, Alison; Hughes, Kevin A.] British Antarctic Survey, Nat Environm Res Council, High Cross Madingley Rd, Cambridge CB3 0ET, England</t>
  </si>
  <si>
    <t>Phillips, RA (corresponding author), British Antarctic Survey, Nat Environm Res Council, High Cross Madingley Rd, Cambridge CB3 0ET, England.</t>
  </si>
  <si>
    <t>raphil@bas.ac.uk</t>
  </si>
  <si>
    <t>Hughes, Kevin/JVZ-0793-2024</t>
  </si>
  <si>
    <t>Natural Environment Research Council; NERC [bas0100035] Funding Source: UKRI</t>
  </si>
  <si>
    <t>We are very grateful to the many field assistants for help with monitoring of skuas at Rothera Point over many years, to Ali Rose for help with the skua census in 2018, to Peter Fretwell for photographing and counting the shag colony at the Mikkelsen Islands and to Sally Poncet for providing unpublished counts of shag nests. The boating officers and crew at Rothera diligently transported us to the Ryder Bay islands. We are grateful to Johannes Krietsch, Jan Esefeld and an anonymous referee for their comments on the manuscript. This study represents a contribution to the Ecosystems Component of the British Antarctic Survey Polar Science for Planet Earth Programme and the Environment Office Long-term Monitoring and Survey project (EO-LTMS), funded by the Natural Environment Research Council.</t>
  </si>
  <si>
    <t>10.1007/s00300-018-2432-0</t>
  </si>
  <si>
    <t>WOS:000457224500014</t>
  </si>
  <si>
    <t>Jiao, ZT; Ding, AX; Kokhanovsky, A; Schaaf, C; Bréon, FM; Dong, YD; Wang, ZS; Liu, Y; Zhang, XN; Yin, SY; Cui, L; Mei, LL; Chang, YX</t>
  </si>
  <si>
    <t>Jiao, Ziti; Ding, Anxin; Kokhanovsky, Alexander; Schaaf, Crystal; Breon, Francois-Marie; Dong, Yadong; Wang, Zhuosen; Liu, Yan; Zhang, Xiaoning; Yin, Siyang; Cui, Lei; Mei, Linlu; Chang, Yaxuan</t>
  </si>
  <si>
    <t>Development of a snow kernel to better model the anisotropic reflectance of pure snow in a kernel-driven BRDF model framework</t>
  </si>
  <si>
    <t>Kernel-driven model; Bidirectional reflectance distribution function (BRDF); Snow; POLDER BRDF data; Asymptotic radiative transfer (ART) model; Forward scattering; RTLSR model</t>
  </si>
  <si>
    <t>MODIS; RETRIEVAL; LIGHT; RESOLUTION; ALBEDO; CLASSIFICATION; ALGORITHM; PRODUCTS; SURFACE; VERSION</t>
  </si>
  <si>
    <t>The linear kernel-driven RossThick-LiSparseReciprocal (RTLSR) bidirectional reflectance distribution function (BRDF) model was originally developed from the simplified scenarios of continuous and discrete vegetation canopies, and has been widely used to fit multiangle observations of vegetation-soil systems of the land surface in many fields. Although this model was not developed explicitly for snow surfaces, it can capture the geometric-optical effect caused by the shadowing of rugged or undulating snow surfaces. However, in this study, this model has been further developed to better characterize the scattering properties of snow surface, which can also exhibit strongly forward-scattering behavior. This study proposes a new snow kernel to characterize the reflectance anisotropy of pure snow based on the asymptotic radiative transfer (ART) model that assumes snow can be modeled as a semi-infinite, plane-parallel, weakly absorbing light scattering layer. This new snow kernel adopts a correction term with a free parameter a to correct the analytic form of the ART model that has been reported to underestimate observed snow reflectance in the forward scattering direction in the principal plane (PP), particularly in cases of a large viewing zenith angle (&gt; 60 degrees). This snow kernel has now been implemented in the kernel-driven RTLSR BRDF model framework in conjunction with two additional kernels (i.e., the volumetric scattering kernel and geometric-optical scattering kernel) and is validated using observed and simulated multiangle data from three data sources. Pure snow targets were selected from the extensive archive of the Polarization and Directionality of the Earth's Reflectance (POLDER) BRDF data. Antarctic snow field measurements, which were taken from the top of a 32-m-tall tower at Dome C Station and include 6336 spectral bidirectional reflectance factors (BRFs), were also utilized. Finally, a set of simulated BRFs, generated by a hybrid scattering snow model that combines the geometric optics with vector radiative transfer theory, were used to further assess the proposed method. We first retrieve the value of the free parameter a for a comprehensive analysis using single multiangle snow data with a sufficient BRDF sampling. Then, we determine the optimally fixed value of the a parameter as prior information for potential users. The new snow kernel method is shown to be quite accurate, presenting a high correlation coefficient (R-2 = similar to 0.9) and a negligible bias between the modeled BRFs and the various snow BRDF validation data. The finding demonstrates that this snow kernel provides an improved potential compared to that of the original kernel-driven model framework for a pure snow surface in many applications, particularly those involving the global water cycle and radiation budget, where snow cover plays an important role.</t>
  </si>
  <si>
    <t>[Jiao, Ziti] Beijing Normal Univ &amp; Inst Remote Sensing &amp; Digit, State Key Lab Remote Sensing Sci, Beijing 100875, Peoples R China; [Jiao, Ziti; Ding, Anxin; Zhang, Xiaoning; Yin, Siyang; Cui, Lei; Chang, Yaxuan] Beijing Normal Univ, Fac Geog Sci, Inst Remote Sensing Sci &amp; Engn, Beijing Engn Res Ctr Global Land Remote Sensing P, Beijing 100875, Peoples R China; [Kokhanovsky, Alexander] VITROCISET, Bratustr 7, D-64293 Darmstadt, Germany; [Schaaf, Crystal] Univ Massachusetts, Sch Environm Earth &amp; Ocean Sci, Boston, MA 02125 USA; [Breon, Francois-Marie] UVSQ, CNRS, CEA, Lab Sci Climat &amp; Environm, F-91191 Gif Sur Yvette, France; [Dong, Yadong] Beijing Normal Univ, Coll Water Sci, Beijing 100875, Peoples R China; [Wang, Zhuosen] NASA, Goddard Space Flight Ctr, Terr Informat Syst Lab, Greenbelt, MD USA; [Wang, Zhuosen] Univ Maryland, Earth Syst Sci Interdisciplinary Ctr, College Pk, MD 20742 USA; [Liu, Yan] Chinese Acad Sci, Inst Remote Sensing &amp; Digital Earth, Beijing 100101, Peoples R China; [Mei, Linlu] Univ Bremen, Inst Environm Phys, Otto Hahn Allee 1, D-28359 Bremen, Germany</t>
  </si>
  <si>
    <t>Beijing Normal University; University of Massachusetts System; University of Massachusetts Boston; Universite Paris Cite; Universite Paris Saclay; CEA; Centre National de la Recherche Scientifique (CNRS); Beijing Normal University; National Aeronautics &amp; Space Administration (NASA); NASA Goddard Space Flight Center; University System of Maryland; University of Maryland College Park; Chinese Academy of Sciences; The Institute of Remote Sensing &amp; Digital Earth, CAS; University of Bremen</t>
  </si>
  <si>
    <t>Jiao, ZT (corresponding author), Beijing Normal Univ, 19 Xinjiekouwai St, Beijing 100875, Peoples R China.</t>
  </si>
  <si>
    <t>jiaozt@bnu.edu.cn</t>
  </si>
  <si>
    <t>Breon, Francois-Marie A/M-4639-2016; Zhang, Xiaoning/GPS-5614-2022; Cui, Lei/KDN-2218-2024; Kokhanovsky, Alexander/HIR-2688-2022; ding, anxin/Z-3725-2019; Kokhanovsky, Alexander/X-1930-2019; Wang, Zhuosen/HCI-3669-2022; Kokhanovsky, Alexander/IXN-7034-2023; amplification, ³ - Arctic/AAU-6640-2020; LIU, Yansui/T-6954-2019</t>
  </si>
  <si>
    <t>Zhang, Xiaoning/0000-0002-1352-5143; Kokhanovsky, Alexander/0000-0001-7110-223X; ding, anxin/0000-0001-6591-328X; Kokhanovsky, Alexander/0000-0001-7110-223X;</t>
  </si>
  <si>
    <t>National Key RAMP;D Program of China [2018YFA0605503]; National Natural Science Foundation of China [41571326]; NASA [NNX14AI73G, 80NSSC18K0642]; European Space Agency of ESRIN [4000118926/16/I-NB]; Arcti C Amplification: Climate Relevant Atmospheric and SurfaCe Processes, and Feedback Mechanisms (AC)3 - DFG (Deutsche Forschungsgemeinschaft) [SFB/TR 172]</t>
  </si>
  <si>
    <t>National Key RAMP;D Program of China; National Natural Science Foundation of China(National Natural Science Foundation of China (NSFC)); NASA(National Aeronautics &amp; Space Administration (NASA)); European Space Agency of ESRIN; Arcti C Amplification: Climate Relevant Atmospheric and SurfaCe Processes, and Feedback Mechanisms (AC)3 - DFG (Deutsche Forschungsgemeinschaft)(German Research Foundation (DFG))</t>
  </si>
  <si>
    <t>We thank the National Key R&amp;D Program of China (2018YFA0605503) and the National Natural Science Foundation of China (41571326) for supporting this research. RTLSR expertise was supported by NASA NNX14AI73G and 80NSSC18K0642. The work of Alexander Kokhanovsky was supported by the European Space Agency in the framework of ESRIN contract No. 4000118926/16/I-NB Scientific Exploitation of Operational Missions (SEOM) Sentinel-3 Snow (Sentinel-3 for Science, Land Study 1: Snow). Linlu Mei gratefully acknowledges the support of the SFB/TR 172 Arcti C Amplificati on: Climate Relevant Atmospheric and SurfaCe Processes, and Feedback Mechanisms (AC)3 in subproject B02 funded by the DFG (Deutsche Forschungsgemeinschaft). The bic-PT model was provided by Dr. Chuan Xiong. The authors would like to thank the participants from the Dome C Solar Radiation Research Project for releasing their snow BRDF data to the website of https://atmos.washington.edu/similar to sgwgroup/DC/data.html. Comments and suggestions by anonymous reviewers are greatly appreciated.</t>
  </si>
  <si>
    <t>10.1016/j.rse.2018.11.001</t>
  </si>
  <si>
    <t>HI7MQ</t>
  </si>
  <si>
    <t>WOS:000456640700016</t>
  </si>
  <si>
    <t>Sutherland, WJ; Fleishman, E; Clout, M; Gibbons, DW; Lickorish, F; Peck, LS; Pretty, J; Spalding, M; Ockendon, N</t>
  </si>
  <si>
    <t>Sutherland, William J.; Fleishman, Erica; Clout, Mick; Gibbons, David W.; Lickorish, Fiona; Peck, Lloyd S.; Pretty, Jules; Spalding, Mark; Ockendon, Nancy</t>
  </si>
  <si>
    <t>Ten Years On: A Review of the First Global Conservation Horizon Scan</t>
  </si>
  <si>
    <t>CLIMATE-CHANGE; LAND; IMPACT; PRODUCTIVITY; BIODIVERSITY; CULTIVATION; GOVERNANCE; BIOCHAR; OXYGEN; OCEAN</t>
  </si>
  <si>
    <t>Our first horizon scan, conducted in 2009, aimed to identify novel but poorly known issues with potentially significant effects on global conservation of biological diversity. Following completion of the tenth annual scan, we reviewed the 15 topics identified a decade ago and assessed their development in the scientific literature and news media. Five topics, including microplastic pollution, synthetic meat, and environmental applications of mobile-sensing technology, appeared to have had widespread salience and effects. The effects of six topics were moderate, three have not emerged, and the effects of one topic were low. The awareness of, and involvement in, these issues by 12 conservation organisations has increased for most issues since 2009.</t>
  </si>
  <si>
    <t>[Sutherland, William J.; Ockendon, Nancy] Univ Cambridge, Dept Zool, Conservat Sci Grp, David Attenborough Bldg,Pembroke St, Cambridge CB2 3QZ, England; [Fleishman, Erica] Colorado State Univ, Dept Fish Wildlife &amp; Conservat Biol, Ft Collins, CO 80523 USA; [Clout, Mick] Univ Auckland, Sch Biol Sci, Ctr Biodivers &amp; Biosecur, PB 92019, Auckland, New Zealand; [Gibbons, David W.] Royal Soc Protect Birds, RSPB Ctr Conservat Sci, Sandy SG19 2DL, Beds, England; [Gibbons, David W.] RSPB, David Attenborough Bldg,Pembroke St, Cambridge CB2 3QZ, England; [Lickorish, Fiona] UK Res &amp; Consultancy Serv RCS Ltd, Hereford HR4 8BU, England; [Peck, Lloyd S.] British Antarctic Survey, Nat Environm Res Council, Madingley Rd, Cambridge CB3 0ET, England; [Pretty, Jules] Univ Essex, Sch Biol Sci, Colchester CO4 3SQ, Essex, England; [Spalding, Mark] Univ Siena, Nat Conservancy, Global Marine Team, Dept Phys Earth &amp; Environm Sci, I-53100 Siena, Italy</t>
  </si>
  <si>
    <t>University of Cambridge; Colorado State University; University of Auckland; Royal Society for Protection of Birds; Royal Society for Protection of Birds; UK Research &amp; Innovation (UKRI); Natural Environment Research Council (NERC); NERC British Antarctic Survey; University of Essex; University of Siena</t>
  </si>
  <si>
    <t>Sutherland, WJ (corresponding author), Univ Cambridge, Dept Zool, Conservat Sci Grp, David Attenborough Bldg,Pembroke St, Cambridge CB2 3QZ, England.</t>
  </si>
  <si>
    <t>w.sutherland@zoo.cam.ac.uk</t>
  </si>
  <si>
    <t>Sutherland, William/B-1291-2013; Spalding, Mark/GVU-0739-2022; Pretty, Jules/D-4071-2012</t>
  </si>
  <si>
    <t>Lickorish, Fiona/0000-0002-0696-202X; Spalding, Mark/0000-0001-9456-4533; Ockendon, Nancy/0000-0001-5055-1079</t>
  </si>
  <si>
    <t>Natural Environment Research Council; Royal Society for the Protection of Birds; Arcadia; NERC [bas0100036] Funding Source: UKRI</t>
  </si>
  <si>
    <t>Natural Environment Research Council(UK Research &amp; Innovation (UKRI)Natural Environment Research Council (NERC)); Royal Society for the Protection of Birds; Arcadia; NERC(UK Research &amp; Innovation (UKRI)Natural Environment Research Council (NERC))</t>
  </si>
  <si>
    <t>We thank all of the participants in horizon scan exercises between 2009 and 2018. We are grateful to Nick Atkinson (Woodland Trust), Nigel Bourn (Butterfly Conservation), Pete Brotherton (Natural England), David Bullock and Rosie Hails (National Trust), Neil Burgess (UNEP-WCMC), Stuart Butchart (Birdlife International), Steve Gibson (JNCC), Martin Harper (RSPB), James Pearce-Higgins (British Trust for Ornithology), Mike Rands (Cambridge Conservation Initiative), Des Thompson (Scottish Natural Heritage), and Matt Walpole (Fauna &amp; Flora International) for responding to questions about their organisation's work on these topics. We thank Murray Douglas for advice relating to mobile-sensing technology. We thank the Natural Environment Research Council and the Royal Society for the Protection of Birds for continuing to fund these annual exercises. W.J.S. is funded by Arcadia.</t>
  </si>
  <si>
    <t>10.1016/j.tree.2018.12.003</t>
  </si>
  <si>
    <t>HJ1VK</t>
  </si>
  <si>
    <t>WOS:000456952500006</t>
  </si>
  <si>
    <t>Dyrdal, D</t>
  </si>
  <si>
    <t>Dyrdal, Didrik</t>
  </si>
  <si>
    <t>'Whaling and the Extermination of the Great Whale': Norwegian and British Debate about Whale Stocks in Antarctica, 1913-1939</t>
  </si>
  <si>
    <t>ENVIRONMENT AND HISTORY</t>
  </si>
  <si>
    <t>Antarctica; environmental consciousness; extinction; polar science; whaling; history of knowledge</t>
  </si>
  <si>
    <t>This article examines Norwegian and British investigations of the threat of Antarctic whale extinction in the interwar period. At the time, whaling fleets hunted populations of hundreds of thousands of whales into the remnants that exist today. From the perspective of scientists and observers at the time, however, it was less obvious that whale populations declined. The article investigates what experts and the public knew about the health of Antarctic whale stocks. It contributes to existing research about whale science and whaling diplomacy in two ways. First, it documents in more depth when and how a consensus about whale decline emerged. Secondly, it studies not only experts but also public discussion about the issue in the newspapers. It aims to understand the public assessment of whale stocks. The article finds that concern over Antarctic whaling surfaced in expert British circles from around 1913, but that it did not become a serious issue in Norway before the late 1920s. In the mid-1930s, accumulated statistics in conjunction with new methods created a rough consensus among experts that whale stocks had declined. From the late 1920s, there was intense Norwegian public interest in Antarctic whale stocks, which likewise moved to a consensus on decline around the mid-1930s. The media's attention to the whale stock issue, however, often depended on strong personalities and relied on different types of evidence.</t>
  </si>
  <si>
    <t>[Dyrdal, Didrik] Gullerasveien 61, N-0779 Oslo, Norway</t>
  </si>
  <si>
    <t>Dyrdal, D (corresponding author), Gullerasveien 61, N-0779 Oslo, Norway.</t>
  </si>
  <si>
    <t>didrikdyrdal@gmx.com</t>
  </si>
  <si>
    <t>WHITE HORSE PRESS</t>
  </si>
  <si>
    <t>ISLE OF HARRIS</t>
  </si>
  <si>
    <t>1 STROND, ISLE OF HARRIS HS5 3UD, ENGLAND</t>
  </si>
  <si>
    <t>0967-3407</t>
  </si>
  <si>
    <t>1752-7023</t>
  </si>
  <si>
    <t>ENVIRON HIST-UK</t>
  </si>
  <si>
    <t>Env. Hist.</t>
  </si>
  <si>
    <t>10.3197/096734018X15137949592043</t>
  </si>
  <si>
    <t>Environmental Studies; History</t>
  </si>
  <si>
    <t>Environmental Sciences &amp; Ecology; History</t>
  </si>
  <si>
    <t>HI2EF</t>
  </si>
  <si>
    <t>WOS:000456257300005</t>
  </si>
  <si>
    <t>Gaitán-Espitia, JD; González-Wevar, CA; Poulin, E; Cardenas, L</t>
  </si>
  <si>
    <t>Gaitan-Espitia, Juan D.; Gonzalez-Wevar, Claudio A.; Poulin, Elie; Cardenas, Leyla</t>
  </si>
  <si>
    <t>Antarctic and sub-Antarctic Nacella limpets reveal novel evolutionary characteristics of mitochondrial genomes in Patellogastropoda</t>
  </si>
  <si>
    <t>Mitogenomes; Patellogastropoda; Nacella; Gastropoda; Gene order; Phylogeny</t>
  </si>
  <si>
    <t>MOLECULAR PHYLOGENY; MITOGENOMICS; MOLLUSCA</t>
  </si>
  <si>
    <t>Mitochondrial genomes (mitogenomes) provide valuable phylogenetic information and genome-level characters that are useful in resolving evolutionary relationships within major lineages of gastropods. However, for more than one decade, these relationships and the phylogenetic position of Patellogastropoda have been inferred based on the genomic architecture as well as the nucleotide and protein sequences of a single representative, the limpet Lottia digitalis. This mitogenome exhibits extensive rearrangements and several repetitive units that may not represent universal features for Patellogastropoda. Here, we sequenced the complete mitogenomes of three Nacella limpets, providing new insights into the dynamics of gene order and phylogenetic relationships of Patellogastropoda. Comparative analyses revealed novel gene rearrangements in Gastropoda, characterised by two main translocations that affect the KARNI and the MYCWQ clusters in Nacella limpets. Our phylogenetic reconstructions using combined sequence datasets of 13 mitochondrial protein-coding genes and two rRNAs, recovered Patellogastropoda, and Gastropoda in general, as non-monophyletic. These findings could be related to the long-branch attraction tendency of these groups, and/or taxon sampling bias. In our novel mitogenome-based phylogenetic hypothesis, L. digitalis is placed in a sister position to Bivalvia and Heterobranchia, whereas Nacella limpets are placed sister to a clade containing Caenogastropoda + Neritimorpha and Vetigastropoda + Neomphalina.</t>
  </si>
  <si>
    <t>[Gaitan-Espitia, Juan D.] Univ Hong Kong, Swire Inst Marine Sci, Pokfulam, Hong Kong, Peoples R China; [Gaitan-Espitia, Juan D.] Univ Hong Kong, Sch Biol Sci, Pokfulam, Hong Kong, Peoples R China; [Gaitan-Espitia, Juan D.] CSIRO Oceans &amp; Atmosphere, GPO Box 1538, Hobart, Tas 7001, Australia; [Gaitan-Espitia, Juan D.; Cardenas, Leyla] Univ Austral Chile, Fac Ciencias, Inst Ciencias Ambientales &amp; Evolutivas, Casilla 567, Valdivia, Chile; [Gonzalez-Wevar, Claudio A.] Univ Austral Chile, Fac Ciencias, Inst Ciencias Marinas &amp; Limnol, Casilla 567, Valdivia, Chile; [Gonzalez-Wevar, Claudio A.; Poulin, Elie] Univ Chile, Fac Ciencias, Inst Ecol &amp; Biodiversidad, Dept Ciencias Ecol,Lab Ecol Mol, Santiago 3425, Chile</t>
  </si>
  <si>
    <t>University of Hong Kong; University of Hong Kong; Commonwealth Scientific &amp; Industrial Research Organisation (CSIRO); Universidad Austral de Chile; Universidad Austral de Chile; Universidad de Chile</t>
  </si>
  <si>
    <t>Gaitán-Espitia, JD (corresponding author), Univ Hong Kong, Swire Inst Marine Sci, Pokfulam, Hong Kong, Peoples R China.;Gaitán-Espitia, JD (corresponding author), Univ Hong Kong, Sch Biol Sci, Pokfulam, Hong Kong, Peoples R China.</t>
  </si>
  <si>
    <t>juadiegaitan@gmail.com</t>
  </si>
  <si>
    <t>Gaitan-Espitia, Juan Diego/A-9945-2012; Cardenas, Leyla/AAY-5671-2020; González-Wevar, Claudio Alejandro/AAD-6513-2021; Poulin, Elie/C-2654-2012</t>
  </si>
  <si>
    <t>Gaitan-Espitia, Juan Diego/0000-0001-8781-5736; Cardenas, Leyla/0000-0003-0676-6704; Poulin, Elie/0000-0001-7736-0969; cardenas, Leyla/0000-0003-0107-8638</t>
  </si>
  <si>
    <t>Instituto Antartico Chileno (INACH) [RT_27-14]; CSIRO-OCE postdoctoral fellowship; FONDAP Program [15150003]; Fondecyt Initiation Project [11140087]; [GAB PIA CONICYT ACT172065]</t>
  </si>
  <si>
    <t>Instituto Antartico Chileno (INACH); CSIRO-OCE postdoctoral fellowship; FONDAP Program(Comision Nacional de Investigacion Cientifica y Tecnologica (CONICYT)CONICYT FONDAP); Fondecyt Initiation Project(Comision Nacional de Investigacion Cientifica y Tecnologica (CONICYT)CONICYT FONDECYT);</t>
  </si>
  <si>
    <t>We would like to thank A/Prof Jan Strugnell, Prof Derek Wildman and two anonymous reviewers for their valuable comments on a previous version of the manuscript. This study was supported by the Instituto Antartico Chileno (INACH) with the grant No RT_27-14. JDGE was supported by a CSIRO-OCE postdoctoral fellowship. LC and CAGW were supported by the FONDAP Program, Project No 15150003. EP and CAGW were supported by the Project GAB PIA CONICYT ACT172065. CAGW was also supported by Fondecyt Initiation Project 11140087.</t>
  </si>
  <si>
    <t>10.1016/j.ympev.2018.10.036</t>
  </si>
  <si>
    <t>HI3YP</t>
  </si>
  <si>
    <t>WOS:000456387900001</t>
  </si>
  <si>
    <t>Ando, A; Kuroda, J; Werner, R; Hoernle, K; Huber, BT</t>
  </si>
  <si>
    <t>Ando, Atsushi; Kuroda, Junichiro; Werner, Reinhard; Hoernle, Kaj; Huber, Brian T.</t>
  </si>
  <si>
    <t>Post-Eocene intensification of deep-water circulation in the central South Pacific: Micropalaeontological clues from dredged sites along the eastern Manihiki Plateau margin</t>
  </si>
  <si>
    <t>TERRA NOVA</t>
  </si>
  <si>
    <t>ANTARCTIC CIRCUMPOLAR CURRENT; OCEAN CIRCULATION; MIOCENE; EOCENE; BIOSTRATIGRAPHY; STRATIGRAPHY; SEDIMENT; MA</t>
  </si>
  <si>
    <t>Reconstruction of early Cenozoic deep-water circulation is one of the keys to modelling Earth's greenhouse-to-icehouse surface evolution, but it has long been hampered by the paucity of information from the central South Pacific. To help overcome this knowledge gap, we present new micropalaeontological data from dredged carbonates (R/V Sonne Expedition SO193) at several eastern volcanic salients of the Manihiki Plateau. Interestingly, despite appreciable longitudinal separations among the dredged sites, ages indicated by the foraminiferal assemblages are consistently around the Middle Eocene (including mixed Turonian [Late Cretaceous]/Eocene at a single site), suggesting widespread post-Eocene cessation of the pelagic sedimentation. By integrating with independent seismic and chronostratigraphic data (Deep Sea Drilling Project Leg 33) for large-scale erosion of top-Eocene-Oligocene sedimentary units on the eastern Manihiki Plateau, our results can be viewed as novel physical evidence for the intensification of central South Pacific deep-water circulation since the Eocene/Oligocene climatic transition.</t>
  </si>
  <si>
    <t>[Ando, Atsushi; Huber, Brian T.] Smithsonian Inst, Natl Museum Nat Hist, Dept Paleobiol, Washington, DC 20560 USA; [Ando, Atsushi] BugWare Inc, Tallahassee, FL 32312 USA; [Kuroda, Junichiro] Univ Tokyo, Atmosphere &amp; Ocean Res Inst, Chiba, Japan; [Werner, Reinhard; Hoernle, Kaj] GEOMAR Helmholtz Ctr Ocean Res Kiel, Kiel, Germany; [Hoernle, Kaj] Christian Albrechts Univ Kiel, Inst Geosci, Kiel, Germany</t>
  </si>
  <si>
    <t>Smithsonian Institution; Smithsonian National Museum of Natural History; University of Tokyo; Helmholtz Association; GEOMAR Helmholtz Center for Ocean Research Kiel; University of Kiel</t>
  </si>
  <si>
    <t>Ando, A (corresponding author), BugWare Inc, Tallahassee, FL 32312 USA.</t>
  </si>
  <si>
    <t>AndoA@si.edu</t>
  </si>
  <si>
    <t>Hoernle, Kaj/AAF-9500-2021; Werner, Reinhard/AAF-5445-2021; Kuroda, Junichiro/A-3007-2016</t>
  </si>
  <si>
    <t>Kuroda, Junichiro/0000-0002-2218-4854</t>
  </si>
  <si>
    <t>German Ministry of Education and Research [03G0193A]</t>
  </si>
  <si>
    <t>German Ministry of Education and Research(Federal Ministry of Education &amp; Research (BMBF))</t>
  </si>
  <si>
    <t>German Ministry of Education and Research, Grant/Award Number: BMBF, Grant 03G0193A</t>
  </si>
  <si>
    <t>0954-4879</t>
  </si>
  <si>
    <t>1365-3121</t>
  </si>
  <si>
    <t>Terr. Nova</t>
  </si>
  <si>
    <t>10.1111/ter.12366</t>
  </si>
  <si>
    <t>HI6RA</t>
  </si>
  <si>
    <t>WOS:000456581900004</t>
  </si>
  <si>
    <t>Walton, DWH</t>
  </si>
  <si>
    <t>Walton, D. W. H.</t>
  </si>
  <si>
    <t>Scientific publishing and Plan S</t>
  </si>
  <si>
    <t>10.1017/S0954102018000573</t>
  </si>
  <si>
    <t>WOS:000459031700001</t>
  </si>
  <si>
    <t>de Vera, JP; Alawi, M; Backhaus, T; Baqué, M; Billi, D; Böttger, U; Berger, T; Bohmeier, M; Cockell, C; Demets, R; Noetzel, RD; Edwards, H; Elsaesser, A; Fagliarone, C; Fiedler, A; Foing, B; Foucher, F; Fritz, J; Hanke, F; Herzog, T; Horneck, G; Hübers, HW; Huwe, B; Joshi, J; Kozyrovska, N; Kruchten, M; Lasch, P; Lee, N; Leuko, S; Leya, T; Lorek, A; Martínez-Frías, J; Meessen, J; Moritz, S; Moeller, R; Olsson-Francis, K; Onofri, S; Ott, S; Pacelli, C; Podolich, O; Rabbow, E; Reitz, G; Rettberg, P; Reva, O; Rothschild, L; Sancho, LG; Schulze-Makuch, D; Selbmann, L; Serrano, P; Szewzyk, U; Verseux, C; Wadsworth, J; Wagner, D; Westall, F; Wolter, D; Zucconi, L</t>
  </si>
  <si>
    <t>de Vera, Jean-Pierre; Alawi, Mashal; Backhaus, Theresa; Baque, Mickael; Billi, Daniela; Boettger, Ute; Berger, Thomas; Bohmeier, Maria; Cockell, Charles; Demets, Rene; de la Torre Noetzel, Rosa; Edwards, Howell; Elsaesser, Andreas; Fagliarone, Claudia; Fiedler, Annelie; Foing, Bernard; Foucher, Frederic; Fritz, Joerg; Hanke, Franziska; Herzog, Thomas; Horneck, Gerda; Huebers, Heinz-Wilhelm; Huwe, Bjoern; Joshi, Jasmin; Kozyrovska, Natalia; Kruchten, Martha; Lasch, Peter; Lee, Natuschka; Leuko, Stefan; Leya, Thomas; Lorek, Andreas; Martinez-Frias, Jesus; Meessen, Joachim; Moritz, Sophie; Moeller, Ralf; Olsson-Francis, Karen; Onofri, Silvano; Ott, Sieglinde; Pacelli, Claudia; Podolich, Olga; Rabbow, Elke; Reitz, Guenther; Rettberg, Petra; Reva, Oleg; Rothschild, Lynn; Garcia Sancho, Leo; Schulze-Makuch, Dirk; Selbmann, Laura; Serrano, Paloma; Szewzyk, Ulrich; Verseux, Cyprien; Wadsworth, Jennifer; Wagner, Dirk; Westall, Frances; Wolter, David; Zucconi, Laura</t>
  </si>
  <si>
    <t>Limits of Life and the Habitability of Mars: The ESA Space Experiment BIOMEX on the ISS</t>
  </si>
  <si>
    <t>EXPOSE-R2; BIOMEX; Habitability; Limits of life; Extremophiles; Mars</t>
  </si>
  <si>
    <t>LOW-EARTH-ORBIT; SIMULATED MARTIAN CONDITIONS; BACILLUS-SUBTILIS SPORES; SIBERIAN PERMAFROST; METHANOGENIC ARCHAEA; RADIATION-RESISTANCE; UV-RADIATION; SURVIVAL; METHANE; LICHEN</t>
  </si>
  <si>
    <t>BIOMEX (BIOlogy and Mars EXperiment) is an ESA/Roscosmos space exposure experiment housed within the exposure facility EXPOSE-R2 outside the Zvezda module on the International Space Station (ISS). The design of the multiuser facility supports-among others-the BIOMEX investigations into the stability and level of degradation of space-exposed biosignatures such as pigments, secondary metabolites, and cell surfaces in contact with a terrestrial and Mars analog mineral environment. In parallel, analysis on the viability of the investigated organisms has provided relevant data for evaluation of the habitability of Mars, for the limits of life, and for the likelihood of an interplanetary transfer of life (theory of lithopanspermia). In this project, lichens, archaea, bacteria, cyanobacteria, snow/permafrost algae, meristematic black fungi, and bryophytes from alpine and polar habitats were embedded, grown, and cultured on a mixture of martian and lunar regolith analogs or other terrestrial minerals. The organisms and regolith analogs and terrestrial mineral mixtures were then exposed to space and to simulated Mars-like conditions by way of the EXPOSE-R2 facility. In this special issue, we present the first set of data obtained in reference to our investigation into the habitability of Mars and limits of life. This project was initiated and implemented by the BIOMEX group, an international and interdisciplinary consortium of 30 institutes in 12 countries on 3 continents. Preflight tests for sample selection, results from ground-based simulation experiments, and the space experiments themselves are presented and include a complete overview of the scientific processes required for this space experiment and postflight analysis. The presented BIOMEX concept could be scaled up to future exposure experiments on the Moon and will serve as a pretest in low Earth orbit.</t>
  </si>
  <si>
    <t>[de Vera, Jean-Pierre; Baque, Mickael; Lorek, Andreas; Wolter, David] German Aerosp Ctr DLR, Inst Planetary Res Management &amp; Infrastruct, Res Grp Astrobiol Labs, Rutherfordstr 2, D-12489 Berlin, Germany; [Alawi, Mashal; Serrano, Paloma; Wagner, Dirk] GFZ, German Res Ctr Geosci, Helmholtz Ctr Potsdam, Sect Geomicrobiol 5 3, Potsdam, Germany; [Backhaus, Theresa; Kruchten, Martha; Meessen, Joachim; Ott, Sieglinde] HHU, Inst Bot, Dusseldorf, Germany; [Billi, Daniela; Fagliarone, Claudia; Verseux, Cyprien] Univ Roma Tor Vergata, Dept Biol, Rome, Italy; [Boettger, Ute; Hanke, Franziska; Huebers, Heinz-Wilhelm] German Aerosp Ctr DLR, Inst Opt Sensor Syst, Berlin, Germany; [Berger, Thomas; Bohmeier, Maria; Horneck, Gerda; Leuko, Stefan; Moeller, Ralf; Rabbow, Elke; Reitz, Guenther; Rettberg, Petra] German Aerosp Ctr DLR, Inst Aerosp Med, Radiat Biol Dept, Cologne, Germany; [Cockell, Charles; Wadsworth, Jennifer] Univ Edinburgh, Sch Phys &amp; Astron, Edinburgh, Midlothian, Scotland; [Demets, Rene; Foing, Bernard] European Space Agcy, European Space Res &amp; Technol Ctr ESTEC, Noordwijk, Netherlands; [de la Torre Noetzel, Rosa] INTA, Dept Observac Tierra, Madrid, Spain; [Edwards, Howell] Univ Bradford, Raman Spect Grp, Univ Analyt Ctr, Div Chem &amp; Forens Sci, Bradford, W Yorkshire, England; [Elsaesser, Andreas] Frei Univ Berlin, Expt Mol Biophys, Inst Expt Phys, Berlin, Germany; [Fiedler, Annelie; Huwe, Bjoern; Joshi, Jasmin; Moritz, Sophie] Univ Potsdam, Biodivers Res Systemat Bot, Potsdam, Germany; [Foucher, Frederic; Westall, Frances] CNRS, Ctr Biophys Mol, UPR 4301, Orleans, France; [Fritz, Joerg] Museum Nat Kunde, Leibniz Inst Evolut &amp; Biodivers Sci, Berlin, Germany; [Herzog, Thomas] TH Wildau Tech Univ Appl Sci, Wildau, Germany; [Joshi, Jasmin] TH HSR Rapperswil, Inst Landscape &amp; Open Space, Rapperswil, Switzerland; [Kozyrovska, Natalia; Podolich, Olga] NASU, Inst Mol Biol &amp; Genet, Kiev, Ukraine; [Lasch, Peter] Robert Koch Inst, Ctr Biol Threats &amp; Special Pathogens, Berlin, Germany; [Lee, Natuschka] Umea Univ, Dept Ecol &amp; Environm Sci, Umea, Sweden; [Leya, Thomas] Extremophile Res &amp; Biobank CCCryo, Fraunhofer Inst Cell Therapy &amp; Immunol, Branch Bioanalyt &amp; Bioproc IZI BB, Potsdam, Germany; [Martinez-Frias, Jesus] Univ Complutense Madrid, CSIC, Inst Geociencias, Madrid, Spain; [Olsson-Francis, Karen] Open Univ, Sch Environm Earth &amp; Ecosyst Sci, Milton Keynes, Bucks, England; [Onofri, Silvano; Pacelli, Claudia; Selbmann, Laura; Zucconi, Laura] Univ Tuscia, Dept Ecol &amp; Biol Sci, Viterbo, Italy; [Reva, Oleg] Univ Pretoria, Dept Biochem Genet &amp; Microbiol, Ctr Bioinformat &amp; Computat Biol, Pretoria, South Africa; [Rothschild, Lynn] NASA, Ames Res Ctr, Moffett Field, CA 94035 USA; [Garcia Sancho, Leo] Univ Complutense Madrid, Madrid, Spain; [Schulze-Makuch, Dirk] Tech Univ Berlin, ZAA, Berlin, Germany; [Selbmann, Laura] Italian Natl Antarctic Museum MNA, Mycol Sect, Genoa, Italy; [Serrano, Paloma] Alfred Wegener Inst, Helmholtz Ctr Polar &amp; Marine Res, Potsdam, Germany; [Szewzyk, Ulrich] TU Berlin, Inst Environm Technol, Environm Microbiol, Berlin, Germany; [Wagner, Dirk] Univ Potsdam, Inst Earth &amp; Environm Sci, Potsdam, Germany</t>
  </si>
  <si>
    <t>Helmholtz Association; German Aerospace Centre (DLR); Helmholtz Association; Helmholtz-Center Potsdam GFZ German Research Center for Geosciences; University of Rome Tor Vergata; Helmholtz Association; German Aerospace Centre (DLR); Helmholtz Association; German Aerospace Centre (DLR); University of Edinburgh; European Space Agency; Consejo Superior de Investigaciones Cientificas (CSIC); CSIC - Centro de Astrobiologia (INTA); University of Bradford; Free University of Berlin; University of Potsdam; Centre National de la Recherche Scientifique (CNRS); CNRS - Institute of Chemistry (INC); Leibniz Institut fur Evolutions und Biodiversitatsforschung; University of Applied Sciences Wildau; National Academy of Sciences Ukraine; Institute of Molecular Biology &amp; Genetics of NASU; Robert Koch Institute; Umea University; Fraunhofer Gesellschaft; Complutense University of Madrid; Consejo Superior de Investigaciones Cientificas (CSIC); CSIC-UCM - Instituto de Geociencias (IGEO); Open University - UK; Tuscia University; University of Pretoria; National Aeronautics &amp; Space Administration (NASA); NASA Ames Research Center; Complutense University of Madrid; Technical University of Berlin; Helmholtz Association; Alfred Wegener Institute, Helmholtz Centre for Polar &amp; Marine Research; Technical University of Berlin; University of Potsdam</t>
  </si>
  <si>
    <t>de Vera, JP (corresponding author), German Aerosp Ctr DLR, Inst Planetary Res Management &amp; Infrastruct, Res Grp Astrobiol Labs, Rutherfordstr 2, D-12489 Berlin, Germany.</t>
  </si>
  <si>
    <t>jean-pierre.devera@dlr.de</t>
  </si>
  <si>
    <t>Wagner, Dirk/C-3932-2012; Rettberg, Petra/AAI-4493-2021; Verseux, Cyprien/HPM-2496-2023; de la Torre Noetzel, Rosa/AAA-2920-2019; Billi, Daniela/AAT-6690-2021; Reitz, Guenther/ABC-8921-2021; Kozyrovska, Natalia O./P-1635-2017; Lee, Natuschka/AAF-9424-2020; Pacelli, Claudia/AAI-2677-2020; Baqué, Mickael/AAC-8933-2019; Lee, Natuschka M./I-2106-2015; Zucconi, L./U-9781-2018; Selbmann, Laura/L-3056-2013; Elsaesser, Andreas/K-2264-2014; Reva, Oleg N/A-7316-2009; Berger, Thomas/E-8495-2010; SANCHO, LEOPOLDO/G-9120-2015</t>
  </si>
  <si>
    <t>Wagner, Dirk/0000-0001-5064-497X; Rettberg, Petra/0000-0003-4439-2395; Verseux, Cyprien/0000-0001-7288-8289; Lee, Natuschka/0000-0003-3611-9882; Pacelli, Claudia/0000-0001-5113-4293; Baqué, Mickael/0000-0002-6696-6030; Lee, Natuschka M./0000-0003-3611-9882; Zucconi, L./0000-0001-9793-2303; Selbmann, Laura/0000-0002-8967-3329; Foucher, Frederic/0000-0002-6037-8633; Reva, Oleg/0000-0002-5459-2772; BILLI, DANIELA/0000-0002-9363-2415; de la Torre Noetzel, Maria Rosa/0000-0003-2394-0268; Martinez-Frias, Jesus/0000-0002-2609-4485; ONOFRI, Silvano/0000-0001-8872-1440; SANCHO, LEOPOLDO/0000-0002-4751-7475; Joshi, Jasmin/0000-0002-4210-2465; Kozyrovska, Natalia/0000-0002-2849-3471; Berger, Thomas/0000-0003-3319-5740; Fagliarone, Claudia/0000-0001-9530-1591; Lasch, Peter/0000-0001-6193-3144</t>
  </si>
  <si>
    <t>Italian Space Agency (ASI) [051-R.0, 063-R.0]; German Aerospace Center (DLR-grants: Department of Infrastructure and Management, Astrobiology Laboratories through a grant DLR-FuW-Project BIOMEX/Department of Radiation Biology by grant DLR-FuE-Projekt ISS LIFE, Programm RF-FuW, Teilprogramm 475) [2474128]; German Helmholtz Association through the Helmholtz-Alliance Planetary Evolution and Life; Spanish Ministry of Economy, Industry and Competitiveness (MINECO, project SUBLIMAS SUrvival of Bacteria and LIchens on Mars Analogs and Space) [ESP2015-69810-R]; Spanish Ministry of Economy, Industry and Competitiveness (MINECO) [CTM2015-64728-C2-1-R]; National Academy of Sciences of Ukraine [47/2017]; Alexander von Humboldt Foundation; German Federal Ministry of Economics and Technology (BMWi) [50WB1152, 50WB1153]; Italian Antarctic National Museum (MNA); ERC Advanced Grant HOME [339231]; ESA; BIOMEX project [ESA-ILSRA 2009-0834]; European Research Council (ERC) [339231] Funding Source: European Research Council (ERC)</t>
  </si>
  <si>
    <t>Italian Space Agency (ASI)(Agenzia Spaziale Italiana (ASI)); German Aerospace Center (DLR-grants: Department of Infrastructure and Management, Astrobiology Laboratories through a grant DLR-FuW-Project BIOMEX/Department of Radiation Biology by grant DLR-FuE-Projekt ISS LIFE, Programm RF-FuW, Teilprogramm 475); German Helmholtz Association through the Helmholtz-Alliance Planetary Evolution and Life; Spanish Ministry of Economy, Industry and Competitiveness (MINECO, project SUBLIMAS SUrvival of Bacteria and LIchens on Mars Analogs and Space); Spanish Ministry of Economy, Industry and Competitiveness (MINECO)(Spanish Government); National Academy of Sciences of Ukraine; Alexander von Humboldt Foundation(Alexander von Humboldt Foundation); German Federal Ministry of Economics and Technology (BMWi)(Federal Ministry for Economic Affairs and Energy (BMWi)); Italian Antarctic National Museum (MNA); ERC Advanced Grant HOME(European Research Council (ERC)); ESA(European Space Agency); BIOMEX project; European Research Council (ERC)(European Research Council (ERC)Spanish Government)</t>
  </si>
  <si>
    <t>This research was supported by the Italian Space Agency (ASI grant BIOMEX Cyano 051-R.0 to D.B., ASI grant BIOMEX MicroColonial Fungi 063-R.0 to S.O.); the German Aerospace Center (DLR-grants: Department of Infrastructure and Management, Astrobiology Laboratories through a grant DLR-FuW-Project BIOMEX (2474128)/Department of Radiation Biology supported by the grant DLR-FuE-Projekt ISS LIFE, Programm RF-FuW, Teilprogramm 475); the German Helmholtz Association through the Helmholtz-Alliance Planetary Evolution and Life; the Spanish Ministry of Economy, Industry and Competitiveness (MINECO, project SUBLIMAS SUrvival of Bacteria and LIchens on Mars Analogs and Space, ESP2015-69810-R, 2015, to R. de la Torre, and project CTM2015-64728-C2-1-R to L.G. Sancho); and the National Academy of Sciences of Ukraine (grant 47/2017). We also kindly acknowledge support from the Alexander von Humboldt Foundation, the German Federal Ministry of Economics and Technology (BMWi: grant to D.W. (50WB1152) and S.O., T.B. (50WB1153) in the frame of the BIOMEX project). L.S. acknowledges The Italian Antarctic National Museum (MNA) for financial support to the Culture Collection of Fungi From Extreme Environments (CCFEE). Also, Dirk Schulze-Makuch acknowledges the support of the ERC Advanced Grant HOME (#339231). We would like to thank personally Antje Hermelink and the Robert Koch Institute for the SEM images, and Victor Parro (Centro de Astrobiologia) for his opinion and suggestions concerning microbial survival to perchlorate exposure. Thank you also to Ralf Liebermann as well as Dorit Siebert and Sandra Jonsson, University of Potsdam, for supporting sample handling. The authors express appreciation to Mr. V'yacheslav Moskaluyk for excellent service regarding the examination of extracellular membrane vesicles, using a scanning electron microscope. We would like to express a special thank you to the BGR for the logistics for the necessary field work in Antarctica during the GANOVEX 10 expedition so that the collection of samples within Mars-analog field sites for BIOMEX was possible, and we are very thankful to Andreas Laufer, the expedition leader.; We thank ESA for supporting the EXPOSE experiments and in particular the BIOMEX project (ESA-ILSRA 2009-0834, PI: J.-P. de Vera), and we thank the cosmonauts for their excellent EVA work. Thank you also for the final dose calculation and providence of data by RedShift. Moreover, we would like to thank the anonymous reviewers for constructive feedback.</t>
  </si>
  <si>
    <t>10.1089/ast.2018.1897</t>
  </si>
  <si>
    <t>HR7WB</t>
  </si>
  <si>
    <t>Green Submitted, Green Accepted, hybrid, Green Published</t>
  </si>
  <si>
    <t>WOS:000463364800001</t>
  </si>
  <si>
    <t>Pacelli, C; Selbmann, L; Zucconi, L; Coleine, C; de Vera, JP; Rabbow, E; Böttger, U; Dadachova, E; Onofri, S</t>
  </si>
  <si>
    <t>Pacelli, Claudia; Selbmann, Laura; Zucconi, Laura; Coleine, Claudia; de Vera, Jean-Pierre; Rabbow, Elke; Boettger, Ute; Dadachova, Ekaterina; Onofri, Silvano</t>
  </si>
  <si>
    <t>Responses of the Black Fungus Cryomyces antarcticus to Simulated Mars and Space Conditions on Rock Analogs</t>
  </si>
  <si>
    <t>Astrobiology; Radiation resistance; Biosignatures; Extremophilic microorganisms; Raman spectroscopy</t>
  </si>
  <si>
    <t>IONIZING-RADIATION; LIFE DETECTION; SURVIVAL; RESISTANCE; BIOMEX; DESICCATION; RAMAN; MICROORGANISMS; HABITABILITY; EXOMARS</t>
  </si>
  <si>
    <t>The BIOMEX (BIOlogy and Mars Experiment) is part of the European Space Agency (ESA) space mission EXPOSE-R2 in Low-Earth Orbit, devoted to exposing microorganisms for 1.5 years to space and simulated Mars conditions on the International Space Station. In preparing this mission, dried colonies of the Antarctic cryptoendolithic black fungus Cryomyces antarcticus CCFEE 515, grown on martian and lunar analog regolith pellets, were subjected to several ground-based preflight tests, Experiment Verification Tests, and Science Verification Tests (SVTs) that were performed to verify (i) the resistance of our model organism to space stressors when grown on extraterrestrial rock analogs and (ii) the possibility of detecting biomolecules as potential biosignatures. Here, the results of the SVTs, the last set of experiments, which were performed in ultraviolet radiation combined with simulated space vacuum or simulated martian conditions, are reported. The results demonstrate that C. antarcticus was able to tolerate the conditions of the SVT experiment, regardless of the substratum in which it was grown. DNA maintained high integrity after treatments and was confirmed as a possible biosignature; melanin, which was chosen to be a target for biosignature detection, was unambiguously detected by Raman spectroscopy.</t>
  </si>
  <si>
    <t>[Pacelli, Claudia; Selbmann, Laura; Zucconi, Laura; Coleine, Claudia; Onofri, Silvano] Univ Tuscia, Dept Ecol &amp; Biol Sci DEB, Largo Univ Snc, I-01100 Viterbo, Italy; [Selbmann, Laura] Italian Antarctic Natl Museum MNA, Sect Mycol, Genoa, Italy; [de Vera, Jean-Pierre] German Aerosp Ctr DLR Berlin, Inst Planetary Res, Berlin, Germany; [Rabbow, Elke] German Aerosp Ctr, Inst Aerosp Med DLR, Cologne, Germany; [Boettger, Ute] German Aerosp Ctr DLR Berlin, Inst Opt Sensor Syst, Berlin, Germany; [Dadachova, Ekaterina] Univ Saskatchewan, Coll Pharm &amp; Nutr, Saskatoon, SK, Canada</t>
  </si>
  <si>
    <t>Tuscia University; Helmholtz Association; German Aerospace Centre (DLR); Helmholtz Association; German Aerospace Centre (DLR); Helmholtz Association; German Aerospace Centre (DLR); University of Saskatchewan</t>
  </si>
  <si>
    <t>Selbmann, L (corresponding author), Univ Tuscia, Dept Ecol &amp; Biol Sci DEB, Largo Univ Snc, I-01100 Viterbo, Italy.</t>
  </si>
  <si>
    <t>selbmann@unitus.it</t>
  </si>
  <si>
    <t>Zucconi, L./U-9781-2018; Selbmann, Laura/L-3056-2013; Pacelli, Claudia/AAI-2677-2020; Coleine, Claudia/AAE-1889-2020</t>
  </si>
  <si>
    <t>Zucconi, L./0000-0001-9793-2303; Selbmann, Laura/0000-0002-8967-3329; Pacelli, Claudia/0000-0001-5113-4293; Coleine, Claudia/0000-0002-9289-6179; ONOFRI, Silvano/0000-0001-8872-1440</t>
  </si>
  <si>
    <t>10.1089/ast.2016.1631</t>
  </si>
  <si>
    <t>WOS:000463364800006</t>
  </si>
  <si>
    <t>Huwe, B; Fiedler, A; Moritz, S; Rabbow, E; de Vera, JP; Joshi, J</t>
  </si>
  <si>
    <t>Huwe, Bjoern; Fiedler, Annelie; Moritz, Sophie; Rabbow, Elke; de Vera, Jean Pierre; Joshi, Jasmin</t>
  </si>
  <si>
    <t>Mosses in Low Earth Orbit: Implications for the Limits of Life and the Habitability of Mars</t>
  </si>
  <si>
    <t>Extremotolerant; Bryophyte; Plant performance; Grimmia sp; Irradiation; UV irradiation</t>
  </si>
  <si>
    <t>DOSE IONIZING-RADIATION; XANTHOPHYLL CYCLE INTERCONVERSIONS; DESICCATION-TOLERANCE; CHLOROPHYLL FLUORESCENCE; ANTARCTIC MOSS; PIGMENT COMPOSITION; EARLY EVOLUTION; OUTER-SPACE; PLANT SEEDS; B RADIATION</t>
  </si>
  <si>
    <t>As a part of the European Space Agency mission EXPOSE-R2 on the International Space Station (ISS), the BIOMEX (Biology and Mars Experiment) experiment investigates the habitability of Mars and the limits of life. In preparation for the mission, experimental verification tests and scientific verification tests simulating different combinations of abiotic space- and Mars-like conditions were performed to analyze the resistance of a range of model organisms. The simulated abiotic space- and Mars-stressors were extreme temperatures, vacuum, and Mars-like surface ultraviolet (UV) irradiation in different atmospheres. We present for the first time simulated space exposure data of mosses using plantlets of the bryophyte genus Grimmia, which is adapted to high altitudinal extreme abiotic conditions at the Swiss Alps. Our preflight tests showed that severe UVR200-400nm irradiation with the maximal dose of 5 and 6.8 x 10(5) kJ center dot m(-2), respectively, was the only stressor with a negative impact on the vitality with a 37% (terrestrial atmosphere) or 36% reduction (space- and Mars-like atmospheres) in photosynthetic activity. With every exposure to UVR200-400nm 10(5) kJ center dot m(-2), the vitality of the bryophytes dropped by 6%. No effect was found, however, by any other stressor. As the mosses were still vital after doses of ultraviolet radiation (UVR) expected during the EXPOSE-R2 mission on ISS, we show that this earliest extant lineage of land plants is highly resistant to extreme abiotic conditions.</t>
  </si>
  <si>
    <t>[Huwe, Bjoern; Fiedler, Annelie; Moritz, Sophie; Joshi, Jasmin] Univ Potsdam, Biodivers Res Systemat Bot, Potsdam, Germany; [Rabbow, Elke] German Aerosp Ctr DLR, Inst Aerosp Med, Radiat Biol, Cologne, Germany; [de Vera, Jean Pierre] German Aerosp Ctr DLR, Inst Planetary Res, Management &amp; Infrastruct, Astrobiol Labs, Berlin, Germany; [Joshi, Jasmin] TH HSR Rapperswil, Inst Landscape &amp; Open Space, Seestr 10, CH-8640 Rapperswil, Switzerland</t>
  </si>
  <si>
    <t>University of Potsdam; Helmholtz Association; German Aerospace Centre (DLR); Helmholtz Association; German Aerospace Centre (DLR)</t>
  </si>
  <si>
    <t>Joshi, J (corresponding author), TH HSR Rapperswil, Inst Landscape &amp; Open Space, Seestr 10, CH-8640 Rapperswil, Switzerland.</t>
  </si>
  <si>
    <t>jasmin.joshi@hsr.ch</t>
  </si>
  <si>
    <t>Joshi, Jasmin/0000-0002-4210-2465</t>
  </si>
  <si>
    <t>10.1089/ast.2018.1889</t>
  </si>
  <si>
    <t>WOS:000463364800007</t>
  </si>
  <si>
    <t>Hoffmann, AA; Rymer, PD; Byrne, M; Ruthrof, KX; Whinam, J; McGeoch, M; Bergstrom, DM; Guerin, GR; Sparrow, B; Joseph, L; Hill, SJ; Andrew, NR; Camac, J; Bell, N; Riegler, M; Gardner, JL; Williams, SE</t>
  </si>
  <si>
    <t>Hoffmann, Ary A.; Rymer, Paul D.; Byrne, Margaret; Ruthrof, Katinka X.; Whinam, Jennie; McGeoch, Melodie; Bergstrom, Dana M.; Guerin, Greg R.; Sparrow, Ben; Joseph, Leo; Hill, Sarah J.; Andrew, Nigel R.; Camac, James; Bell, Nicholas; Riegler, Markus; Gardner, Janet L.; Williams, Stephen E.</t>
  </si>
  <si>
    <t>Impacts of recent climate change on terrestrial flora and fauna: Some emerging Australian examples</t>
  </si>
  <si>
    <t>AUSTRAL ECOLOGY</t>
  </si>
  <si>
    <t>biodiversity; biotic interactions; climate change; terrestrial</t>
  </si>
  <si>
    <t>MOUNTAIN PYGMY-POSSUM; BURRAMYS-PARVUS MARSUPIALIA; ELEVATED ATMOSPHERIC CO2; SOUTH-EASTERN AUSTRALIA; TROPICAL RAIN-FORESTS; BODY-SIZE; TEMPORAL VARIATION; HIGH-TEMPERATURES; SNOWY MOUNTAINS; EUCALYPT FOREST</t>
  </si>
  <si>
    <t>The effects of anthropogenic climate change on biodiversity are well known for some high-profile Australian marine systems, including coral bleaching and kelp forest devastation. Less well-published are the impacts of climate change being observed in terrestrial ecosystems, although ecological models have predicted substantial changes are likely. Detecting and attributing terrestrial changes to anthropogenic factors is difficult due to the ecological importance of extreme conditions, the noisy nature of short-term data collected with limited resources, and complexities introduced by biotic interactions. Here, we provide a suite of case studies that have considered possible impacts of anthropogenic climate change on Australian terrestrial systems. Our intention is to provide a diverse collection of stories illustrating how Australian flora and fauna are likely responding to direct and indirect effects of anthropogenic climate change. We aim to raise awareness rather than be comprehensive. We include case studies covering canopy dieback in forests, compositional shifts in vegetation, positive feedbacks between climate, vegetation and disturbance regimes, local extinctions in plants, size changes in birds, phenological shifts in reproduction and shifting biotic interactions that threaten communities and endangered species. Some of these changes are direct and clear cut, others are indirect and less clearly connected to climate change; however, all are important in providing insights into the future state of terrestrial ecosystems. We also highlight some of the management issues relevant to conserving terrestrial communities and ecosystems in the face of anthropogenic climate change.</t>
  </si>
  <si>
    <t>[Hoffmann, Ary A.; Bell, Nicholas] Univ Melbourne, Bio21 Inst, Sch BioSci, Pest &amp; Environm Adaptat Res Grp, Melbourne, Vic 3010, Australia; [Rymer, Paul D.; Riegler, Markus] Univ Western Sydney, Hawkesbury Inst Environm, Penrith, NSW, Australia; [Byrne, Margaret] Western Australian Dept Biodivers Conservat &amp; Att, Sci Div, Biodivers &amp; Conservat Sci, Bentley Delivery Ctr, Bentley, WA, Australia; [Ruthrof, Katinka X.] Murdoch Univ, Sch Vet &amp; Life Sci, Murdoch, WA, Australia; [Ruthrof, Katinka X.] Dept Biodivers Conservat &amp; Attract, Kings Pk Sci, Perth, WA, Australia; [Whinam, Jennie] Univ Tasmania, Geog &amp; Spatial Sci, Hobart, Tas, Australia; [McGeoch, Melodie] Monash Univ, Sch Biol Sci, Melbourne, Vic, Australia; [Bergstrom, Dana M.] Australian Antarctic Div, Kingston, Tas, Australia; [Guerin, Greg R.; Sparrow, Ben] Univ Adelaide, Sch Biol Sci &amp; Environm Inst, TERN, Adelaide, SA, Australia; [Joseph, Leo] CSIRO, Natl Res Collect Australia, Australian Natl Wildlife Collect, Canberra, ACT, Australia; [Hill, Sarah J.; Andrew, Nigel R.] Univ New England, Insect Ecol Lab, Ctr Excellence Behav &amp; Physiol Ecol, Armidale, NSW, Australia; [Camac, James] Univ Melbourne, Ctr Excellence Biosecur Risk Anal, Melbourne, Vic, Australia; [Gardner, Janet L.] Australian Natl Univ, Res Sch Biol, Div Ecol &amp; Evolut, Canberra, ACT, Australia; [Williams, Stephen E.] James Cook Univ, Coll Sci &amp; Engn, Ctr Trop Environm &amp; Sustainabil Sci, Townsville, Qld, Australia</t>
  </si>
  <si>
    <t>University of Melbourne; Melbourne Genomics Health Alliance; Western Sydney University; Murdoch University; University of Tasmania; Melbourne Genomics Health Alliance; Monash University; Australian Antarctic Division; University of Adelaide; Commonwealth Scientific &amp; Industrial Research Organisation (CSIRO); University of New England; Melbourne Genomics Health Alliance; University of Melbourne; Australian National University; James Cook University</t>
  </si>
  <si>
    <t>Hoffmann, AA (corresponding author), Univ Melbourne, Bio21 Inst, Sch BioSci, Pest &amp; Environm Adaptat Res Grp, Melbourne, Vic 3010, Australia.</t>
  </si>
  <si>
    <t>ary@unimelb.edu.au</t>
  </si>
  <si>
    <t>Hill, Sarah J/B-9891-2008; Hoffmann, Ary/R-2972-2019; Gardner, Janet/IXD-9137-2023; Joseph, Leo/F-9235-2010; Bergstrom, Dana/AAC-2837-2022; Guerin, Greg R./R-8955-2019; Sparrow, Ben/O-9308-2016; Andrew, Nigel/B-7162-2008; McGeoch, Melodie/F-8353-2011; Williams, Stephen/A-7250-2008; Byrne, Margaret/H-8198-2015</t>
  </si>
  <si>
    <t>Hill, Sarah J/0000-0002-3305-6954; Hoffmann, Ary/0000-0001-9497-7645; Joseph, Leo/0000-0001-7564-1978; Bergstrom, Dana/0000-0001-8484-8954; Sparrow, Ben/0000-0003-2566-1895; Andrew, Nigel/0000-0002-2850-2307; Camac, James/0000-0003-4785-0742; Riegler, Markus/0000-0001-7363-431X; McGeoch, Melodie/0000-0003-3388-2241; Gardner, Janet/0000-0002-1430-4350; Rymer, Paul/0000-0003-0988-4351; Williams, Stephen/0000-0002-2510-7408; Byrne, Margaret/0000-0002-7197-5409; Bell, Nicholas/0000-0002-2420-6682</t>
  </si>
  <si>
    <t>Australian Antarctic Science Programme [AAS 3095, 4192, 4312]; Australian Research Council; Long Term Ecological Research Network; National Environmental Research Program; Earthwatch Institute; Terrestrial Ecosystem Research Network; National Climate Change Adaptation Research Facility; ARC [LP0455349, LP150100936]; Centre for Climate Change, Woodland and Forest Health; NSW Environmental Trust; Government of Western Australia; Australian Research Council [LP0455349] Funding Source: Australian Research Council</t>
  </si>
  <si>
    <t>Australian Antarctic Science Programme; Australian Research Council(Australian Research Council); Long Term Ecological Research Network; National Environmental Research Program; Earthwatch Institute; Terrestrial Ecosystem Research Network; National Climate Change Adaptation Research Facility; ARC(Australian Research Council); Centre for Climate Change, Woodland and Forest Health; NSW Environmental Trust; Government of Western Australia; Australian Research Council(Australian Research Council)</t>
  </si>
  <si>
    <t>The Subantarctic research is funded by an Australian Antarctic Science Programme Grants (AAS 3095, 4192, 4312); the contributors thank Catherine Dickson for use of the photographs. The Alpine vegetation monitoring has been supported by grants from the Australian Research Council via their Linkage program and the Long Term Ecological Research Network. The Wet Tropics vertebrate biodiversity research was funded by National Environmental Research Program, Earthwatch Institute, Terrestrial Ecosystem Research Network and the National Climate Change Adaptation Research Facility. Research in the southwestern Australian forests and woodlands has been supported by ARC Linkage Projects (LP0455349, LP150100936) and The Centre for Climate Change, Woodland and Forest Health, which is a partnership between private industry, community groups, Universities and the Government of Western Australia. Dr George Matusick provided aerial photographs Research of the Northern Jarrah Forest psyllid induced dieback in the Cumberland Plain Woodland was funded. The work on avian body size has been supported by the NSW Environmental Trust and the Australian Research Council.</t>
  </si>
  <si>
    <t>1442-9985</t>
  </si>
  <si>
    <t>1442-9993</t>
  </si>
  <si>
    <t>AUSTRAL ECOL</t>
  </si>
  <si>
    <t>Austral Ecol.</t>
  </si>
  <si>
    <t>10.1111/aec.12674</t>
  </si>
  <si>
    <t>HI8MA</t>
  </si>
  <si>
    <t>WOS:000456708900001</t>
  </si>
  <si>
    <t>Daher, M; Schaefer, CEGR; Thomazini, A; Neto, ED; Souza, CD; Lopes, DD</t>
  </si>
  <si>
    <t>Daher, Mayara; Schaefer, Carlos E. G. R.; Thomazini, Andre; Neto, Elias de Lima; Souza, Caroline Delpupo; Lopes, Davi do Vale</t>
  </si>
  <si>
    <t>Ornithogenic soils on basalts from maritime Antarctica</t>
  </si>
  <si>
    <t>CATENA</t>
  </si>
  <si>
    <t>Birds species; X-ray clay minerals; Periglacial soils; Phosphatization</t>
  </si>
  <si>
    <t>CRYOSOLS; ISLAND</t>
  </si>
  <si>
    <t>Large amounts of organic matter deposited by marine birds, especially penguins, accumulate on ice-free areas of maritime Antarctica during the short austral summer. The well-known ornithogenic soils of this region are unique in Antarctica and represent important sites where phosphatization is the main soil-forming process. Most recent studies in ornithogenic soils of maritime Antarctica were conducted on andesitic areas, and no reports are available about ornithogenic soils on basaltic intrusion. The purpose of this study was to report the main chemical, physical, and mineralogical characteristics of ornithogenic soils on basaltic intrusion of Barrientos, and evaluate the effects of different nesting bird species and altitude. The amount of Mehlich-extractable P indicates a close interaction between guano and underlying soils, with different end products depending on altitude, weathering degree and nesting bird species. In the soil collected from the giant petrel's nest, the intensity of organic deposition was much lower. The lower means of Mehlich-extractable P, total organic carbon and total nitrogen in Barrientos Island showed the little influence of marine birds when compared to King George Island. On the other hand, the means of exchangeable Ca and Mg were higher due to the basaltic composition of the regional volcanoes, contrasting with the andesites, which are the commonest rock type in maritime Antarctica. Thus, the soil characteristics of the Barrientos Island are influenced by both parent material and phosphatization.</t>
  </si>
  <si>
    <t>[Daher, Mayara; Schaefer, Carlos E. G. R.; Thomazini, Andre; Neto, Elias de Lima; Souza, Caroline Delpupo; Lopes, Davi do Vale] Univ Fed Vicosa, Dept Solos, Ave PH Rolfs S-N, Vicosa, MG, Brazil</t>
  </si>
  <si>
    <t>Schaefer, Carlos Ernesto/AAY-4977-2020; Daher, Mayara/N-7857-2019; Souza, Caroline Delpupo/L-7578-2017</t>
  </si>
  <si>
    <t>Daher, Mayara/0000-0003-4937-2289; Souza, Caroline Delpupo/0000-0001-5055-3963; Lopes, Davi/0000-0003-3336-7397; Thomazini, Andre/0000-0001-5613-0494</t>
  </si>
  <si>
    <t>Coordenacao de Aperfeicoamento de Pessoal de Nivel Superior - Brasil (CAPES) [001]; National Council for Scientific and Technological Development (CNPq/PROANTAR) [64]</t>
  </si>
  <si>
    <t>Coordenacao de Aperfeicoamento de Pessoal de Nivel Superior - Brasil (CAPES)(Coordenacao de Aperfeicoamento de Pessoal de Nivel Superior (CAPES)); National Council for Scientific and Technological Development (CNPq/PROANTAR)</t>
  </si>
  <si>
    <t>This study was financed in part by the Coordenacao de Aperfeicoamento de Pessoal de Nivel Superior - Brasil (CAPES) - Finance Code 001 and National Council for Scientific and Technological Development (CNPq/PROANTAR - Ed. 64). We thank the Brazilian Navy for the logistic support during the XXXII Antarctic expedition, the Chilean Antarctic program for offering the scientific station Luis Risopatron in Coppermine Peninsula, and the Ecuadorian Navy for shipping to the Barrientos Island.</t>
  </si>
  <si>
    <t>0341-8162</t>
  </si>
  <si>
    <t>1872-6887</t>
  </si>
  <si>
    <t>Catena</t>
  </si>
  <si>
    <t>10.1016/j.catena.2018.10.028</t>
  </si>
  <si>
    <t>Geosciences, Multidisciplinary; Soil Science; Water Resources</t>
  </si>
  <si>
    <t>Geology; Agriculture; Water Resources</t>
  </si>
  <si>
    <t>HD8NR</t>
  </si>
  <si>
    <t>WOS:000452814300035</t>
  </si>
  <si>
    <t>McDonald, KS; Hobday, AJ; Thompson, PA; Lenton, A; Stephenson, RL; Mapstone, BD; Dutra, LXC; Bessey, C; Boschetti, F; Cvitanovic, C; Bulman, CM; Fulton, EA; Moeseneder, CH; Pethybridge, H; Plagányi, EE; van Putten, EI; Rothlisberg, PC</t>
  </si>
  <si>
    <t>McDonald, Karlie S.; Hobday, Alistair J.; Thompson, Peter A.; Lenton, Andrew; Stephenson, Robert L.; Mapstone, Bruce D.; Dutra, Leo X. C.; Bessey, Cindy; Boschetti, Fabio; Cvitanovic, Christopher; Bulman, Catherine M.; Fulton, Elizabeth A.; Moeseneder, Christian H.; Pethybridge, Heidi; Plaganyi, Eva E.; van Putten, E. Ingrid; Rothlisberg, Peter C.</t>
  </si>
  <si>
    <t>Proactive, Reactive, and Inactive Pathways for Scientists in a Changing World</t>
  </si>
  <si>
    <t>EARTHS FUTURE</t>
  </si>
  <si>
    <t>climate change; foresighting; marine systems; science advice; mitigation and adaptation; futures</t>
  </si>
  <si>
    <t>CLIMATE-CHANGE IMPACTS; ECOSYSTEM SERVICES; WATER-QUALITY; SCIENCE; POLICY; FUTURE; ADAPTATION; MANAGEMENT; FISHERIES; UNCERTAINTY</t>
  </si>
  <si>
    <t>As atmospheric CO2 levels continue to rise so too does the risk of severe impacts. Scientists clearly have an important role to play in preparing for and responding to climate change impacts; however, calls by scientists for global action have not led to the required changes. It is timely, therefore, for scientists to critically consider their own approach toward climate change research, particularly if we are to ameliorate or adapt to unwanted outcomes. Here we present three different pathways that allow scientists and scientific institutions to conceptualize the implications of their responses to climate change scenarios. These pathways are illustrated via three plausible futures for the marine environment under climate change. This approach allows future responsibilities, outcomes, and implication to be explored within and across pathways and can be applied to different scenarios for scientists and scientific institutions to anticipate and better prepare to contribute effectively to the future. Plain Language Summary There is mounting evidence that impacts of climate change pose significant risks to society and human well-being. The pace of large-scale action on climate change is, however, insufficient to substantially reduce the likely future impacts. These are risks that this generation is imposing on future generations. In this context we outline a framework for scientists and scientific institutions to explore and assess the outcomes and implications of choosing different pathways (inactive, reactive, and proactive) in response to climate change. We developed three illustrative examples of plausible futures under climate change to demonstrate the implications of each of these pathways. We also outline a conceptual framework based on three factors: (i) potential to mitigate, (ii) impact of risk, and (iii) uncertainty in science that will assist scientists and scientific institutions to make informed decisions regarding their responses to global environmental change.</t>
  </si>
  <si>
    <t>[McDonald, Karlie S.; Hobday, Alistair J.; Thompson, Peter A.; Lenton, Andrew; Stephenson, Robert L.; Mapstone, Bruce D.; Cvitanovic, Christopher; Bulman, Catherine M.; Fulton, Elizabeth A.; Pethybridge, Heidi; van Putten, E. Ingrid] CSIRO Oceans &amp; Atmosphere, Hobart, Tas, Australia; [Hobday, Alistair J.; Cvitanovic, Christopher; Fulton, Elizabeth A.; Plaganyi, Eva E.; van Putten, E. Ingrid] Univ Tasmania, Ctr Marine Socioecol, Hobart, Tas, Australia; [Lenton, Andrew] Univ Tasmania, Antarctic Climate &amp; Ecosyst Cooperat Res Ctr, Hobart, Tas, Australia; [Stephenson, Robert L.] Fisheries &amp; Oceans Canada, St Andrews, NB, Canada; [Dutra, Leo X. C.; Bulman, Catherine M.; Plaganyi, Eva E.; Rothlisberg, Peter C.] CSIRO Oceans &amp; Atmosphere, St Lucia, Qld, Australia; [Dutra, Leo X. C.] Univ South Pacific, Sch Marine Studies, Fac Sci Technol &amp; Environm, Suva, Fiji; [Bessey, Cindy; Boschetti, Fabio] CSIRO Oceans &amp; Atmosphere, Crawley, WA, Australia; [Bessey, Cindy] Univ Western Australia, Sch Plant Biol, Crawley, WA, Australia; [Cvitanovic, Christopher] Australian Natl Univ, Australian Natl Ctr Publ Awareness Sci, Canberra, ACT, Australia; [Moeseneder, Christian H.] Australian Museum, Sydney, NSW, Australia</t>
  </si>
  <si>
    <t>Commonwealth Scientific &amp; Industrial Research Organisation (CSIRO); University of Tasmania; University of Tasmania; Antarctic Climate &amp; Ecosystems Cooperative Research Centre (ACE CRC); Fisheries &amp; Oceans Canada; Commonwealth Scientific &amp; Industrial Research Organisation (CSIRO); University of the South Pacific; Commonwealth Scientific &amp; Industrial Research Organisation (CSIRO); University of Western Australia; Australian National University; Australian Museum</t>
  </si>
  <si>
    <t>McDonald, KS (corresponding author), CSIRO Oceans &amp; Atmosphere, Hobart, Tas, Australia.</t>
  </si>
  <si>
    <t>karlie.mcdonald@csiro.au</t>
  </si>
  <si>
    <t>Moeseneder, Christian H/O-6844-2014; Pethybridge, Heidi/AEO-8594-2022; Fulton, Beth/AAJ-1398-2021; Bessey, Cindy/AAS-7158-2021; Pethybridge, Heidi/AAI-9824-2021; Dutra, Leo/R-6256-2019; Plaganyi, Eva E/C-5130-2011; Boschetti, Fabio/A-1607-2015; Fulton, Beth/A-2871-2008; Hobday, Alistair/A-1460-2012; Thompson, Peter/A-2361-2012; Rothlisberg, Peter/A-1491-2012; Lenton, Andrew/D-2077-2012; Bulman, Catherine/A-9795-2012</t>
  </si>
  <si>
    <t>Moeseneder, Christian H/0000-0002-6718-1913; Pethybridge, Heidi/0000-0002-7291-5766; Fulton, Beth/0000-0002-5904-7917; Bessey, Cindy/0000-0002-4081-0214; Plaganyi, Eva E/0000-0002-4740-4200; Boschetti, Fabio/0000-0001-8999-6913; Hobday, Alistair/0000-0002-3194-8326; McDonald, Karlie S./0000-0002-9455-9897; Thompson, Peter/0000-0002-9504-5433; Rothlisberg, Peter/0000-0001-5632-5996; Stephenson, Robert/0000-0002-1207-1063; Lenton, Andrew/0000-0001-9437-8896; Dutra, Leo/0000-0002-5781-3956; Bulman, Catherine/0000-0002-8997-4615; Cvitanovic, Christopher/0000-0002-2565-3396</t>
  </si>
  <si>
    <t>2328-4277</t>
  </si>
  <si>
    <t>Earth Future</t>
  </si>
  <si>
    <t>10.1029/2018EF000990</t>
  </si>
  <si>
    <t>HO9JI</t>
  </si>
  <si>
    <t>WOS:000461279800001</t>
  </si>
  <si>
    <t>Ling, SD; Kriegisch, N; Woolley, B; Reeves, SE</t>
  </si>
  <si>
    <t>Ling, S. D.; Kriegisch, N.; Woolley, B.; Reeves, S. E.</t>
  </si>
  <si>
    <t>Density-dependent feedbacks, hysteresis, and demography of overgrazing sea urchins</t>
  </si>
  <si>
    <t>ECOLOGY</t>
  </si>
  <si>
    <t>age; alternative stable states; catastrophic regime-shift; disease; growth; kelp beds; population dynamics; predation; sea urchin barrens; temperate reef ecology</t>
  </si>
  <si>
    <t>KELP-BEDS; STRONGYLOCENTROTUS-DROEBACHIENSIS; HELIOCIDARIS-ERYTHROGRAMMA; POPULATION-DYNAMICS; GROWTH; STABILITY; FOREST; DESTRUCTION; BARRENS; DISEASE</t>
  </si>
  <si>
    <t>Sea urchin grazing can result in regime shift from productive kelp beds to sea urchin barren grounds that represent an alternative and stable reef state. Here we examine the stability of urchin barrens by defining the demographics of the Australian urchin Heliocidaris erythrogramma during regime shift to, and maintenance of, barrens. Inverse-logistic modeling of calibrated in situ annual growth increments for five urchin populations, two from kelp beds and three from barrens, demonstrate slowing of urchin growth as availability and consumption of standing and/or drift kelp declines. Population age structures were predicted from observed sizes over four years (2012-2015, n = 5,864 individuals), which indicated stable age distributions for populations both maintaining barrens and actively grazing among kelp beds. Younger age distributions occurred on barrens whereas more mature populations existed within kelp beds, indicating that high recruitment facilitates maintenance of barrens while overgrazing appeared more reliant on adult urchins grazing from the edges of kelp beds, as opposed to juvenile recruitment among kelp. Leslie-matrix projections indicated potential for unchecked population growth for all study populations, but which varied depending on whether local or regional recruitment rates were modeled. Ultimately, strong density dependence was observed to check population growth; with high-recruitment/high-density populations offset by reduced growth rates and decreased longevity. Increasing disease rates among older urchins in high-density populations were consistent with observed density-dependent mortality, while tethering of healthy urchins revealed highest predation on small urchins within kelp beds, suggesting some remnant resilience of declining kelp habitat. Results demonstrate that the greatest opportunity for urchin population control is when reefs exist in the kelp bed state, at which point urchin populations are prone to negative feedback. Conversely, control of urchins on barrens is demonstrably difficult given positive density-dependent feedbacks that act to stabilize population size and which evidently underpin the hysteresis effect governing the persistence of this alternative stable state.</t>
  </si>
  <si>
    <t>[Ling, S. D.; Kriegisch, N.; Woolley, B.; Reeves, S. E.] Univ Tasmania, Inst Marine &amp; Antarctic Studies, Hobart, Tas 7001, Australia</t>
  </si>
  <si>
    <t>Ling, SD (corresponding author), Univ Tasmania, Inst Marine &amp; Antarctic Studies, Hobart, Tas 7001, Australia.</t>
  </si>
  <si>
    <t>Scott.Ling@utas.edu.au</t>
  </si>
  <si>
    <t>Reeves, Simon E/AAJ-3379-2021; Ling, Scott/J-7161-2014</t>
  </si>
  <si>
    <t>Reeves, Simon/0000-0001-6715-466X; Ling, Scott/0000-0002-5544-8174</t>
  </si>
  <si>
    <t>Victorian State Government Department of Environment Land Water and Planning grant; Holsworth Wildlife Endowments; Australian Research Council; Australian Postgraduate Awards</t>
  </si>
  <si>
    <t>Victorian State Government Department of Environment Land Water and Planning grant; Holsworth Wildlife Endowments; Australian Research Council(Australian Research Council); Australian Postgraduate Awards(Australian Government)</t>
  </si>
  <si>
    <t>This study was supported by a Victorian State Government Department of Environment Land Water and Planning grant (recipients: Craig Johnson and Steve Swearer), Australian Postgraduate Awards (N. Kriegisch and S. E. Reeves), Holsworth Wildlife Endowments (S. D. Ling, N. Kriegisch, and S. E. Reeves) and the Australian Research Council (S. D. Ling). S. D. Ling designed the research and S. D. Ling, N. Kriegisch, and S. E. Reeves performed all field sampling; S. D. Ling and B. Woolley processed samples for tag recovery and took growth measurements; S. D, Ling analysed data, performed modeling and wrote the manuscript; all authors provided edits. Lillian Ireland, Gabby Walley, and Alexandra Paton assisted with laboratory processing of sea urchin jaws. Sea urchins were collected under the Victorian Department of Primary Industries, Fisheries Act 1995 Permit RP1084 issued for 29 May 2012 to 28 May 2015.</t>
  </si>
  <si>
    <t>0012-9658</t>
  </si>
  <si>
    <t>1939-9170</t>
  </si>
  <si>
    <t>e02577</t>
  </si>
  <si>
    <t>10.1002/ecy.2577</t>
  </si>
  <si>
    <t>HK0UT</t>
  </si>
  <si>
    <t>WOS:000457618800016</t>
  </si>
  <si>
    <t>Tidey, EJ; Hulbe, CL</t>
  </si>
  <si>
    <t>Tidey, Emily J.; Hulbe, Christina L.</t>
  </si>
  <si>
    <t>Sub-Antarctic Auckland Islands Seafloor Mapping Investigations Using Legacy Data</t>
  </si>
  <si>
    <t>nautical chart; hydrographic survey; legacy; seabed sample; sub-Antarctic; singlebeam; multibeam</t>
  </si>
  <si>
    <t>DIGITAL TERRAIN MODELS; MARINE; UNCERTAINTY; BATHYMETRY; ARTIFACTS; IMPACT</t>
  </si>
  <si>
    <t>This paper demonstrates the richness of data collected for nautical charting and considers ways in which chart data can support scientific research, through a case study of two modern navigation surveys undertaken in the Auckland Islands. While legacy charts have coarser resolution, and may synthesize different epochs together into one final product, we examine how they may be used on their own and to complement more recent hydrographic surveys. We argue that the hydrographic and ancillary data, only a fraction of which appears on the final chart, also has scientific value and that the hydrographic surveying principles applied during data collection are equally relevant for all seabed mapping. While the benefits of full bottom coverage obtained by state of-the-art multibeam surveys are clear, there is much more to be discovered in legacy singlebeam datasets than what is displayed on the nautical chart alone.</t>
  </si>
  <si>
    <t>[Tidey, Emily J.; Hulbe, Christina L.] Univ Otago, Sch Surveying, 310 Castle St, Dunedin 9016, New Zealand</t>
  </si>
  <si>
    <t>Tidey, EJ (corresponding author), Univ Otago, Sch Surveying, 310 Castle St, Dunedin 9016, New Zealand.</t>
  </si>
  <si>
    <t>emily.tidey@otago.ac.nz; christina.hulbe@otago.ac.nz</t>
  </si>
  <si>
    <t>Tidey, Emily/0000-0003-2485-6383</t>
  </si>
  <si>
    <t>10.3390/geosciences9020056</t>
  </si>
  <si>
    <t>HO2RB</t>
  </si>
  <si>
    <t>WOS:000460761900001</t>
  </si>
  <si>
    <t>Korasidis, VA; Wallace, MW; Wagstaff, BE; Hill, RS</t>
  </si>
  <si>
    <t>Korasidis, Vera A.; Wallace, Malcolm W.; Wagstaff, Barbara E.; Hill, Robert S.</t>
  </si>
  <si>
    <t>Terrestrial cooling record through the Eocene-Oligocene transition of Australia</t>
  </si>
  <si>
    <t>Paleoclimate; Climatic optimum; Palynology; Icehouse; Hothouse; Latrobe Group</t>
  </si>
  <si>
    <t>BROWN-COAL FLORAS; GIPPSLAND BASIN; LATROBE VALLEY; ANTARCTIC GLACIATION; MIDDLE MIOCENE; CLIMATE HISTORY; NEW-ZEALAND; VEGETATION; TERTIARY; EVOLUTION</t>
  </si>
  <si>
    <t>A new mid-latitude terrestrial climate proxy record is presented for southeastern Australia. The Middle Eocene to Middle Miocene palynofloral and delta C-13 record of the Latrobe Group, Gippsland Basin, details that the climate of southeastern Australia, paleolatitude 60-50 degrees S, supported the growth of highly diverse subtropical to cool-temperate rainforests. These forests are characterized by mesothermal to microthermal floral elements that are here interpreted as subtropical (Malvacipollis subtilis and Cupanieidites orthoteichus dominated palynofloras), warm temperate (Beaupreadites elegansiformis and Phyllocladus mawsonii dominated palynofloras) and cool-temperate (Nothofagus spp. and Dacrycarpidites australiensis dominated palynofloras) rainforests. The palynofloral record of the Latrobe Group indicates that mean annual temperatures were between 20 and 24 degrees C during the Middle Eocene resulting in subtropical rainforests, between 14 and 20 degrees C for the late Middle Eocene to earliest (i.e. pre-Oi1) Oligocene resulting in warm-temperate rainforests, between 10 and 14 degrees C for the late Early Oligocene to Early Miocene resulting in cool-temperate rainforests and between 14 and 20 degrees C in the Middle Miocene, facilitating the resurgence of warm-temperate rainforest floras. Rainfall was also likely in excess of 1500 mm throughout the Middle Eocene to the Middle Miocene in southeastern Australia. The climatic trends preserved within this mid-latitude terrestrial record relate to global Cenozoic cooling, the exception being the Middle Miocene records, which instead relate to the Middle Miocene Climatic Optimum. In the mid-latitude Gippsland Basin, cooling appears to have begun in the Middle Eocene. Correlation of our palynoflora with records from Antarctica and New Zealand, in addition to benthic delta O-18 records, reaffirms that the Latrobe Group coals provide a long-term, largely authochthonous mid-latitude floral record that directly relates to global climatic evolution through the Cenozoic. Our new mid-latitude terrestrial record provides critical insight into the validation of Eocene-Oligocene climate models and improves our understanding of mid-latitude terrestrial ecosystem responses to increased carbon dioxide forcing. The correlation between the delta C-13 values of the Yallourn and Morwell coal seams to benthic delta C-13 records also highlights that a relationship exists between the terrestrial and marine benthic delta C-13 record.</t>
  </si>
  <si>
    <t>[Korasidis, Vera A.; Wallace, Malcolm W.; Wagstaff, Barbara E.] Univ Melbourne, Sch Earth Sci, Melbourne, Vic 3010, Australia; [Hill, Robert S.] Univ Adelaide, Environm Inst, Adelaide, SA 5005, Australia</t>
  </si>
  <si>
    <t>University of Melbourne; Melbourne Bioinformatics; University of Adelaide</t>
  </si>
  <si>
    <t>Korasidis, VA (corresponding author), Univ Melbourne, Sch Earth Sci, Melbourne, Vic 3010, Australia.</t>
  </si>
  <si>
    <t>verak@student.unimelb.edu.au</t>
  </si>
  <si>
    <t>Hill, Robert/AAB-1686-2019</t>
  </si>
  <si>
    <t>Hill, Robert/0000-0003-4564-4339; Korasidis, Vera/0000-0002-2921-5641</t>
  </si>
  <si>
    <t>Australian Government Research Training Program Scholarship; Albert Shimmins Fund</t>
  </si>
  <si>
    <t>Australian Government Research Training Program Scholarship(Australian GovernmentDepartment of Industry, Innovation and Science); Albert Shimmins Fund</t>
  </si>
  <si>
    <t>AGL Loy Yang and GHD are gratefully acknowledged for enabling the sampling of the M2A, M1B and M1A seams from the Loy Yang Open Cut Mine. Energy Australia is also gratefully acknowledged for enabling the sampling of the Yallourn seam from the Yallourn Open Cut Mine. We are also grateful to Dr. Alan Partridge and Dr. Michael Macphail for their insights into the identification of palynomorphs. This work was supported by an Australian Government Research Training Program Scholarship and the Albert Shimmins Fund.</t>
  </si>
  <si>
    <t>10.1016/j.gloplacha.2018.12.007</t>
  </si>
  <si>
    <t>HJ9IP</t>
  </si>
  <si>
    <t>WOS:000457512400007</t>
  </si>
  <si>
    <t>Bryndum-Buchholz, A; Tittensor, DP; Blanchard, JL; Cheung, WWL; Coll, M; Galbraith, ED; Jennings, S; Maury, O; Lotze, HK</t>
  </si>
  <si>
    <t>Bryndum-Buchholz, Andrea; Tittensor, Derek P.; Blanchard, Julia L.; Cheung, William W. L.; Coll, Marta; Galbraith, Eric D.; Jennings, Simon; Maury, Olivier; Lotze, Heike K.</t>
  </si>
  <si>
    <t>Twenty-first-century climate change impacts on marine animal biomass and ecosystem structure across ocean basins</t>
  </si>
  <si>
    <t>climate change; ensemble modeling; future projection; marine animal biomass; marine ecosystem models; model intercomparison; ocean basins; uncertainty</t>
  </si>
  <si>
    <t>OXYGEN LIMITATION; GLOBAL OCEAN; FISHERIES; MODEL; BIOGEOGRAPHY; COMMUNITIES; PROJECTIONS; COASTAL</t>
  </si>
  <si>
    <t>Climate change effects on marine ecosystems include impacts on primary production, ocean temperature, species distributions, and abundance at local to global scales. These changes will significantly alter marine ecosystem structure and function with associated socio-economic impacts on ecosystem services, marine fisheries, and fishery-dependent societies. Yet how these changes may play out among ocean basins over the 21st century remains unclear, with most projections coming from single ecosystem models that do not adequately capture the range of model uncertainty. We address this by using six marine ecosystem models within the Fisheries and Marine Ecosystem Model Intercomparison Project (Fish-MIP) to analyze responses of marine animal biomass in all major ocean basins to contrasting climate change scenarios. Under a high emissions scenario (RCP8.5), total marine animal biomass declined by an ensemble mean of 15%-30% (+/- 12%-17%) in the North and South Atlantic and Pacific, and the Indian Ocean by 2100, whereas polar ocean basins experienced a 20%-80% (+/- 35%-200%) increase. Uncertainty and model disagreement were greatest in the Arctic and smallest in the South Pacific Ocean. Projected changes were reduced under a low (RCP2.6) emissions scenario. Under RCP2.6 and RCP8.5, biomass projections were highly correlated with changes in net primary production and negatively correlated with projected sea surface temperature increases across all ocean basins except the polar oceans. Ecosystem structure was projected to shift as animal biomass concentrated in different size-classes across ocean basins and emissions scenarios. We highlight that climate change mitigation measures could moderate the impacts on marine animal biomass by reducing biomass declines in the Pacific, Atlantic, and Indian Ocean basins. The range of individual model projections emphasizes the importance of using an ensemble approach in assessing uncertainty of future change.</t>
  </si>
  <si>
    <t>[Bryndum-Buchholz, Andrea; Tittensor, Derek P.; Lotze, Heike K.] Dalhousie Univ, Dept Biol, Halifax, NS, Canada; [Tittensor, Derek P.] United Nations Environm Programme World Conserva, Cambridge, England; [Blanchard, Julia L.] Univ Tasmania, Ctr Marine Socioecol, Inst Marine &amp; Antarctic Studies, Hobart, Tas, Australia; [Cheung, William W. L.] Univ British Columbia, Inst Oceans &amp; Fisheries, Nippon Fdn UBC Nereus Program &amp; Changing Ocean Re, Vancouver, BC, Canada; [Coll, Marta] CSIC, ICM, Barcelona, Spain; [Coll, Marta] Ecopath Int Initiat, Barcelona, Spain; [Galbraith, Eric D.] ICREA, Barcelona, Spain; [Galbraith, Eric D.] Univ Autonoma Barcelona, Inst Ciencia &amp; Tecnol Ambientals ICTA, Dept Math, Barcelona, Spain; [Jennings, Simon] CEFAS, Lowestoft Lab, Lowestoft, Suffolk, England; [Jennings, Simon] Univ East Anglia, Sch Environm Sci, Norwich, Norfolk, England; [Jennings, Simon] Int Council Explorat Sea, Copenhagen V, Denmark; [Maury, Olivier] IRD, UMR 248 MARBEC, Paris, France; [Maury, Olivier] Univ Cape Town, Int Lab, ICEMASA, Rondebosch, South Africa</t>
  </si>
  <si>
    <t>Dalhousie University; University of Tasmania; University of British Columbia; Consejo Superior de Investigaciones Cientificas (CSIC); CSIC - Centro Mediterraneo de Investigaciones Marinas y Ambientales (CMIMA); CSIC - Instituto de Ciencias del Mar (ICM); ICREA; Autonomous University of Barcelona; Centre for Environment Fisheries &amp; Aquaculture Science; University of East Anglia; Ifremer; Institut de Recherche pour le Developpement (IRD); University of Cape Town</t>
  </si>
  <si>
    <t>Bryndum-Buchholz, A (corresponding author), Dalhousie Univ, Dept Biol, Halifax, NS, Canada.</t>
  </si>
  <si>
    <t>andrea.buchholz@dal.ca</t>
  </si>
  <si>
    <t>Tittensor, Derek P./AAV-1117-2021; Maury, Olivier/I-4513-2013; Blanchard, Julia L/E-4919-2010; Cheung, William/F-5104-2013; Coll, Marta/A-9488-2012</t>
  </si>
  <si>
    <t>Tittensor, Derek P./0000-0002-9550-3123; Maury, Olivier/0000-0002-7999-9982; Cheung, William/0000-0001-9998-0384; Lotze, Heike/0000-0001-6258-1304; Blanchard, Julia/0000-0003-0532-4824; Coll, Marta/0000-0001-6235-5868</t>
  </si>
  <si>
    <t>Kann Rasmussen Foundation Denmark; Natural Sciences and Engineering Research Council of Canada; Inter-Sectoral Impact Model Intercomparison Project (ISI-MIP); NSERC CREATE Transatlantic Ocean Science and Technology Program; German Federal Ministry of Education and Research</t>
  </si>
  <si>
    <t>Kann Rasmussen Foundation Denmark; Natural Sciences and Engineering Research Council of Canada(Natural Sciences and Engineering Research Council of Canada (NSERC)CGIAR); Inter-Sectoral Impact Model Intercomparison Project (ISI-MIP); NSERC CREATE Transatlantic Ocean Science and Technology Program(Natural Sciences and Engineering Research Council of Canada (NSERC)); German Federal Ministry of Education and Research(Federal Ministry of Education &amp; Research (BMBF))</t>
  </si>
  <si>
    <t>10.1111/gcb.14512</t>
  </si>
  <si>
    <t>HH9BN</t>
  </si>
  <si>
    <t>WOS:000456028900008</t>
  </si>
  <si>
    <t>Xu, D; Brennan, G; Xu, L; Zhang, XW; Fan, X; Han, WT; Mock, T; McMinn, A; Hutchins, DA; Ye, NH</t>
  </si>
  <si>
    <t>Xu, Dong; Brennan, Georgina; Xu, Le; Zhang, Xiao W.; Fan, Xiao; Han, Wen T.; Mock, Thomas; McMinn, Andrew; Hutchins, David A.; Ye, Naihao</t>
  </si>
  <si>
    <t>Ocean acidification increases iodine accumulation in kelp-based coastal food webs</t>
  </si>
  <si>
    <t>iodine metabolism; kelp; ocean acidification; Saccharina japonica; thyroid hormone; vanadium-dependent haloperoxidase</t>
  </si>
  <si>
    <t>LAMINARIA-DIGITATA; OXIDATIVE BURST; CLIMATE-CHANGE; BROWN; IMPACTS; ALGA; CO2; BROMOPEROXIDASE; RESPONSES; PATTERNS</t>
  </si>
  <si>
    <t>Kelp are main iodine accumulators in the ocean, and their growth and photosynthesis are likely to benefit from elevated seawater CO2 levels due to ocean acidification. However, there are currently no data on the effects of ocean acidification on iodine metabolism in kelp. As key primary producers in coastal ecosystems worldwide, any change in their iodine metabolism caused by climate change will potentially have important consequences for global geochemical cycles of iodine, including iodine levels of coastal food webs that underpin the nutrition of billions of humans around the world. Here, we found that elevated pCO(2) enhanced growth and increased iodine accumulation not only in the model kelp Saccharina japonica using both short-term laboratory experiment and long-term in situ mesocosms, but also in several other edible and ecologically significant seaweeds using long-term in situ mesocosms. Transcriptomic and proteomic analysis of S. japonica revealed that most vanadium-dependent haloperoxidase genes involved in iodine efflux during oxidative stress are down-regulated under increasing pCO(2), suggesting that ocean acidification alleviates oxidative stress in kelp, which might contribute to their enhanced growth. When consumed by abalone (Haliotis discus), elevated iodine concentrations in S. japonica caused increased iodine accumulation in abalone, accompanied by reduced synthesis of thyroid hormones. Thus, our results suggest that kelp will benefit from ocean acidification by a reduction in environmental stress however; iodine levels, in kelp-based coastal food webs will increase, with potential impacts on biogeochemical cycles of iodine in coastal ecosystems.</t>
  </si>
  <si>
    <t>[Xu, Dong; Xu, Le; Zhang, Xiao W.; Fan, Xiao; Han, Wen T.; Ye, Naihao] Chinese Acad Fishery Sci, Yellow Sea Fisheries Res Inst, Qingdao, Peoples R China; [Xu, Dong; Ye, Naihao] Qingdao Natl Lab Marine Sci &amp; Technol, Funct Lab Marine Fisheries Sci &amp; Food Prod Proc, Qingdao, Peoples R China; [Brennan, Georgina] Bangor Univ, Sch Biol Sci, Mol Ecol &amp; Fisheries Genet Lab, Bangor, Gwynedd, Wales; [Mock, Thomas] Univ East Anglia, Sch Environm Sci, Norwich, Norfolk, England; [McMinn, Andrew] Univ Tasmania, Inst Marine &amp; Antarctic Studies, Hobart, Tas, Australia; [McMinn, Andrew] Ocean Univ China, Fisheries Coll, Qingdao, Peoples R China; [Hutchins, David A.] Univ Southern Calif, Dept Biol Sci, Los Angeles, CA USA</t>
  </si>
  <si>
    <t>Chinese Academy of Fishery Sciences; Yellow Sea Fisheries Research Institute, CAFS; Laoshan Laboratory; Bangor University; University of East Anglia; University of Tasmania; Ocean University of China; University of Southern California</t>
  </si>
  <si>
    <t>Ye, NH (corresponding author), Chinese Acad Fishery Sci, Yellow Sea Fisheries Res Inst, Qingdao, Peoples R China.</t>
  </si>
  <si>
    <t>yenh@ysfri.ac.cn</t>
  </si>
  <si>
    <t>Hutchins, David A/D-3301-2013; McMinn, Andrew/A-9910-2008; Mock, Thomas/A-3127-2008; Brennan, Georgina L/C-5969-2017</t>
  </si>
  <si>
    <t>Hutchins, David A/0000-0002-6637-756X; Mock, Thomas/0000-0001-9604-0362; Brennan, Georgina/0000-0003-2045-757X; Han, Wentao/0000-0003-1423-3975</t>
  </si>
  <si>
    <t>National Natural Science Foundation of China [41676145]; Shandong key Research and Development Plan [2018GHY115010]; Qingdao Municipal Science and Technology plan project [17-1-1-96-jch]; Special Scientific Research Funds for Central Non-Profit Institutes, Yellow Sea Fisheries Research Institute, Chinese Academy of Fishery Sciences [20603022016010]; China Agriculture Research System [CARS-50]; Taishan Scholars Funding; AoShan Talents Program [2015ASTPES03]; Science Fund for Distinguished Young Scholars of Shandong Province [JQ201509]</t>
  </si>
  <si>
    <t>National Natural Science Foundation of China(National Natural Science Foundation of China (NSFC)); Shandong key Research and Development Plan; Qingdao Municipal Science and Technology plan project; Special Scientific Research Funds for Central Non-Profit Institutes, Yellow Sea Fisheries Research Institute, Chinese Academy of Fishery Sciences; China Agriculture Research System; Taishan Scholars Funding; AoShan Talents Program; Science Fund for Distinguished Young Scholars of Shandong Province</t>
  </si>
  <si>
    <t>National Natural Science Foundation of China, Grant/Award Number: 41676145; Shandong key Research and Development Plan, Grant/Award Number: 2018GHY115010; Qingdao Municipal Science and Technology plan project, Grant/Award Number: 17-1-1-96-jch; Special Scientific Research Funds for Central Non-Profit Institutes, Yellow Sea Fisheries Research Institute, Chinese Academy of Fishery Sciences, Grant/Award Number: 20603022016010; China Agriculture Research System, Grant/Award Number: CARS-50; Taishan Scholars Funding; AoShan Talents Program, Grant/Award Number: 2015ASTPES03; Science Fund for Distinguished Young Scholars of Shandong Province, Grant/Award Number: JQ201509</t>
  </si>
  <si>
    <t>10.1111/gcb.14467</t>
  </si>
  <si>
    <t>WOS:000456028900020</t>
  </si>
  <si>
    <t>Ambrozova, K; Laska, K; Hrbacek, F; Kavan, J; Ondruch, J</t>
  </si>
  <si>
    <t>Ambrozova, Klara; Laska, Kamil; Hrbacek, Filip; Kavan, Jan; Ondruch, Jakub</t>
  </si>
  <si>
    <t>Air temperature and lapse rate variation in the ice-free and glaciated areas of northern James Ross Island, Antarctic Peninsula, during 2013-2016</t>
  </si>
  <si>
    <t>air temperature; air temperature inversion; Antarctica; Antarctic Peninsula; glacier; James Ross Island; near-surface lapse rate</t>
  </si>
  <si>
    <t>KING-GEORGE-ISLAND; SURFACE-ENERGY BALANCE; SEA-ICE; GLACIER; LAYER; CAP; PRECIPITATION; ACCELERATION; RADIATION; DYNAMICS</t>
  </si>
  <si>
    <t>Studies assessing air temperature variations and their dependence on altitude from the eastern side of the Antarctic Peninsula are sparse. In this paper, we analyse air temperature and near-surface lapse rates from the Ulu Peninsula (James Ross Island, Antarctic Peninsula). The temperature data were acquired from nine sites both in ice-free areas and glaciers of the Ulu Peninsula in 2013-2016. The most important factors influencing air temperature differences were sea-ice conditions, topography and ground surface properties. During the study period, air temperature decreased with height with the mean lapse rate of 0.40 degrees C100m(-1) for the ice-free sites (10-375m a.s.l.) and 0.43 degrees C100m(-1) for the glaciated sites (268-539m a.s.l.). However, the values were lower in winter (ice-free: 0.02 degrees C100m(-1) and glacier: 0.31 degrees C100m(-1)) than in summer (ice-free: 0.62 degrees C100m(-1) and glacier: 0.51 degrees C100m(-1)) for both categories. The air layer between 10 and 56m a.s.l. in the ice-free area revealed an almost year-round air temperature inversion resulting in a mean lapse rate of -0.79 degrees C100m(-1) and an air temperature inversion frequency reaching up to 43%. The temperature inversion frequency was 10% lower for the lowest air layer for the glacier category, which was between 268 and 356m a.s.l. The land surface air temperature was the highest when the wind was from the northwest and lowest when it was from the south-southwest. The near-surface lapse rate-wind direction relationship was the most pronounced for the air layer between 10 and 56m a.s.l. with the lowest mean lapse rate for west-southwest wind (-2.83 degrees C100m(-1)) and the highest for east-northeast wind (0.41 degrees C100m(-1)).</t>
  </si>
  <si>
    <t>[Ambrozova, Klara; Laska, Kamil; Hrbacek, Filip; Kavan, Jan; Ondruch, Jakub] Masaryk Univ, Dept Geog, Brno, Czech Republic</t>
  </si>
  <si>
    <t>Ambrozova, K (corresponding author), Masaryk Univ, Dept Geog, Fac Sci, Kotlarska 267-2, CS-61137 Brno, Czech Republic.</t>
  </si>
  <si>
    <t>ambrozova.kl@mail.muni.cz</t>
  </si>
  <si>
    <t>Hrbacek, Filip/ABG-4319-2020; Laska, Kamil/L-7875-2013; Kavan, Jan/ACU-4986-2022</t>
  </si>
  <si>
    <t>Hrbacek, Filip/0000-0001-5032-9216; Laska, Kamil/0000-0002-5199-9737; Kavan, Jan/0000-0003-4524-3009</t>
  </si>
  <si>
    <t>Czech Polar Research Infrastructure [LM2015078]; Czech Science Foundation Project [GC16-14122J ECOPOLARIS, CZ.02.1.01/0.0/0.0/16_013/0001708]; Integrated research of environmental changes in the landscape sphere III [MUNI/A/1251/2017]</t>
  </si>
  <si>
    <t>Czech Polar Research Infrastructure; Czech Science Foundation Project(Grant Agency of the Czech Republic); Integrated research of environmental changes in the landscape sphere III</t>
  </si>
  <si>
    <t>Czech Polar Research Infrastructure, Grant/Award Number: LM2015078; Czech Science Foundation Project, Grant/Award Number: GC16-14122J ECOPOLARIS, Grant/Award Number: CZ.02.1.01/0.0/0.0/16_013/0001708; Integrated research of environmental changes in the landscape sphere III, Grant/Award Number: MUNI/A/1251/2017.</t>
  </si>
  <si>
    <t>10.1002/joc.5832</t>
  </si>
  <si>
    <t>WOS:000459665000005</t>
  </si>
  <si>
    <t>Fernández-Gómez, B; Díez, B; Polz, MF; Arroyo, JI; Alfaro, FD; Marchandon, G; Sanhueza, C; Farías, L; Trefault, N; Marquet, PA; Molina-Montenegro, MA; Sylvander, P; Snoeijs-Leijonmalm, P</t>
  </si>
  <si>
    <t>Fernandez-Gomez, Beatriz; Diez, Beatriz; Polz, Martin F.; Ignacio Arroyo, Jose; Alfaro, Fernando D.; Marchandon, German; Sanhueza, Cynthia; Farias, Laura; Trefault, Nicole; Marquet, Pablo A.; Molina-Montenegro, Marco A.; Sylvander, Peter; Snoeijs-Leijonmalm, Pauline</t>
  </si>
  <si>
    <t>Bacterial community structure in a sympagic habitat expanding with global warming: brackish ice brine at 85-90 °N</t>
  </si>
  <si>
    <t>DISSOLVED ORGANIC-MATTER; CENTRAL ARCTIC-OCEAN; SEA-ICE; COOCCURRENCE PATTERNS; ARCHAEAL COMMUNITIES; GENOME SEQUENCE; DIVERSITY; MARINE; SURFACE; BACTERIOPLANKTON</t>
  </si>
  <si>
    <t>Larger volumes of sea ice have been thawing in the Central Arctic Ocean (CAO) during the last decades than during the past 800,000 years. Brackish brine (fed by meltwater inside the ice) is an expanding sympagic habitat in summer all over the CAO. We report for the first time the structure of bacterial communities in this brine. They are composed of psychrophilic extremophiles, many of them related to phylotypes known from Arctic and Antarctic regions. Community structure displayed strong habitat segregation between brackish ice brine (IB; salinity 2.4-9.6) and immediate sub-ice seawater (SW; salinity 33.3-34.9), expressed at all taxonomic levels (class to genus), by dominant phylotypes as well as by the rare biosphere, and with specialists dominating IB and generalists SW. The dominant phylotypes in IB were related to Candidatus Aquiluna and Flavobacterium, those in SW to Balneatrix and ZD0405, and those shared between the habitats to Halomonas, Polaribacter and Shewanella. A meta-analysis for the oligotrophic CAO showed a pattern with Flavobacteriia dominating in melt ponds, Flavobacteriia and Gammaproteobacteria in solid ice cores, Flavobacteriia, Gamma- and Betaproteobacteria, and Actinobacteria in brine, and Alphaproteobacteria in SW. Based on our results, we expect that the roles of Actinobacteria and Betaproteobacteria in the CAO will increase with global warming owing to the increased production of meltwater in summer. IB contained three times more phylotypes than SW and may act as an insurance reservoir for bacterial diversity that can act as a recruitment base when environmental conditions change.</t>
  </si>
  <si>
    <t>[Fernandez-Gomez, Beatriz; Diez, Beatriz; Marchandon, German; Sanhueza, Cynthia] Pontificia Univ Catolica Chile, Dept Mol Genet &amp; Microbiol, Santiago, Chile; [Diez, Beatriz; Farias, Laura] Ctr Climate &amp; Resilience Res, Concepcion, Chile; [Polz, Martin F.] MIT, Dept Civil &amp; Environm Engn, 77 Massachusetts Ave, Cambridge, MA 02139 USA; [Ignacio Arroyo, Jose; Marquet, Pablo A.] Pontificia Univ Catolica Chile, Dept Ecol, Santiago, Chile; [Alfaro, Fernando D.; Trefault, Nicole] Univ Mayor, GEMA Ctr Genom Ecol &amp; Environm, Santiago, Chile; [Farias, Laura] Univ Concepcion, Dept Oceanog, Concepcion, Chile; [Marquet, Pablo A.] Univ Chile, Inst Ecol &amp; Biodiversidad, Santiago, Chile; [Alfaro, Fernando D.; Molina-Montenegro, Marco A.] Univ Talca, Inst Ciencias Biol, Talca, Chile; [Molina-Montenegro, Marco A.] Univ Catolica Norte, Ctr Estudios Avanzados Zonas Aridas, Coquimbo, Chile; [Sylvander, Peter; Snoeijs-Leijonmalm, Pauline] Stockholm Univ, Dept Ecol Environm &amp; Plant Sci, Stockholm, Sweden; [Fernandez-Gomez, Beatriz] Univ Chile, INTA, Santiago, Chile</t>
  </si>
  <si>
    <t>Pontificia Universidad Catolica de Chile; Massachusetts Institute of Technology (MIT); Pontificia Universidad Catolica de Chile; Universidad Mayor; Universidad de Concepcion; Universidad de Chile; Universidad Catolica del Norte; Stockholm University; Universidad de Chile</t>
  </si>
  <si>
    <t>Díez, B (corresponding author), Pontificia Univ Catolica Chile, Dept Mol Genet &amp; Microbiol, Santiago, Chile.;Díez, B (corresponding author), Ctr Climate &amp; Resilience Res, Concepcion, Chile.</t>
  </si>
  <si>
    <t>bdiez@bio.puc.cl</t>
  </si>
  <si>
    <t>Polz, Martin/ABE-7199-2020; Polz, Martin/HPG-8222-2023; Fernández-Gómez, Beatriz/AAY-6425-2020; Fernández-Gómez, Beatriz/E-8715-2019; Díez, Beatriz/AAG-2244-2021; Alfaro, Fernando D./ABA-2789-2020; Marquet, Pablo A/B-7732-2009; Fernández-Gómez, Beatriz/HKO-2776-2023</t>
  </si>
  <si>
    <t>Polz, Martin/0000-0002-4975-2946; Fernández-Gómez, Beatriz/0000-0002-0886-2460; Fernández-Gómez, Beatriz/0000-0002-0886-2460; Díez, Beatriz/0000-0002-9371-8083; Marquet, Pablo A/0000-0001-6369-9339;</t>
  </si>
  <si>
    <t>Swedish research foundations VR (SWEDARCTIC 2011-2015); FORMAS [2012-1459]; Carl Trygger Foundation for Scientific Research; Chilean research foundation CONICYT [FONDAP 15110009, DPI20140044, 3140422]; Chilean research foundation INACH [15-10, FP_03-13, MT_01-12]; CONICYT (Master Program); FONDECYT [1120719]; [PFB-023]; [ICM P05-002]</t>
  </si>
  <si>
    <t>Swedish research foundations VR (SWEDARCTIC 2011-2015)(Swedish Research Council); FORMAS(Swedish Research Council Formas); Carl Trygger Foundation for Scientific Research; Chilean research foundation CONICYT; Chilean research foundation INACH; CONICYT (Master Program); FONDECYT(Comision Nacional de Investigacion Cientifica y Tecnologica (CONICYT)CONICYT FONDECYT); ;</t>
  </si>
  <si>
    <t>We warmly thank the Swedish Polar Research Secretariat (www.polar.se) and the crew of RV Oden for their assistance with sampling and further help with practical matters before and during the LOMROG III cruise. We thank Lars Cresten Lund-Hansen and Brian K. Sorrell for drilling holes in the ice and Brenda Riquelme for laboratory assistance. This work was supported by grants from the Swedish research foundations VR (SWEDARCTIC 2011-2015), FORMAS (2012-1459) and the Carl Trygger Foundation for Scientific Research to PSL. Analyses and travels of BD and LF were supported by grants from the Chilean research foundations CONICYT (FONDAP 15110009 and DPI20140044 to BD, Postdoctorado 2014 N degrees 3140422 to BFG) and INACH (15-10 to BD, FP_03-13 to BFG, MT_01-12 to CS), CONICYT (Master Program) to CS, FONDECYT (1120719) to LF, and PFB-023 and ICM P05-002 to PM. The funders had no role in study design, data collection and analysis, decision to publish or preparation of the manuscript.</t>
  </si>
  <si>
    <t>10.1038/s41396-018-0268-9</t>
  </si>
  <si>
    <t>HH5ED</t>
  </si>
  <si>
    <t>WOS:000455747900007</t>
  </si>
  <si>
    <t>Clewlow, HL; Takahashi, A; Watanabe, S; Votier, SC; Downie, R; Ratcliffe, N</t>
  </si>
  <si>
    <t>Clewlow, Harriet L.; Takahashi, Akinori; Watanabe, Shinichi; Votier, Stephen C.; Downie, Rod; Ratcliffe, Norman</t>
  </si>
  <si>
    <t>Niche partitioning of sympatric penguins by leapfrog foraging appears to be resilient to climate change</t>
  </si>
  <si>
    <t>JOURNAL OF ANIMAL ECOLOGY</t>
  </si>
  <si>
    <t>allochrony; climate change; competition; foraging ecology; leapfrog foraging; niche partitioning; penguin; tracking</t>
  </si>
  <si>
    <t>THICK-BILLED MURRES; CHINSTRAP PENGUINS; COMPETITIVE-EXCLUSION; REPRODUCTIVE SUCCESS; ECOLOGICAL RELATIONSHIPS; COMMON MURRES; GEORGE-ISLAND; URIA-AALGE; ADELIE; SEGREGATION</t>
  </si>
  <si>
    <t>Interspecific competition can drive niche partitioning along multidimensional axes, including allochrony. Competitor matching will arise where the phenology of sympatric species with similar ecological requirements responds to climate change at different rates such that allochrony is reduced. Our study quantifies the degree of niche segregation in foraging areas and depths that arises from allochrony in sympatric Adelie and chinstrap penguins and explores its resilience to climate change. Three-dimensional tracking data were sampled during all stages of the breeding season and were used to parameterise a behaviour-based model that quantified spatial overlap of foraging areas under different scenarios of allochrony. The foraging ranges of the two species were similar within breeding stages, but differences in their foraging ranges between stages, combined with the observed allochrony of 28 days, resulted in them leapfrogging each other through the breeding season such that they were exploiting different foraging locations on the same calendar dates. Allochrony reduced spatial overlap in the peripheral utilisation distribution of the two species by 54.0% over the entire breeding season, compared to a scenario where the two species bred synchronously. Analysis of long-term phenology data revealed that both species advanced their laying dates in relation to October air temperatures at the same rate, preserving allochrony and niche partitioning. However, if allochrony is reduced by just a single day, the spatial overlap of the core utilisation distribution increased by an average of 2.1% over the entire breeding season. Niche partitioning between the two species by allochrony appears to be resilient to climate change and so competitor matching cannot be implicated in the observed population declines of the two penguin species across the Western Antarctic Peninsula.</t>
  </si>
  <si>
    <t>[Clewlow, Harriet L.; Ratcliffe, Norman] British Antarctic Survey, Cambridge, England; [Clewlow, Harriet L.; Votier, Stephen C.] Univ Exeter, Ctr Ecol &amp; Conservat, Penryn, England; [Takahashi, Akinori] Natl Inst Polar Res, Tachikawa, Tokyo, Japan; [Watanabe, Shinichi] Fukuyama Univ, Fukuyama, Hiroshima, Japan; [Downie, Rod] WWF UK, Living Planet Ctr, Woking, Surrey, England</t>
  </si>
  <si>
    <t>UK Research &amp; Innovation (UKRI); Natural Environment Research Council (NERC); NERC British Antarctic Survey; University of Exeter; Research Organization of Information &amp; Systems (ROIS); National Institute of Polar Research (NIPR) - Japan; Fukuyama University; World Wildlife Fund</t>
  </si>
  <si>
    <t>Clewlow, HL (corresponding author), British Antarctic Survey, Cambridge, England.;Clewlow, HL (corresponding author), Univ Exeter, Ctr Ecol &amp; Conservat, Penryn, England.</t>
  </si>
  <si>
    <t>halow73@bas.ac.uk</t>
  </si>
  <si>
    <t>Votier, Stephen/IUO-0154-2023</t>
  </si>
  <si>
    <t>Votier, Stephen/0000-0002-0976-0167; Takahashi, Akinori/0000-0002-9868-0408; Clewlow, Harriet L./0000-0002-5925-9100</t>
  </si>
  <si>
    <t>Natural Environment Research Council [NE/L002434/1]; NERC [bas0100035] Funding Source: UKRI</t>
  </si>
  <si>
    <t>Natural Environment Research Council, Grant/Award Number: [NE/L002434/1]</t>
  </si>
  <si>
    <t>0021-8790</t>
  </si>
  <si>
    <t>1365-2656</t>
  </si>
  <si>
    <t>J ANIM ECOL</t>
  </si>
  <si>
    <t>J. Anim. Ecol.</t>
  </si>
  <si>
    <t>10.1111/1365-2656.12919</t>
  </si>
  <si>
    <t>HL8AM</t>
  </si>
  <si>
    <t>WOS:000458963200004</t>
  </si>
  <si>
    <t>Véliz, K; Chandía, N; Karsten, U; Lara, C; Thiel, M</t>
  </si>
  <si>
    <t>Veliz, Karina; Chandia, Nancy; Karsten, Ulf; Lara, Carlos; Thiel, Martin</t>
  </si>
  <si>
    <t>Geographic variation in biochemical and physiological traits of the red seaweeds Chondracanthus chamissoi and Gelidium lingulatum from the south east Pacific coast</t>
  </si>
  <si>
    <t>Rhodophyta; Carrageenans; Agar; Mycosporine-like amino acids; Ecotypes; Chile</t>
  </si>
  <si>
    <t>UDP-GLUCOSE-PYROPHOSPHORYLASE; AMINO-ACIDS; CARRAGEENAN CONTENT; MAZZAELLA-LAMINARIOIDES; ANTARCTIC MACROALGAE; SUNSCREEN CONTENTS; CARBON ALLOCATION; CHLOROPHYLL-A; ALGA; RHODOPHYTA</t>
  </si>
  <si>
    <t>Diverse phenotypic characteristics have evolved in seaweeds to cope with environmental stress, but these traits can vary among populations of the same species especially if these are distributed along environmental gradients. In this study, natural populations of the carrageenophyte Chondracanthus chamissoi and the agarophyte Gelidium lingulatum from a latitudinal gradient along the Chilean coast (between 20 degrees S and 41 degrees S) were compared. We determined physiological and biochemical traits in field and culture samples. Sulfated polysaccharide contents ranged from 15.4 to 52.7% dry weight (DW) in C. chamissoi and from 10.9 to 25.1% DW in G. lingulatum. Carrageenan amounts were higher in gametophytes than tetrasporophytes and were also, depending on life cycle phase, negatively correlated with the geographic variation of temperature, photosynthetically active radiation (PAR), and chlorophyll a (Chl a), whereas agar showed no significant correlation with these variables. The UV-absorbing mycosporine-like amino acids (MAAs) shinorine and palythine in both species ranged from 0.8 to 6.8 mg g(-1) DW and these contents were positively correlated to PAR and Chl a levels at the sampling site. In C. chamissoi variation among populations in their photosynthetic characteristics, pigment concentrations, antioxidant capacity, and MAA contents were persistent after acclimation under common-garden conditions, suggesting ecotypic differentiation in this species. Contrary, G. lingulatum seems to have a more generalist strategy because differences after cultivation were observed only in some photosynthetic parameters and phycobiliprotein concentration. This study confirms that intraspecific differences in phenotypic traits along the same geographic area are strongly dependent on species and life cycle phases.</t>
  </si>
  <si>
    <t>[Veliz, Karina] Univ Catolica Norte, Biol &amp; Ecol Aplicada, Coquimbo, Chile; [Veliz, Karina; Chandia, Nancy] Univ Catolica Norte, Lab Mol Bioact, Coquimbo, Chile; [Veliz, Karina; Chandia, Nancy; Thiel, Martin] Univ Catolica Norte, Fac Ciencias Mar, Dept Biol Marina, Larrondo 1281, Coquimbo, Chile; [Karsten, Ulf] Univ Rostock, Inst Biol Sci Appl Ecol &amp; Phycol, Albert Einstein Str 3, D-18057 Rostock, Germany; [Lara, Carlos] Univ Bernardo OHiggins, Ctr Invest Recursos Nat &amp; Sustentabilidad CIRENYS, Ave Viel 1497, Santiago, Chile; [Thiel, Martin] Ctr Estudios Avanzados Zonas Aridas CEAZA, Ave Ossandon 877, Coquimbo, Chile; [Thiel, Martin] Millennium Nucleus Ecol &amp; Sustainable Management, Coquimbo, Chile</t>
  </si>
  <si>
    <t>Universidad Catolica del Norte; Universidad Catolica del Norte; Universidad Catolica del Norte; University of Rostock; Universidad Bernardo O'Higgins</t>
  </si>
  <si>
    <t>Véliz, K (corresponding author), Univ Catolica Norte, Biol &amp; Ecol Aplicada, Coquimbo, Chile.;Véliz, K (corresponding author), Univ Catolica Norte, Lab Mol Bioact, Coquimbo, Chile.;Véliz, K (corresponding author), Univ Catolica Norte, Fac Ciencias Mar, Dept Biol Marina, Larrondo 1281, Coquimbo, Chile.</t>
  </si>
  <si>
    <t>kjveliz@ucn.cl</t>
  </si>
  <si>
    <t>Peña, Carlos Lara/S-8414-2019</t>
  </si>
  <si>
    <t>Peña, Carlos Lara/0000-0003-1223-7761</t>
  </si>
  <si>
    <t>CONICYT-Chile [21130402, FIAC2-UCN1104]; Fondecyt [1131082]; FIC-R [BIP 30137720-0]; Millennium Nucleus Center for the Study of Multiple Drivers on Marine Socio-Ecological Systems (MUSELS) - MINECON [NC120086]</t>
  </si>
  <si>
    <t>CONICYT-Chile(Comision Nacional de Investigacion Cientifica y Tecnologica (CONICYT)); Fondecyt(Comision Nacional de Investigacion Cientifica y Tecnologica (CONICYT)CONICYT FONDECYT); FIC-R; Millennium Nucleus Center for the Study of Multiple Drivers on Marine Socio-Ecological Systems (MUSELS) - MINECON</t>
  </si>
  <si>
    <t>Financial support for this study was provided by Ph.D Grant CONICYT-Chile 21130402 and FIAC2-UCN1104 to K.V., Fondecyt 1131082 to M.T., and FIC-R BIP 30137720-0 to N.C.; C.L. acknowledges support from the Millennium Nucleus Center for the Study of Multiple Drivers on Marine Socio-Ecological Systems (MUSELS) funded by MINECON NC120086.</t>
  </si>
  <si>
    <t>10.1007/s10811-018-1532-0</t>
  </si>
  <si>
    <t>HL4NH</t>
  </si>
  <si>
    <t>WOS:000458698200058</t>
  </si>
  <si>
    <t>Song, W; Li, LZ; Huang, HL; Jiang, KJ; Zhang, FY; Wang, LM; Zhao, M; Ma, LB</t>
  </si>
  <si>
    <t>Song, Wei; Li, Lingzhi; Huang, Hongliang; Jiang, Keji; Zhang, Fengying; Wang, Luming; Zhao, Ming; Ma, Lingbo</t>
  </si>
  <si>
    <t>Tissue-based transcriptomics of Chionodraco hamatus: Sequencing, de novo assembly, annotation and marker discovery</t>
  </si>
  <si>
    <t>JOURNAL OF FISH BIOLOGY</t>
  </si>
  <si>
    <t>Antarctic fish; differentially expressed genes; endangered species; organ-specific transcriptome</t>
  </si>
  <si>
    <t>RNA-SEQ DATA; GENE-EXPRESSION; COLD; FISH; GENERATION; EVOLUTION; ACCLIMATION; HEMOGLOBIN; MYOGLOBIN</t>
  </si>
  <si>
    <t>Here, we explored the liver, heart and muscle tissue transcriptome of the haemoglobinless Antarctic fish Chionodraco hamatus using the Illumina paired-end RNA sequencing. A total of 114,028 unigenes with a mean length of 794.24 bp was produced. Annotation of these unigenes showed that 29.16% and 35.52% of them had hits in the nucleotide (Nt) and protein (Nr) databases, respectively. In addition, 29.10% and 35.28% unigenes were annotated in the SwissProt and TrEMBL databases while 23.27% and 21.08% of unigenes were annotated in the conserved domain (CCD) and protein family (PFAM) databases, respectively. The results of eukaryotic orthologous groups (KOG) classification analysis showed that around 21.36% of unigenes could be mapped. Differential gene expression analysis indicated that 16,331, 16,291 and 13,262 differentially expressed genes (DEG) could be screened between muscle and heart, muscle and liver and heart and liver, respectively. A significant enrichment analysis of these DEGs revealed their implication in important biological processes, molecular functions, cellular components and diverse pathways. Furthermore, a total of 24,455 simple sequence repeats (SSR) were detected from the generated tissue transcriptome. The transcriptome data produced in this study will constitute an important resource for improving our knowledge of C. hamatus functional genomics and will facilitate future studies regarding this species.</t>
  </si>
  <si>
    <t>[Song, Wei; Li, Lingzhi; Huang, Hongliang; Jiang, Keji; Zhang, Fengying; Wang, Luming; Zhao, Ming; Ma, Lingbo] Chinese Acad Fishery Sci, East China Sea Fisheries Res Inst, Key Lab East China Sea &amp; Ocean Fishery Resources, Minist Agr, Shanghai 200090, Peoples R China</t>
  </si>
  <si>
    <t>Ministry of Agriculture &amp; Rural Affairs; Chinese Academy of Fishery Sciences; East China Sea Fisheries Research Institute, CAFS</t>
  </si>
  <si>
    <t>Song, W (corresponding author), Chinese Acad Fishery Sci, East China Sea Fisheries Res Inst, Key Lab East China Sea &amp; Ocean Fishery Resources, Minist Agr, Shanghai 200090, Peoples R China.</t>
  </si>
  <si>
    <t>swift258@163.com</t>
  </si>
  <si>
    <t>Jiang, keji/F-1519-2010</t>
  </si>
  <si>
    <t>Special Fund for Agro-scientific Research in the Public Interest [201203018]; National Science &amp; Technology Support Plan [2013BAD13B03]</t>
  </si>
  <si>
    <t>Special Fund for Agro-scientific Research in the Public Interest; National Science &amp; Technology Support Plan</t>
  </si>
  <si>
    <t>This work was supported by the Special Fund for Agro-scientific Research in the Public Interest (201203018) and the Sub-project under National Science &amp; Technology Support Plan (No. 2013BAD13B03); Special Fund for Agro-scientific Research in the Public Interest, Grant/Award Number: 201203018; Subproject under National Science &amp; Technology Support Plan, Grant/Award Number: 2013BAD13B03</t>
  </si>
  <si>
    <t>0022-1112</t>
  </si>
  <si>
    <t>1095-8649</t>
  </si>
  <si>
    <t>J FISH BIOL</t>
  </si>
  <si>
    <t>J. Fish Biol.</t>
  </si>
  <si>
    <t>10.1111/jfb.13882</t>
  </si>
  <si>
    <t>HM1LJ</t>
  </si>
  <si>
    <t>WOS:000459212600006</t>
  </si>
  <si>
    <t>Shabangu, FW; Findlay, KP; Yemane, D; Stafford, KM; van den Berg, M; Blows, B; Andrew, RK</t>
  </si>
  <si>
    <t>Shabangu, Fannie W.; Findlay, Ken P.; Yemane, Dawit; Stafford, Kathleen M.; van den Berg, Marcel; Blows, Bradley; Andrew, Rex K.</t>
  </si>
  <si>
    <t>Seasonal occurrence and diel calling behaviour of Antarctic blue whales and fin whales in relation to environmental conditions off the west coast of Check for South Africa</t>
  </si>
  <si>
    <t>JOURNAL OF MARINE SYSTEMS</t>
  </si>
  <si>
    <t>Seasonal occurrence; Blue whale; Fin whale; Acoustic monitoring; Behaviour; Benguela ecosystem; Environmental conditions</t>
  </si>
  <si>
    <t>NORTHERN BENGUELA CURRENT; BALAENOPTERA-MUSCULUS; ACOUSTIC PRESENCE; CALIFORNIA; OCEAN; TEMPERATURE; EUPHAUSIIDS; REGRESSION; HEMISPHERE; FREQUENCY</t>
  </si>
  <si>
    <t>Passive acoustic monitoring was used to detect the sounds of rarely sighted Antarctic blue and fin whales to investigate their seasonal occurrence (as presence or absence of whale calls) and behaviour (as determined from call rates) in the Benguela ecosystem. Data were collected using autonomous acoustic recorders deployed on oceanographic moorings for 16.26 months off the west coast of South Africa in 2014 and 2015. Satellite derived environmental variables were used as predictors of whale acoustic occurrence and behaviour. Migratory Antarctic blue and fin whales were acoustically present in South African waters between May and August with call occurrence peaks in July whereas some fin whales extended their presence to November. No whale calls were recorded in summer for either species, suggesting whales use the Benguela ecosystem as an overwintering ground and migration route. Antarctic blue whales produced both their characteristic Z-call and their feeding associated D-call. Fin whales produced calls characteristic of animals from the eastern Antarctic fin whale acoustic population. Random forest models identified environmental variables such as sea surface temperature anomaly, sea surface height, wind speed, months of the year, Ekman upwelling index and log-transformed chlorophyll-a as the most important predictors of call occurrence and call rates of blue and fin whales. Here we present the first acoustic recordings of Antarctic blue and fin whales in the Benguela ecosystem, and provide preliminary information to investigate seasonal abundance and distribution of these large baleen whale populations. This work demonstrates the feasibility of cost-effectively monitoring Antarctic top-consumer baleen whales in the Benguela ecosystem.</t>
  </si>
  <si>
    <t>[Shabangu, Fannie W.; Yemane, Dawit] Dept Agr Forestry &amp; Fisheries, Fisheries Management, Cape Town, South Africa; [Shabangu, Fannie W.; Findlay, Ken P.] Univ Pretoria, Whale Unit, Mammal Res Inst, CO 16 Ebor Rd, ZA-7800 Wynberg, South Africa; [Findlay, Ken P.] Cape Peninsula Univ Technol, POB 652, ZA-8000 Cape Town, South Africa; [Stafford, Kathleen M.; Andrew, Rex K.] Univ Washington, Appl Phys Lab, Seattle, WA 98105 USA; [van den Berg, Marcel] Dept Environm Affairs, Oceans &amp; Coasts, Cape Town, South Africa; [Blows, Bradley] Bayworld Ctr Res &amp; Educ, Port Elizabeth, South Africa</t>
  </si>
  <si>
    <t>University of Pretoria; Cape Peninsula University of Technology; University of Washington; University of Washington Seattle; Department of Environment, Forestry &amp; Fisheries</t>
  </si>
  <si>
    <t>Shabangu, FW (corresponding author), Dept Agr Forestry &amp; Fisheries, Fisheries Management, Cape Town, South Africa.</t>
  </si>
  <si>
    <t>fannie.shabangu@yahoo.com</t>
  </si>
  <si>
    <t>Findlay, Ken/A-5766-2019</t>
  </si>
  <si>
    <t>Findlay, Ken/0000-0001-7154-8805; Shabangu, Fannie W./0000-0002-3668-3566</t>
  </si>
  <si>
    <t>National Research Foundation; South African National Antarctic Programme</t>
  </si>
  <si>
    <t>We acknowledge the National Research Foundation and the South African National Antarctic Programme for financial support of this South African Antarctic Blue Whale Project. The Department of Environmental Affairs is acknowledged for its kind assistance with the data collection. We thank Marcel du Plessis, Department of Oceanography, University of Cape Town, for his help with access to the AVISO SSH data. We are sincerely indebted to Prof Isabelle Ansorge and other SAMOC oceanographers for permitting our AARs to hitchhike on their oceanographic moorings. We thank everyone who helped in the deployment and recovery of the AARs including captains and crew of RV Algoa. Catherine Boucher is thanked for graphic assistance. We are grateful to Dr. Sheldon Dudley for his invaluable comments and suggestions on the earlier draft of this manuscript. Reviewers are thanked for useful comments and suggestions on this paper.</t>
  </si>
  <si>
    <t>0924-7963</t>
  </si>
  <si>
    <t>1879-1573</t>
  </si>
  <si>
    <t>J MARINE SYST</t>
  </si>
  <si>
    <t>J. Mar. Syst.</t>
  </si>
  <si>
    <t>10.1016/j.jmarsys.2018.11.002</t>
  </si>
  <si>
    <t>Geosciences, Multidisciplinary; Marine &amp; Freshwater Biology; Oceanography</t>
  </si>
  <si>
    <t>Geology; Marine &amp; Freshwater Biology; Oceanography</t>
  </si>
  <si>
    <t>HE0CQ</t>
  </si>
  <si>
    <t>WOS:000452934800003</t>
  </si>
  <si>
    <t>Wade, NM; Clark, TD; Maynard, BT; Atherton, S; Wilkinson, RJ; Smullen, RP; Taylor, RS</t>
  </si>
  <si>
    <t>Wade, Nicholas M.; Clark, Timothy D.; Maynard, Ben T.; Atherton, Stuart; Wilkinson, Ryan J.; Smullen, Richard P.; Taylor, Richard S.</t>
  </si>
  <si>
    <t>Effects of an unprecedented summer heatwave on the growth performance, flesh colour and plasma biochemistry of marine cage-farmed Atlantic salmon (Salmo salar)</t>
  </si>
  <si>
    <t>JOURNAL OF THERMAL BIOLOGY</t>
  </si>
  <si>
    <t>Temperature; Relative Condition Index; Predicting performance; Astaxanthin; Thermal stress; Aquaculture</t>
  </si>
  <si>
    <t>RAINBOW-TROUT; DIETARY ASTAXANTHIN; ONCORHYNCHUS-MYKISS; FEED-INTAKE; SEA CAGES; L.; TEMPERATURE; HYPOXIA; MUSCLE; TOLERANCE</t>
  </si>
  <si>
    <t>Global seawater temperatures are increasing and becoming more variable, with consequences for all marine animals including those in food production systems. In several countries around the world,arming of Atlantic salmon (Salmo solar) occurs towards the upper end of the thermal tolerance window for this species, and marked effects on salmon production during summers have been experienced but never empirically investigated. This project tracked the effects of an extreme summer heatwave on two different cohorts of fish stocked into farm cages either during early winter (EW) or late winter (LW). The farm site experienced an unprecedented high water temperature event, with a peak water temperature of 22.9 degrees C and 117 days above 18 degrees C. Fish in both EW and LW cohorts experienced a temperature-induced cessation of voluntary feed intake as well as inefficient osmoregulatory, liver and renal function during high temperature periods. Flesh colour declined primarily in the dorsal and ventral regions of the fillet and secondarily along the midline, with over 20% of fish demonstrated a complete loss of flesh colour during the months of March and April. A return to feeding in autumn occurred faster in some fish and caused a marked bimodal size distribution to appear within both the EW and LW cohorts as autumn progressed. However, the LW cohort returned to feeding at seawater temperatures of 20.2 degrees C, compared with 18.6 degrees C for the EW cohort. There was a strong positive relationship between fillet colour recovery and residual condition index (RCI). These findings identified alkaline phosphatase as a potential marker to non-destructively track individual fish for signs of recovery after a thermal stress event, and shed light on the physiological consequences of marine heatwaves on fishes. This study also identified that supporting feed intake or promoting a return to feeding may help mitigate the negative impacts of climate warming on cultured Atlantic salmon.</t>
  </si>
  <si>
    <t>[Wade, Nicholas M.] CSIRO Agr &amp; Food, Queensland Biosci Precinct, St Lucia, Qld 4067, Australia; [Clark, Timothy D.; Maynard, Ben T.; Taylor, Richard S.] CSIRO Agr &amp; Food, Hobart, Tas 7000, Australia; [Clark, Timothy D.] Univ Tasmania, Inst Marine &amp; Antarctic Studies, Hobart, Tas 7001, Australia; [Atherton, Stuart] Petuna Aquaculture, 134 Tarleton St, East Devonport, Tas 7310, Australia; [Wilkinson, Ryan J.; Smullen, Richard P.] Ridley Aquafeed, 31 Robart Court, Narangba, Qld 4504, Australia</t>
  </si>
  <si>
    <t>Commonwealth Scientific &amp; Industrial Research Organisation (CSIRO); Commonwealth Scientific &amp; Industrial Research Organisation (CSIRO); University of Tasmania</t>
  </si>
  <si>
    <t>Wade, NM (corresponding author), Queensland Biosci Precinct, 80 Serv Rd, St Lucia, Qld 4067, Australia.</t>
  </si>
  <si>
    <t>nick.wade@csiro.au</t>
  </si>
  <si>
    <t>Taylor, Richard S./T-7996-2019; Taylor, Richard S/E-9961-2012; Wade, Nick/JZT-2421-2024; Clark, Timothy/K-7129-2012</t>
  </si>
  <si>
    <t>Taylor, Richard S./0000-0003-0312-7317; Wade, Nick/0000-0001-7235-6274; Clark, Timothy/0000-0001-8738-3347</t>
  </si>
  <si>
    <t>Ridley Aquafeed Pty Ltd; CSIRO Agriculture and Food; Petuna Seafoods</t>
  </si>
  <si>
    <t>This work was supported by Ridley Aquafeed Pty Ltd, Petuna Seafoods and CSIRO Agriculture and Food.</t>
  </si>
  <si>
    <t>0306-4565</t>
  </si>
  <si>
    <t>J THERM BIOL</t>
  </si>
  <si>
    <t>J. Therm. Biol.</t>
  </si>
  <si>
    <t>10.1016/j.jtherbio.2018.12.021</t>
  </si>
  <si>
    <t>Biology; Zoology</t>
  </si>
  <si>
    <t>Life Sciences &amp; Biomedicine - Other Topics; Zoology</t>
  </si>
  <si>
    <t>HO3MQ</t>
  </si>
  <si>
    <t>WOS:000460827600008</t>
  </si>
  <si>
    <t>Yang, RW; Wang, J; Zhang, TY; He, SP</t>
  </si>
  <si>
    <t>Yang, Ruowen; Wang, Jian; Zhang, Tianyu; He, Shengping</t>
  </si>
  <si>
    <t>Change in the relationship between the Australian summer monsoon circulation and boreal summer precipitation over Central China in the late 1990s</t>
  </si>
  <si>
    <t>METEOROLOGY AND ATMOSPHERIC PHYSICS</t>
  </si>
  <si>
    <t>INTERANNUAL VARIABILITY; ANTARCTIC OSCILLATION; ARCTIC OSCILLATION; CO-VARIABILITY; ASIAN MONSOON; ALEUTIAN LOW; CLIMATE; RAINFALL; IMPACT</t>
  </si>
  <si>
    <t>Recent study revealed a close connection between the Australian summer monsoon (ASM) and boreal summer precipitation over Central China (SPCC). This study further revealed a strengthening of the ASM-SPCC relationship around the late 1990s. It is found that the relationship between the ASM and the SPCC during 1979-1997 (1998-2014) relationship is statistically insignificant (significant). Further analysis indicated that during 1998-2014, the weakened ASM is concurrent with significant positive sea surface temperature (SST) in the Indian Ocean and South China Sea, which could persist into the following boreal summer and further lead to intensified East Asian summer monsoon, strengthened western North Pacific subtropical high, and anomalous ascending motion over Central China. Consequently, more moisture is transported from the western Pacific northward to Central China where significant anomalous convergence appears. Therefore, the ASM could potentially influence the SPCC during 1998-2014. By contrast, the ASM-related SST and atmospheric circulation anomalies in boreal winter are statistically insignificant during 1979-1997. Such an interdecadal change might be attributed to the interdecadal warming that occurred in the Indian Ocean and South China Sea around the late 1990s. This study might be useful for the prediction of the SPCC.</t>
  </si>
  <si>
    <t>[Yang, Ruowen; Wang, Jian] Yunnan Univ, Dept Atmospher Sci, Kunming, Yunnan, Peoples R China; [Yang, Ruowen] Nanjing Univ Informat Sci &amp; Technol, Key Lab Meteorol Disaster, Minist Educ, Nanjing 210044, Jiangsu, Peoples R China; [Zhang, Tianyu] Chongqing Climate Ctr, Chongqing 401147, Peoples R China; [He, Shengping] Univ Bergen, Bjerknes Ctr Climate Res, Geophys Inst, Allegt 70, N-5020 Bergen, Norway</t>
  </si>
  <si>
    <t>Yunnan University; Nanjing University of Information Science &amp; Technology; University of Bergen; Bjerknes Centre for Climate Research</t>
  </si>
  <si>
    <t>He, SP (corresponding author), Univ Bergen, Bjerknes Ctr Climate Res, Geophys Inst, Allegt 70, N-5020 Bergen, Norway.</t>
  </si>
  <si>
    <t>Shengping.He@uib.no</t>
  </si>
  <si>
    <t>He, Shengping/A-4084-2017; Yang, Ruowen/R-5084-2016; HE, Shengping/AAD-5213-2022</t>
  </si>
  <si>
    <t>He, Shengping/0000-0003-4245-357X; HE, Shengping/0000-0003-4245-357X</t>
  </si>
  <si>
    <t>National Key Research and Development Program of China [2017YFC1404000]; National Natural Science Foundation of China [41505073, 41405001, U1502233, KLME1304]; Jiangsu Collaborative Innovation Center for Climate Change</t>
  </si>
  <si>
    <t>National Key Research and Development Program of China; National Natural Science Foundation of China(National Natural Science Foundation of China (NSFC)); Jiangsu Collaborative Innovation Center for Climate Change</t>
  </si>
  <si>
    <t>This research was supported by the National Key Research and Development Program of China Grant No. 2017YFC1404000, the National Natural Science Foundation of China (41505073, 41405001, U1502233), the program of KLME1304, and the Jiangsu Collaborative Innovation Center for Climate Change.</t>
  </si>
  <si>
    <t>0177-7971</t>
  </si>
  <si>
    <t>1436-5065</t>
  </si>
  <si>
    <t>METEOROL ATMOS PHYS</t>
  </si>
  <si>
    <t>Meteorol. Atmos. Phys.</t>
  </si>
  <si>
    <t>10.1007/s00703-017-0556-3</t>
  </si>
  <si>
    <t>HK0MV</t>
  </si>
  <si>
    <t>WOS:000457594600008</t>
  </si>
  <si>
    <t>McBride, MM</t>
  </si>
  <si>
    <t>McBride, Margaret M.</t>
  </si>
  <si>
    <t>Moving to the South Pole</t>
  </si>
  <si>
    <t>ANTARCTIC KRILL; VARIABILITY; STOCK</t>
  </si>
  <si>
    <t>In the Southern Ocean, climate-driven contraction of Antarctic krill from open ocean toward the frozen continent is a perilous journey. Research now shows that a poleward shift in distribution is accompanied by diminished spatial less habitat, lower densities and larger mean size of adults.</t>
  </si>
  <si>
    <t>[McBride, Margaret M.] Inst Marine Res, Ecosyst Proc Res Grp, Bergen, Norway</t>
  </si>
  <si>
    <t>Institute of Marine Research - Norway</t>
  </si>
  <si>
    <t>McBride, MM (corresponding author), Inst Marine Res, Ecosyst Proc Res Grp, Bergen, Norway.</t>
  </si>
  <si>
    <t>margaret.mcbride@hi.no</t>
  </si>
  <si>
    <t>10.1038/s41558-019-0396-x</t>
  </si>
  <si>
    <t>WOS:000456994900009</t>
  </si>
  <si>
    <t>Meijers, AJS; Meredith, MP; Murphy, EJ; Chambers, DP; Belchier, M; Young, EF</t>
  </si>
  <si>
    <t>Meijers, A. J. S.; Meredith, M. P.; Murphy, E. J.; Chambers, D. P.; Belchier, M.; Young, E. F.</t>
  </si>
  <si>
    <t>The role of ocean dynamics in king penguin range estimation</t>
  </si>
  <si>
    <t>SOUTHERN; SHIFTS</t>
  </si>
  <si>
    <t>[Meijers, A. J. S.; Meredith, M. P.; Murphy, E. J.; Belchier, M.; Young, E. F.] British Antarctic Survey, Cambridge, England; [Chambers, D. P.] Univ S Florida, Coll Marine Sci, St Petersburg, FL USA</t>
  </si>
  <si>
    <t>UK Research &amp; Innovation (UKRI); Natural Environment Research Council (NERC); NERC British Antarctic Survey; State University System of Florida; University of South Florida</t>
  </si>
  <si>
    <t>Meijers, AJS (corresponding author), British Antarctic Survey, Cambridge, England.</t>
  </si>
  <si>
    <t>andmei@bas.ac.uk</t>
  </si>
  <si>
    <t>Young, Emma/0000-0002-7069-6109; Meredith, Michael/0000-0002-7342-7756</t>
  </si>
  <si>
    <t>NERC [bas0100035, NE/N018095/1, bas0100033] Funding Source: UKRI</t>
  </si>
  <si>
    <t>10.1038/s41558-018-0388-2</t>
  </si>
  <si>
    <t>WOS:000456994900014</t>
  </si>
  <si>
    <t>Trucchi, E; Cristofari, R; Le Bohec, C</t>
  </si>
  <si>
    <t>Trucchi, Emiliano; Cristofari, Robin; Le Bohec, Celine</t>
  </si>
  <si>
    <t>Reply to: 'The role of ocean dynamics in king penguin range estimation'</t>
  </si>
  <si>
    <t>ANTARCTIC POLAR FRONT; CLIMATE</t>
  </si>
  <si>
    <t>[Trucchi, Emiliano] Univ Ferrara, Dept Life Sci &amp; Biotechnol, Ferrara, Italy; [Trucchi, Emiliano; Cristofari, Robin] Univ Oslo, Dept Biosci, CEES, Oslo, Norway; [Cristofari, Robin; Le Bohec, Celine] Univ Strasbourg, CNRS, IPHC, Strasbourg, France; [Cristofari, Robin; Le Bohec, Celine] CSM, Dept Biol Polaire, Monaco, Monaco; [Le Bohec, Celine] Unistra, CNRS, CSM, LIA BioSensib 647, Monaco, Monaco</t>
  </si>
  <si>
    <t>University of Ferrara; University of Oslo; Universites de Strasbourg Etablissements Associes; Universite de Strasbourg; Centre National de la Recherche Scientifique (CNRS)</t>
  </si>
  <si>
    <t>Trucchi, E (corresponding author), Univ Ferrara, Dept Life Sci &amp; Biotechnol, Ferrara, Italy.;Trucchi, E (corresponding author), Univ Oslo, Dept Biosci, CEES, Oslo, Norway.</t>
  </si>
  <si>
    <t>trcmln@unife.it</t>
  </si>
  <si>
    <t>LE BOHEC, CELINE/AAD-3589-2022; Cristofari, Robin/AAO-8097-2021</t>
  </si>
  <si>
    <t>LE BOHEC, Celine/0000-0003-0149-6477</t>
  </si>
  <si>
    <t>10.1038/s41558-018-0390-8</t>
  </si>
  <si>
    <t>WOS:000456994900015</t>
  </si>
  <si>
    <t>Atkinson, A; Hill, SL; Pakhomov, EA; Siegel, V; Reiss, CS; Loeb, VJ; Steinberg, DK; Schmidt, K; Tarling, GA; Gerrish, L; Sailley, SF</t>
  </si>
  <si>
    <t>Atkinson, Angus; Hill, Simeon L.; Pakhomov, Evgeny A.; Siegel, Volker; Reiss, Christian S.; Loeb, Valerie J.; Steinberg, Deborah K.; Schmidt, Katrin; Tarling, Geraint A.; Gerrish, Laura; Sailley, Sevrine F.</t>
  </si>
  <si>
    <t>Krill (Euphausia superba) distribution contracts southward during rapid regional warming</t>
  </si>
  <si>
    <t>ANTARCTIC KRILL; SOUTHERN-OCEAN; CLIMATE-CHANGE; SEA-ICE; ANNULAR MODE; COMMUNITIES; VARIABILITY; ECOSYSTEMS; HABITATS; GROWTH</t>
  </si>
  <si>
    <t>High-latitude ecosystems are among the fastest warming on the planet(1). Polar species may be sensitive to warming and ice loss, but data are scarce and evidence is conflicting(2-4). Here, we show that, within their main population centre in the southwest Atlantic sector, the distribution of Euphausia superba (hereafter, 'krill') has contracted southward over the past 90 years. Near their northern limit, numerical densities have declined sharply and the population has become more concentrated towards the Antarctic shelves. A concomitant increase in mean body length reflects reduced recruitment of juvenile krill. We found evidence for environmental controls on recruitment, including a reduced density of juveniles following positive anomalies of the Southern Annular Mode. Such anomalies are associated with warm, windy and cloudy weather and reduced sea ice, all of which may hinder egg production and the survival of larval krill(5). However, the total post-larval density has declined less steeply than the density of recruits, suggesting that survival rates of older krill have increased. The changing distribution is already perturbing the krill-centred food web(6) and may affect biogeochemical cycling(7,8). Rapid climate change, with associated nonlinear adjustments in the roles of keystone species, poses challenges for the management of valuable polar ecosystems(3).</t>
  </si>
  <si>
    <t>[Atkinson, Angus; Sailley, Sevrine F.] Plymouth Marine Lab, Plymouth, Devon, England; [Hill, Simeon L.; Tarling, Geraint A.; Gerrish, Laura] British Antarctic Survey, Cambridge, England; [Pakhomov, Evgeny A.] Univ British Columbia, Dept Earth Ocean &amp; Atmospher Sci, Vancouver, BC, Canada; [Pakhomov, Evgeny A.] Univ British Columbia, Inst Oceans &amp; Fisheries, Vancouver, BC, Canada; [Pakhomov, Evgeny A.] Hakai Inst, Heriot Bay, BC, Canada; [Siegel, Volker] Thuenen Inst Sea Fisheries, Bremerhaven, Germany; [Reiss, Christian S.] NOAA Fisheries, South West Fisheries Sci Ctr, Antarctic Ecosyst Res Div, La Jolla, CA USA; [Loeb, Valerie J.] Moss Landing Marine Labs, Pob 450, Moss Landing, CA 95039 USA; [Steinberg, Deborah K.] Coll William &amp; Mary, Virginia Inst Marine Sci, Gloucester Point, VA USA; [Schmidt, Katrin] Univ Plymouth, Sch Geog Earth &amp; Environm Sci, Plymouth, Devon, England</t>
  </si>
  <si>
    <t>Plymouth Marine Laboratory; UK Research &amp; Innovation (UKRI); Natural Environment Research Council (NERC); NERC British Antarctic Survey; University of British Columbia; University of British Columbia; Hakai Institute; Johann Heinrich von Thunen Institute; National Oceanic Atmospheric Admin (NOAA) - USA; Moss Landing Marine Laboratories; William &amp; Mary; Virginia Institute of Marine Science; University of Plymouth</t>
  </si>
  <si>
    <t>Atkinson, A (corresponding author), Plymouth Marine Lab, Plymouth, Devon, England.;Hill, SL (corresponding author), British Antarctic Survey, Cambridge, England.</t>
  </si>
  <si>
    <t>aat@pml.ac.uk; sih@bas.ac.uk</t>
  </si>
  <si>
    <t>Atkinson, Angus/HOH-3417-2023; Simeon, Hill L/B-2307-2008</t>
  </si>
  <si>
    <t>Hill, Simeon/0000-0003-1441-8769; Schmidt, Katrin/0000-0002-6488-623X; Steinberg, Deborah K./0000-0001-9884-4655</t>
  </si>
  <si>
    <t>NERC [NE/R015953/1]; Department for Environment, Food and Rural Affairs Marine Ecosystems Research Program (NERC project) [NE/L003066/1, NE/L003279/1]; US National Science Foundation's Antarctic Organisms and Ecosystems Program [PLR 1440435]; NERC [NE/R016038/1, NE/L003279/1, pml010010, bas0100035, NE/R015953/1, pml010004, pml010007] Funding Source: UKRI</t>
  </si>
  <si>
    <t>NERC(UK Research &amp; Innovation (UKRI)Natural Environment Research Council (NERC)); Department for Environment, Food and Rural Affairs Marine Ecosystems Research Program (NERC project); US National Science Foundation's Antarctic Organisms and Ecosystems Program; NERC(UK Research &amp; Innovation (UKRI)Natural Environment Research Council (NERC))</t>
  </si>
  <si>
    <t>We thank all those who have supplied their data to KRILLBASE, especially A. Baker for help with locating logbooks from the 1920s and 1930s, and R. Hewitt, R. Ross, L. Quetin and S Kawaguchi for provision of data or scientific advice. M. Jessopp, H. Peat and N. Ensor helped with compiling and checking the databases, G. Marshall advised on the SAM indices, F. Perry helped with mapping, D. Ashby helped with the infographic figure, and comments from G. Watters improved the manuscript. S. L. H. was supported by NERC core funding to the BAS Ecosystems programme. A. A. and S.F.S. were funded through NERC's National Capability modelling, the long-term single-centre science programme 'Climate Linked Atlantic Sector Science' (grant number NE/R015953/1), Theme 1.3-Biological Dynamics, and the NERC and Department for Environment, Food and Rural Affairs Marine Ecosystems Research Program (NERC project numbers NE/L003066/1 and NE/L003279/1). D.K.S. was supported by the US National Science Foundation's Antarctic Organisms and Ecosystems Program (grant PLR 1440435).</t>
  </si>
  <si>
    <t>10.1038/s41558-018-0370-z</t>
  </si>
  <si>
    <t>WOS:000456994900019</t>
  </si>
  <si>
    <t>Toohey, M; Krüger, K; Schmidt, H; Timmreck, C; Sigl, M; Stoffel, M; Wilson, R</t>
  </si>
  <si>
    <t>Toohey, Matthew; Kruger, Kirstin; Schmidt, Hauke; Timmreck, Claudia; Sigl, Michael; Stoffel, Markus; Wilson, Rob</t>
  </si>
  <si>
    <t>Disproportionately strong climate forcing from extratropical explosive volcanic eruptions</t>
  </si>
  <si>
    <t>MILLENNIUM ERUPTION; NORTHERN-HEMISPHERE; LAST MILLENNIUM; SULFUR; CHANGBAISHAN; SIMULATIONS; TEMPERATURE; SENSITIVITY; GREENLAND; IMPACTS</t>
  </si>
  <si>
    <t>Extratropical volcanic eruptions are commonly thought to be less effective at driving large-scale surface cooling than tropical eruptions. However, recent minor extratropical eruptions have produced a measurable climate impact, and proxy records suggest that the most extreme Northern Hemisphere cold period of the Common Era was initiated by an extratropical eruption in 536 CE. Using ice-core-derived volcanic stratospheric sulfur injections and Northern Hemisphere summer temperature reconstructions from tree rings, we show here that in proportion to their estimated stratospheric sulfur injection, extratropical explosive eruptions since 750 CE have produced stronger hemispheric cooling than tropical eruptions. Stratospheric aerosol simulations demonstrate that for eruptions with a sulfur injection magnitude and height equal to that of the 1991 Mount Pinatubo eruption, extratropical eruptions produce time-integrated radiative forcing anomalies over the Northern Hemisphere extratropics up to 80% greater than tropical eruptions, as decreases in aerosol lifetime are overwhelmed by the enhanced radiative impact associated with the relative confinement of aerosol to a single hemisphere. The model results are consistent with the temperature reconstructions, and elucidate how the radiative forcing produced by extratropical eruptions is strongly dependent on the eruption season and sulfur injection height within the stratosphere.</t>
  </si>
  <si>
    <t>[Toohey, Matthew] GEOMAR Helmholtz Ctr Ocean Res Kiel, Kiel, Germany; [Kruger, Kirstin; Sigl, Michael] Univ Oslo, Dept Geosci, Oslo, Norway; [Schmidt, Hauke; Timmreck, Claudia] Max Planck Inst Meteorol, Hamburg, Germany; [Sigl, Michael] Paul Scherrer Inst, Lab Environm Chem, Villigen, Switzerland; [Sigl, Michael] Oeschger Ctr Climate Change Res, Bern, Switzerland; [Stoffel, Markus] Univ Geneva, Inst Environm Sci, Climate Change Impacts &amp; Risks Anthropocene C CIA, Geneva, Switzerland; [Stoffel, Markus] Univ Geneva, Dept Earth Sci, Dendrolab Ch, Geneva, Switzerland; [Stoffel, Markus] Univ Geneva, Dept FA Forel Aquat &amp; Environm Sci, Geneva, Switzerland; [Wilson, Rob] Univ St Andrews, Sch Earth &amp; Environm Sci, St Andrews, Fife, Scotland; [Wilson, Rob] Columbia Univ, Lamont Doherty Earth Observ, Palisades, NY USA</t>
  </si>
  <si>
    <t>Helmholtz Association; GEOMAR Helmholtz Center for Ocean Research Kiel; University of Oslo; Max Planck Society; Swiss Federal Institutes of Technology Domain; Paul Scherrer Institute; University of Bern; University of Geneva; University of Geneva; University of Geneva; University of St Andrews; Columbia University</t>
  </si>
  <si>
    <t>Toohey, M (corresponding author), GEOMAR Helmholtz Ctr Ocean Res Kiel, Kiel, Germany.</t>
  </si>
  <si>
    <t>mtoohey@geomar.de</t>
  </si>
  <si>
    <t>Wilson, Robert/S-9147-2016; Toohey, Matthew/AAL-1896-2021; Schmidt, Hauke/J-4469-2013; IPO, PAGES/JXY-7546-2024; Stoffel, Markus/A-1793-2017</t>
  </si>
  <si>
    <t>Wilson, Robert/0000-0003-4486-8904; Toohey, Matthew/0000-0002-7070-405X; Stoffel, Markus/0000-0003-0816-1303; Sigl, Michael/0000-0002-9028-9703; Timmreck, Claudia/0000-0001-5355-0426; Kruger, Kirstin/0000-0002-0636-9488</t>
  </si>
  <si>
    <t>Federal Ministry for Education and Research in Germany (BMBF) [FKZ:01LP130B, 01LP1130A, 01LP1517B]; Deutsche Forschungsgemeinschaft (DFG) [TO 967/1-1]; NFR project VIKINGS [275191]; European Union project StratoClim (FP7-ENV.2013.6.1-2); US National Science Foundation; Swiss Academy of Sciences</t>
  </si>
  <si>
    <t>Federal Ministry for Education and Research in Germany (BMBF)(Federal Ministry of Education &amp; Research (BMBF)); Deutsche Forschungsgemeinschaft (DFG)(German Research Foundation (DFG)); NFR project VIKINGS; European Union project StratoClim (FP7-ENV.2013.6.1-2); US National Science Foundation(National Science Foundation (NSF)); Swiss Academy of Sciences</t>
  </si>
  <si>
    <t>This work was supported by the Federal Ministry for Education and Research in Germany (BMBF) through the research program MiKlip (grant nos FKZ:01LP130B, 01LP1130A and 01LP1517B). M.T. additionally acknowledges support by the Deutsche Forschungsgemeinschaft (DFG) in the framework of the priority programme Antarctic Research with comparative investigations in Arctic ice areas through grant no. TO 967/1-1. K.K. and M. Sigl acknowledge support through the NFR project VIKINGS (project no. 275191). C.T. additionally acknowledges support from the European Union project StratoClim (FP7-ENV.2013.6.1-2). Computations were performed at the German Climate Computer Center (DKRZ). The authors thank L. Schneider and co-workers for making their Northern Hemisphere temperature reconstruction publically available. This paper is a product of the Volcanic Impacts on Climate and Society (VICS) working group, as part of the Past Global Changes (PAGES) project, which in turn received support from the US National Science Foundation and the Swiss Academy of Sciences.</t>
  </si>
  <si>
    <t>10.1038/s41561-018-0286-2</t>
  </si>
  <si>
    <t>WOS:000457194900008</t>
  </si>
  <si>
    <t>Oakes, RL; Peck, VL; Manno, C; Bralower, TJ</t>
  </si>
  <si>
    <t>Oakes, Rosie L.; Peck, Victoria L.; Manno, Clara; Bralower, Timothy J.</t>
  </si>
  <si>
    <t>Impact of preservation techniques on pteropod shell condition</t>
  </si>
  <si>
    <t>Pteropod; Preservation; Dissolution; Shell condition; Sediment trap; Museum collections</t>
  </si>
  <si>
    <t>OCEAN ACIDIFICATION; LIMACINA-HELICINA; ARAGONITE; SEA; SEDIMENTATION; TEMPERATURES; DEGRADATION; FLUX</t>
  </si>
  <si>
    <t>Pteropods have been a key focus of ocean acidification studies during the last decade due to their fragile aragonite shells and key role they play in polar ecosystems. Pteropods collected at sea are typically preserved before analysis at onshore laboratories. Despite the importance placed on pteropods as a sentinel for the impact of ocean acidification on marine calcifiers, there has never been a systematic study assessing how different preservation techniques affect the condition of pteropod shells. In this study we perform an experiment to assess the impact of six preservation techniques on the shell condition of Limacina retroversa pteropods. Using five shell condition-assessment methods, we find shells that were air dried were the least altered relative to the time of collection. Of the solution-based preservation techniques, shells were least altered when preserved in 70% buffered ethanol and most altered in a solution of sodium chloride buffered formalin. Our results have implications for the interpretation of pteropod shell condition in samples which have been stored in solution, and provide guidelines for the preservation of future pteropod collections.</t>
  </si>
  <si>
    <t>[Oakes, Rosie L.; Bralower, Timothy J.] Penn State Univ, Dept Geosci, University Pk, PA 16801 USA; [Peck, Victoria L.; Manno, Clara] British Antarctic Survey, Madingley Rd, Cambridge CB3 0ET, England; [Oakes, Rosie L.] Drexel Univ, Acad Nat Sci, 1900 Benjamin Franklin Pkwy, Philadelphia, PA 19103 USA</t>
  </si>
  <si>
    <t>Pennsylvania Commonwealth System of Higher Education (PCSHE); Pennsylvania State University; Pennsylvania State University - University Park; UK Research &amp; Innovation (UKRI); Natural Environment Research Council (NERC); NERC British Antarctic Survey; Drexel University</t>
  </si>
  <si>
    <t>Oakes, RL (corresponding author), Penn State Univ, Dept Geosci, University Pk, PA 16801 USA.;Oakes, RL (corresponding author), Drexel Univ, Acad Nat Sci, 1900 Benjamin Franklin Pkwy, Philadelphia, PA 19103 USA.</t>
  </si>
  <si>
    <t>roakes@drexel.edu</t>
  </si>
  <si>
    <t>Oakes, Rosie/0000-0001-8380-2049</t>
  </si>
  <si>
    <t>Hiroshi and Koya Ohmoto Graduate Student Fellowship; Deike Research Grant; NERC [bas0100035, bas0100030] Funding Source: UKRI</t>
  </si>
  <si>
    <t>Hiroshi and Koya Ohmoto Graduate Student Fellowship; Deike Research Grant; NERC(UK Research &amp; Innovation (UKRI)Natural Environment Research Council (NERC))</t>
  </si>
  <si>
    <t>The authors would like to thank G. Stowasser, and the crew and scientists of JR15002 for help in collecting the samples. The authors offer their thanks to J. Gardner for her assistance in pteropod picking and for discussions on the cruise. The authors thank P. Wilf for allowing use of the microscope in the Paleobotany Laboratory; and J. Anderson and W. Auker at the Material Characterization Laboratory for their help with the SEM. The authors are extremely grateful to K. Jones-Williams for ranking the shells, and to the three anonymous reviewers whose comments greatly improved this manuscript. RLO received funding from the Hiroshi and Koya Ohmoto Graduate Student Fellowship. RLO and TJB received funding from the Deike Research Grant.</t>
  </si>
  <si>
    <t>10.1007/s00300-018-2419-x</t>
  </si>
  <si>
    <t>WOS:000457224500002</t>
  </si>
  <si>
    <t>Roukaerts, A; Nomura, D; Deman, F; Hattori, H; Dehairs, F; Fripiat, F</t>
  </si>
  <si>
    <t>Roukaerts, Arnout; Nomura, Daiki; Deman, Florian; Hattori, Hiroshi; Dehairs, Frank; Fripiat, Francois</t>
  </si>
  <si>
    <t>The effect of melting treatments on the assessment of biomass and nutrients in sea ice (Saroma-ko lagoon, Hokkaido, Japan)</t>
  </si>
  <si>
    <t>Sea ice; Direct melting; Buffered melting; Nutrients; Particulate matter; Chlorophyll a; Sea of Okhotsk</t>
  </si>
  <si>
    <t>INORGANIC NUTRIENTS; LATE WINTER; BACTERIAL; PHOTOINHIBITION; PARTICLES; SEAWATER; ALGAE</t>
  </si>
  <si>
    <t>Melting of sea-ice samples is an inevitable step in obtaining reliable and representative measurements for biogeochemical parameters such as inorganic nutrients and particulate matter. The impact of the sea-ice melting procedure has been previously evaluated for biological parameters such as chlorophyll a and cell abundance. For nutrient and biomass concentrations in sea ice, it is generally considered to be best practice to melt samples fast; however, no systematic evaluation exists in literature. The impact of melting temperature and buffer addition to avoid osmotic shock was tested on ice samples in Saroma-ko Lagoon on the northeastern coast of Hokkaido, Japan. The focus was on inorganic nutrient concentrations (NO3-, NO2-, PO4-, NH4+, Si(OH)(4)) and particulate organic carbon and nitrogen concentrations and their isotope ratios. Coherent small changes have been observed for the parameter related to nitrogen, suggesting marginal cell lysis of a specific part of the microbial community. When differences are statistically significant, they are close to the uncertainty of the measurements and small in regard to the expected natural variation in sea ice. Our study suggest a minimal effect between melting treatments on biomass (POC, PN, and Chl a) and nutrient measurements in diatom-dominated sea ice and should be repeated where the sympagic community is dominated by flagellates.</t>
  </si>
  <si>
    <t>[Roukaerts, Arnout; Deman, Florian; Dehairs, Frank] Vrije Univ Brussel, Analyt Environm &amp; Geochem &amp; Earth Syst Sci, Pl Laan 2, B-1050 Brussels, Belgium; [Nomura, Daiki] Hokkaido Univ, Fac Fisheries Sci, 3-1-1 Minato Cho, Hakodate, Hokkaido 0418611, Japan; [Nomura, Daiki] Hokkaido Univ, Arctic Res Ctr, Kita Ku, Kita 21 Nishi 11, Sapporo, Hokkaido 0600814, Japan; [Hattori, Hiroshi] Tokai Univ, Minami Ku, 5-1-1-1 Minamisawa, Sapporo, Hokkaido 0058601, Japan; [Fripiat, Francois] Max Planck Inst Chem, Hahn Meitner Weg 1, D-55128 Mainz, Germany</t>
  </si>
  <si>
    <t>Vrije Universiteit Brussel; Hokkaido University; Hokkaido University; Tokai University; Max Planck Society</t>
  </si>
  <si>
    <t>Roukaerts, A (corresponding author), Vrije Univ Brussel, Analyt Environm &amp; Geochem &amp; Earth Syst Sci, Pl Laan 2, B-1050 Brussels, Belgium.</t>
  </si>
  <si>
    <t>arnout.roukaerts@vub.be</t>
  </si>
  <si>
    <t>Fripiat, François/ABB-8918-2021</t>
  </si>
  <si>
    <t>Roukaerts, Arnout/0000-0002-3939-7119; Fripiat, Francois/0000-0002-2591-6301; Deman, Florian/0000-0001-6647-7360</t>
  </si>
  <si>
    <t>Japan Society for the Promotion of Science [15K16135, 17H0471507]; International Antarctic Institute; BEPSII (SCOR); Institute of Low Temperature Sciences; Grants-in-Aid for Scientific Research [15K16135] Funding Source: KAKEN</t>
  </si>
  <si>
    <t>Japan Society for the Promotion of Science(Ministry of Education, Culture, Sports, Science and Technology, Japan (MEXT)Japan Society for the Promotion of Science); International Antarctic Institute; BEPSII (SCOR); Institute of Low Temperature Sciences; Grants-in-Aid for Scientific Research(Ministry of Education, Culture, Sports, Science and Technology, Japan (MEXT)Japan Society for the Promotion of ScienceGrants-in-Aid for Scientific Research (KAKENHI))</t>
  </si>
  <si>
    <t>We express our heartfelt thanks to Dr. Aoki Shigeru for their support in the fieldwork. This research was supported by funds from the Japan Society for the Promotion of Science (grant numbers 15K16135 and 17H0471507), International Antarctic Institute, Institute of Low Temperature Sciences, and BEPSII (SCOR). This study is a contribution to SCOR Working Group 152 ECV-Ice (Measuring Essential Climate Variables in Sea Ice).</t>
  </si>
  <si>
    <t>10.1007/s00300-018-2426-y</t>
  </si>
  <si>
    <t>WOS:000457224500008</t>
  </si>
  <si>
    <t>Nilsson, JA; Fulton, EA; Johnson, CR; Haward, M</t>
  </si>
  <si>
    <t>Nilsson, Jessica A.; Fulton, Elizabeth A.; Johnson, Craig R.; Haward, Marcus</t>
  </si>
  <si>
    <t>How to Sustain Fisheries: Expert Knowledge from 34 Nations</t>
  </si>
  <si>
    <t>ocean governance; fisheries management; ecosystem-based management; overfishing; sustainable fishing</t>
  </si>
  <si>
    <t>ECOSYSTEM-BASED MANAGEMENT; PRACTICAL IMPLEMENTATION; MARINE; UNCERTAINTY; POLLUTION; COLLAPSE; IMPACTS; LESSONS; ISSUES; SHIFTS</t>
  </si>
  <si>
    <t>Ensuring productive and sustainable fisheries involves understanding the complex interactions between biology, environment, politics, management and governance. Fisheries are faced with a range of challenges, and without robust and careful management in place, levels of anthropogenic disturbance on ecosystems and fisheries are likely to have a continuous negative impact on biodiversity and fish stocks worldwide. Fisheries management agencies, therefore, need to be both efficient and effective in working towards long-term sustainable ecosystems and fisheries, while also being resilient to political and socioeconomic pressures. Marine governance, i.e., the processes of developing and implementing decisions over fisheries, often has to account for socioeconomic issues (such as unemployment and business developments) when they attract political attention and resources. This paper addresses the challenges of (1) identifying the main issues in attempting to ensure the sustainability of fisheries, and (2) how to bridge the gap between scientific knowledge and governance of marine systems. Utilising data gained from a survey of marine experts from 34 nations, we found that the main challenges perceived by fisheries experts were overfishing, habitat destruction, climate change and a lack of political will. Measures suggested to address these challenges did not demand any radical change, but included extant approaches, including ecosystem-based fisheries management with particular attention to closures, gear restrictions, use of individual transferable quotas (ITQs) and improved compliance, monitoring and control.</t>
  </si>
  <si>
    <t>[Nilsson, Jessica A.; Fulton, Elizabeth A.] CSIRO Oceans &amp; Atmosphere, GPO Box 1538, Hobart, Tas 7001, Australia; [Nilsson, Jessica A.; Johnson, Craig R.; Haward, Marcus] Univ Tasmania, Inst Marine &amp; Antarctic Studies, Private Bag 129, Hobart, Tas 7001, Australia; [Fulton, Elizabeth A.; Haward, Marcus] Univ Tasmania, Ctr Marine Socioecol, Hobart, Tas 7001, Australia</t>
  </si>
  <si>
    <t>Nilsson, JA (corresponding author), CSIRO Oceans &amp; Atmosphere, GPO Box 1538, Hobart, Tas 7001, Australia.;Nilsson, JA (corresponding author), Univ Tasmania, Inst Marine &amp; Antarctic Studies, Private Bag 129, Hobart, Tas 7001, Australia.</t>
  </si>
  <si>
    <t>jas.nilsson@gmail.com; beth.fulton@csiro.au; craig.johnson@utas.edu.au; marcus.haward@utas.edu.au</t>
  </si>
  <si>
    <t>Fulton, Beth/A-2871-2008; Haward, Marcus/G-3369-2014</t>
  </si>
  <si>
    <t>Haward, Marcus/0000-0003-4775-0864</t>
  </si>
  <si>
    <t>10.3390/w11020213</t>
  </si>
  <si>
    <t>HO4NM</t>
  </si>
  <si>
    <t>WOS:000460899600032</t>
  </si>
  <si>
    <t>Wood, AT; Clark, TD; Elliott, NG; Frappell, PB; Andrewartha, SJ</t>
  </si>
  <si>
    <t>Wood, Andrew T.; Clark, Timothy D.; Elliott, Nicholas G.; Frappell, Peter B.; Andrewartha, Sarah J.</t>
  </si>
  <si>
    <t>Physiological effects of dissolved oxygen are stage-specific in incubating Atlantic salmon (Salmo salar)</t>
  </si>
  <si>
    <t>Atlantic salmon; Hypoxia; Hyperoxia; Developmental windows; Aerobic metabolism</t>
  </si>
  <si>
    <t>ONCORHYNCHUS-MYKISS EMBRYOS; RAINBOW-TROUT; CRITICAL WINDOWS; BOUNDARY-LAYER; METABOLIC-RATE; YOLK-SAC; AVAILABILITY; TEMPERATURE; CONSUMPTION; EXPOSURE</t>
  </si>
  <si>
    <t>Oxygen availability is highly variable during salmonid incubation in natural redds and also in aquaculture incubation systems. Hypoxia generally decreases growth and aerobic metabolism prior to hatching, in parallel with eliciting physiological modifications that enhance oxygen delivery. However, it is less-well known whether developmental hyperoxia can drive the opposite effect. Moreover, there is insufficient understanding of stage-specific developmental windows during which ambient oxygen availability may be of greater or lesser impact to incubating embryos. Here, we tested the effects of hypoxia (50% dissolved oxygen: DO, % air saturation) and hyperoxia (150% DO) on the growth, routine aerobic metabolism (MO2rout) and hypoxia tolerance (O-2crit) of Atlantic salmon (Salmo salar) during seven developmental windows throughout incubation. Embryos exposed to hyperoxia (150% DO) did not differ from the normoxic group in growth, MO2rout or O-2crit at any developmental window. In contrast, embryos exposed to hypoxia grew slower and had a lower&gt;MO2rout, but had higher hypoxia tolerance (lower O-2crit) than normoxic and hyperoxic counterparts. Interestingly, these differences were only apparent when the embryos were measured prior to hatching. Larvae (alevins) incubated in hypoxia following hatching grew similarly to normoxia-incubated alevins. Our results provide evidence that Atlantic salmon embryos are most sensitive to hypoxia prior to hatching, probably due to increasing (absolute) oxygen requirements concurrent with restricted oxygen diffusion through the egg. Moreover, the similarities between normoxia- and hyperoxia-incubated salmon demonstrate that embryos are not oxygen-limited under normoxic conditions.</t>
  </si>
  <si>
    <t>[Wood, Andrew T.; Elliott, Nicholas G.; Andrewartha, Sarah J.] Commonwealth Sci &amp; Ind Res Org, Agr &amp; Food, 3-4 Castray Esplanade, Battery Point, Tas 7004, Australia; [Clark, Timothy D.] Deakin Univ, Sch Life &amp; Environm Sci, Geelong, Vic 3216, Australia; [Elliott, Nicholas G.; Frappell, Peter B.] Univ Tasmania, Inst Marine &amp; Antarctic Studies, 20 Castray Esplanade, Battery Point, Tas 7004, Australia</t>
  </si>
  <si>
    <t>Commonwealth Scientific &amp; Industrial Research Organisation (CSIRO); Deakin University; University of Tasmania</t>
  </si>
  <si>
    <t>Wood, AT (corresponding author), Commonwealth Sci &amp; Ind Res Org, Agr &amp; Food, 3-4 Castray Esplanade, Battery Point, Tas 7004, Australia.</t>
  </si>
  <si>
    <t>Andrew.wood@csiro.au</t>
  </si>
  <si>
    <t>Andrewartha, Sarah/K-4189-2012; Wood, Andrew/A-3837-2014; Clark, Timothy/K-7129-2012</t>
  </si>
  <si>
    <t>Andrewartha, Sarah/0000-0003-1973-9502; Wood, Andrew/0000-0002-3351-8397; Clark, Timothy/0000-0001-8738-3347</t>
  </si>
  <si>
    <t>SALTAS; Australian Government Research Training Program Scholarship</t>
  </si>
  <si>
    <t>SALTAS; Australian Government Research Training Program Scholarship(Australian GovernmentDepartment of Industry, Innovation and Science)</t>
  </si>
  <si>
    <t>We would like to thank the Salmon Enterprises of Tasmania (SALTAS) hatchery staff for supplying eggs and assistance monitoring experimental systems. This research was supported financially by SALTAS. An Australian Government Research Training Program Scholarship was awarded to A.T.W. All experiments carried out in this study were performed in compliance with the University of Tasmania Ethics Committee (Hobart, Australia) under ethics permit A0013794.</t>
  </si>
  <si>
    <t>10.1007/s00360-018-1199-5</t>
  </si>
  <si>
    <t>HH6GS</t>
  </si>
  <si>
    <t>WOS:000455828300009</t>
  </si>
  <si>
    <t>Simon, SB; Krot, AN; Nagashima, K; Kööp, L; Davis, AM</t>
  </si>
  <si>
    <t>Simon, S. B.; Krot, A. N.; Nagashima, K.; Koop, L.; Davis, A. M.</t>
  </si>
  <si>
    <t>Condensate refractory inclusions from the CO3.00 chondrite Dominion Range 08006: Petrography, mineral chemistry, and isotopic compositions</t>
  </si>
  <si>
    <t>Refractory inclusions; Corundum; Hibonite; Grossite</t>
  </si>
  <si>
    <t>SOLAR-SYSTEM EVIDENCE; OXYGEN ISOTOPES; HETEROGENEOUS DISTRIBUTION; CRYSTALLINE SILICATES; HIBONITE INCLUSIONS; TITANIUM ISOTOPES; CALCIUM; MURCHISON; ORIGIN; OLIVINE</t>
  </si>
  <si>
    <t>We have found two refractory inclusions in the CO3.00 carbonaceous chondrite Dominion Range (DOM) 08006 that appear to be primary condensates from the early solar nebula. One, inclusion 56-1, contains the first four phases predicted to form by equilibrium gas-solid condensation: corundum; hibonite; grossite; and perovskite. The other, 31-2, contains nine predicted condensate phases: hibonite; grossite; perovskite; melilite; spinel; FeNi metal; diopside; forsterite; and enstatite. Except for melilite/spinel, the phases occur in the predicted sequence from core to rim of the inclusion, which has an irregular shape inconsistent with a molten stage. This inclusion preserves the most complete record of condensation in the early solar nebula that has yet been found. The physical evidence reported here supports equilibrium condensation calculations that predict the observed sequence as well as the assumptions upon which they are based, such as total pressure (similar to 10(-3) atm), bulk system composition (solar), and C-O-H proportions. All phases in both inclusions and the associated ferromagnesian silicates are O-16-rich, with Delta O-17 between -25 and -20 parts per thousand, implying that this is the original composition of the vast majority of primary condensates and that O-16-poor compositions observed in many isotopically heterogeneous inclusions are largely due to subsequent isotopic exchange. While the nebula was well-mixed with respect to oxygen isotopic composition, clearly resolved anomalies in Ca and Ti isotopic compositions indicate that some isotopic heterogeneity existed early and was preserved during condensation. Inclusion 31-2 did not incorporate live Al-26 and has nucleosynthetic anomalies in the heavy Ca and Ti isotopes (i.e., delta Ca-48 = 4.3 +/- 1.9 parts per thousand; delta Ti-50 = 8.8 +/- 2.0 parts per thousand). In contrast, inclusion 56-1 has radiogenic Mg-26 excesses yielding a (Al-26/Al-27)(0) ratio of (1.0 +/- 0.1) x 10(-5) and negative nucleosynthetic isotopic anomalies in Ca (delta Ca-48 = -10.3 +/- 4.2 parts per thousand) and Ti (delta Ti-50 = -4.3 +/- 2.9 parts per thousand). Thus, it represents a deviation from the mutual exclusivity relationship between Al-26 incorporation and large nucleosynthetic anomalies. The reservoirs in which these inclusions formed had similar O-isotopic and different Al-, Ca- and Ti-isotopic compositions, suggesting that while the CAI-forming region was well-mixed with respect to oxygen isotopic composition, clearly resolved anomalies in Ca and Ti isotopic compositions indicate that some isotopic heterogeneity existed and was preserved during condensation. (C) 2018 Elsevier Ltd. All rights reserved.</t>
  </si>
  <si>
    <t>[Simon, S. B.] Univ New Mexico, Inst Meteorit, Albuquerque, NM 87131 USA; [Krot, A. N.; Nagashima, K.] Univ Hawaii Manoa, Hawaii Inst Geophys &amp; Planetol, Sch Ocean &amp; Earth Sci &amp; Technol, Honolulu, HI 96822 USA; [Koop, L.; Davis, A. M.] Univ Chicago, Dept Geophys Sci, 5734 S Ellis Ave, Chicago, IL 60637 USA; [Koop, L.; Davis, A. M.] Univ Chicago, Chicago Ctr Cosmochem, 5734 S Ellis Ave, Chicago, IL 60637 USA; [Davis, A. M.] Univ Chicago, Enrico Fermi Inst, 5640 S Ellis Ave, Chicago, IL 60637 USA; [Krot, A. N.] Goethe Univ Frankfurt, Geosci Inst Mineral, Altenhoeferallee 1, D-60438 Frankfurt, Germany</t>
  </si>
  <si>
    <t>University of New Mexico; University of Hawaii System; University of Hawaii Manoa; University of Chicago; University of Chicago; University of Chicago; Goethe University Frankfurt</t>
  </si>
  <si>
    <t>Simon, SB (corresponding author), Univ New Mexico, Inst Meteorit, Albuquerque, NM 87131 USA.</t>
  </si>
  <si>
    <t>sbs8@unm.edu</t>
  </si>
  <si>
    <t>Nagashima, Kazuhide/0000-0002-9322-3187</t>
  </si>
  <si>
    <t>NSF; NASA [NNX17AI43G, NNX15AH38G, 80NSSC17K0251]; Humboldt Foundation; NASA [NNX15AH38G, 804135] Funding Source: Federal RePORTER</t>
  </si>
  <si>
    <t>NSF(National Science Foundation (NSF)); NASA(National Aeronautics &amp; Space Administration (NASA)); Humboldt Foundation(Alexander von Humboldt Foundation); NASA(National Aeronautics &amp; Space Administration (NASA))</t>
  </si>
  <si>
    <t>We thank T. Fagan, J. Han and an anonymous reviewer for helpful comments that led to improvements in the manuscript, and AE R. Jones for handling the manuscript. This study is based on an Antarctic meteorite sample. US Antarctic meteorite samples are recovered by the Antarctic Search for Meteorites (ANSMET) program which has been funded by NSF and NASA, and characterized and curated by the Astromaterials Curation Office at NASA Johnson Space Center and the Department of Mineral Sciences of the Smithsonian Institution. We are grateful for the curation and allocation of the sample that was the subject of this study. This work was funded by NASA grants NNX17AI43G (SBS), NNX15AH38G (ANK), and 80NSSC17K0251 (AMD), and funding is gratefully acknowledged. ANK was also partly supported by Humboldt Foundation. Finally, we also thank Larry Grossman for spending many years teaching us what to look for.</t>
  </si>
  <si>
    <t>10.1016/j.gca.2018.11.029</t>
  </si>
  <si>
    <t>HH3WR</t>
  </si>
  <si>
    <t>WOS:000455651400006</t>
  </si>
  <si>
    <t>Weyrauch, M; Zipfel, J; Weyer, S</t>
  </si>
  <si>
    <t>Weyrauch, M.; Zipfel, J.; Weyer, S.</t>
  </si>
  <si>
    <t>Origin of metal from CB chondrites in an impact plume - A combined study of Fe and Ni isotope composition and trace element abundances</t>
  </si>
  <si>
    <t>CB chondrites; Zoned metal; Fe and Ni isotopes; Condensation; Impact plume</t>
  </si>
  <si>
    <t>CH CARBONACEOUS CHONDRITES; HAMMADAH AL HAMRA-237; ZONED METAL; IN-SITU; RICH CHONDRITES; PARENT BODIES; SOLAR NEBULA; METEORITE; BENCUBBIN; SILICATE</t>
  </si>
  <si>
    <t>The formation processes of the unusually metal-rich CB chondrites are a matter of debate. It is widely accepted that metal grains have formed by condensation. However, it is still debated whether they condensed directly from the solar nebula or from an impact-induced vapor plume. In this study, we present high precision Fe and Ni isotope and trace element composition of zoned and unzoned metal grains from the CBb chondrites Hammadah al Hamra 237, QUE 94411, and MAC 02675, and the CH/CBb breccia Isheyevo and unzoned metal from the CBa chondrites Bencubbin, Gujba, and NWA 4025. Data were obtained using femtosecond laser ablation (multicollector) inductively coupled plasma mass spectrometry (fs-LA-(MC)-ICP-MS). Zoned metal grains from CBb meteorites generally display parallel profiles of Ni and Fe isotope compositions with very low delta Fe-56 and delta Ni-60, and elevated concentrations of refractory siderophile elements in their cores. These findings are consistent with dominantly kinetic isotope-and trace element fractionation during condensation from a confined and fast cooling gas reservoir. Tungsten and Mo are frequently depleted relative to other refractory elements, particularly in zoned metal grains, which is suggestive for elevated oxygen fugacities in the gas reservoir. Such conditions are indicative of the formation of these metal grains during an impact event. Compared to zoned metal, unzoned metal grains are isotopically more homogeneous and more similar to the heavier rims of the zoned metal grains. This indicates that they formed under different conditions than the zoned metals, i.e., in a more slowly cooling environment. However, several unzoned grains still display significantly variable and correlated delta Fe-56 and delta Ni-60, suggesting that their formation was related to that of the zoned metal grains. The kinetic fractionation-dominated isotopic signatures of the zoned metal grains strongly point to their formation during fast cooling, as may be expected for the exterior envelope of an impact plume. In contrast, the more homogenous isotopic signatures of the unzoned metal grains are more consistent with dominantly equilibrium-like isotope fractionation during condensation, as may be expected for the interior of an impact plume. In this scenario, the isotopically heavier rims of the zoned grains are best explained by a depletion of the outer plume gas reservoir in refractory elements and light isotopes. Accordingly, these findings indicate that zoned and unzoned metal grains likely formed during the same event. The compositional differences among individual unzoned metal grains, but also within some of the zoned grains, indicate turbulent gas mixing, also including movement of metals during their formation, between inner and outer regions of the impact plume. (C) 2018 Elsevier Ltd. All rights reserved.</t>
  </si>
  <si>
    <t>[Weyrauch, M.; Weyer, S.] Leibniz Univ Hannover, Inst Mineral, Callinstr 3, D-30167 Hannover, Germany; [Zipfel, J.] Senckenberg Forschungsinst, D-60325 Frankfurt, Germany; [Zipfel, J.] Nat Museum Frankfurt, D-60325 Frankfurt, Germany</t>
  </si>
  <si>
    <t>Leibniz University Hannover; Senckenberg Gesellschaft fur Naturforschung (SGN)</t>
  </si>
  <si>
    <t>Weyrauch, M (corresponding author), Leibniz Univ Hannover, Inst Mineral, Callinstr 3, D-30167 Hannover, Germany.</t>
  </si>
  <si>
    <t>m.weyrauch@mineralogie.uni-hannover.de; Jutta.Zipfel@senckenberg.de; s.weyer@mineralogie.uni-hannover.de</t>
  </si>
  <si>
    <t>Weyer, Stefan/AAA-8827-2020</t>
  </si>
  <si>
    <t>EMPA in Hannover; NSF; NASA; German Research Foundation (DFG) within the Priority Program The first 10 Million Years - a Planetary Materials Approach [SPP 1385, WE 2850/13-1, ZI 1196/3-1]</t>
  </si>
  <si>
    <t>EMPA in Hannover; NSF(National Science Foundation (NSF)); NASA(National Aeronautics &amp; Space Administration (NASA)); German Research Foundation (DFG) within the Priority Program The first 10 Million Years - a Planetary Materials Approach(German Research Foundation (DFG))</t>
  </si>
  <si>
    <t>We want to thank Julian Feige and Tina Emmel for sample preparation. Moreover, we thank Heidi Hofer and Markus Scholmerich for technical support at the electron microprobe in Frankfurt, and Renat Almeev and Chao Zhang for their support with EMPA in Hannover. We also want to thank Martin Oeser, Stephan Schuth and Ingo Horn for their technical support with LA-ICP-MS analyses. Moreover, we appreciate the fruitful discussions with Herbert Palme. The manuscript greatly benefitted from reviews by C. M. Alexander, M. I. Petaev, and an anonymous reviewer. Antarctic meteorite samples QUE 94411 (USNM 6840 8b) and MAC 02675,9 were kindly provided from the Meteorite Working Group.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Samples of Bencubbin, Gujba, HaH237, and Isheyevo were provided by the Senckenberg Forschungsinstitut und Naturmuseum Frankfurt. This work was supported by the German Research Foundation (DFG) within the Priority Program The first 10 Million Years - a Planetary Materials Approach (SPP 1385) (WE 2850/13-1 and ZI 1196/3-1).</t>
  </si>
  <si>
    <t>10.1016/j.gca.2018.11.022</t>
  </si>
  <si>
    <t>WOS:000455651400007</t>
  </si>
  <si>
    <t>Prietzel, J; Prater, I; Hurtarte, LCC; Hrbácek, F; Klysubun, W; Mueller, CW</t>
  </si>
  <si>
    <t>Prietzel, Joerg; Prater, Isabel; Hurtarte, Luis Carlos Colocho; Hrbacek, Filip; Klysubun, Wantana; Mueller, Carsten W.</t>
  </si>
  <si>
    <t>Site conditions and vegetation determine phosphorus and sulfur speciation in soils of Antarctica</t>
  </si>
  <si>
    <t>Antarctic soils; Extended Walker &amp; Syers concept; Non-ornithogenic soils; P speciation; S speciation; XANES</t>
  </si>
  <si>
    <t>JAMES-ROSS-ISLAND; MCMURDO DRY VALLEYS; XANES SPECTROSCOPY; ENVIRONMENTAL-FACTORS; GLACIER FOREFIELD; TAYLOR VALLEY; DAMMA GLACIER; POLAR DESERT; ECOSYSTEM; FRACTIONS</t>
  </si>
  <si>
    <t>Phosphorus (P) and sulfur (S) are essential elements for life, and peculiarities of Antarctic soils regarding their S and P status likely affect terrestrial and aquatic ecosystems in Antarctica. Current climate warming is accompanied by deglaciation, increased availability of water, and vegetation establishment in many regions of Antarctica. The effect of these changes on soil P and S availability, ecosystem succession, mineral weathering, and important processes of soil formation and geochemistry (e.g. organic carbon sequestration, formation of secondary minerals) are largely unknown. Detailed knowledge on different P and S pools in soils of Antarctica is required for sound predictions of climate warming effects on important (bio)geochemical processes. We quantified the P and S concentration and speciation for various Antarctic soils using synchrotron-based X-ray absorption near edge structure (XANES) spectroscopy and related the soil P and S status to important soil and site properties. The soils, which have mostly remained at an initial stage of pedogenesis, differed considerably with respect to their P and S status. The P stock of most soils was dominated by Ca-bound (apatite) P (60-70% of total P). Some soils showed a marked accumulation of either Al-bound P (up to 60% of total P), Fe-bound P (up to 57%), Na- and K-bound P (up to 37%), or organic P (up to 54%). The S speciation also differed considerably among soils. Similar to other terrestrial environments, we observed a transformation of lithogenic apatite P and sulfide S into Al- and Fe-bound phosphate and sulfate as well as organic S and P. The transformation proceeded much more slowly than in soils with temperate humid climate, reflecting the cold and arid climate as well as the absence of vascular plants. The different P and S status of the soils could be related to the following site factors: (i) Parent material-soils formed from basalt had larger contents of total P as well as Al- and Fe-bound P compared to soils formed from mixture of basalt and sandstone. (ii) Sea spray influence-An upland soil affected by eolian deposition of sea spray showed topsoil enrichment of alkali-bound P, Ca-bound P, and CaSO4. (iii) Inundation by seawater - Soils inundated by seawater had higher total P and S concentrations and higher concentrations of inorganic sulfide than upland soils. (iv) Soil moisture-Soils with increased soil moisture or wet conditions showed increased concentrations of P bound to pedogenic Al and Fe minerals and smaller contributions of Ca-bound (apatite) P to total P than soils under permanently arid conditions. (v) Colonization by mosses-Moss establishment resulted in topsoil P depletion and transformation of apatite P into Al- and Fe-bound P, but also in topsoil S accumulation and conversion of sulfide S into organic S forms. According to our study, the ongoing climate warming in Antarctica at many places will likely change soil P and S speciation as well as P and S availability to terrestrial and aquatic ecosystems, thus altering key biogeochemical processes like mineral weathering, secondary mineral formation, and soil C sequestration. (C) 2018 Elsevier Ltd. All rights reserved.</t>
  </si>
  <si>
    <t>[Prietzel, Joerg; Prater, Isabel; Hurtarte, Luis Carlos Colocho; Mueller, Carsten W.] Tech Univ Munich, Chair Soil Sci, Dept Ecol &amp; Ecosyst Management, Wissensch Zentrum Weihenstephan, Emil Ramann Str 2, D-85354 Freising Weihenstephan, Germany; [Hrbacek, Filip] Masaryk Univ, Dept Geog, Kotlarska 2, Brno 61137, Czech Republic; [Klysubun, Wantana] Synchrotron Light Res Inst, 111 Univ Ave, Muang Dist, Nakhon Ratchasi, Thailand</t>
  </si>
  <si>
    <t>Technical University of Munich; Masaryk University Brno</t>
  </si>
  <si>
    <t>Prietzel, J (corresponding author), Tech Univ Munich, Chair Soil Sci, Dept Ecol &amp; Ecosyst Management, Wissensch Zentrum Weihenstephan, Emil Ramann Str 2, D-85354 Freising Weihenstephan, Germany.</t>
  </si>
  <si>
    <t>prietzel@wzw.tum.de</t>
  </si>
  <si>
    <t>Prater, Isabel/JCP-4941-2023; Prater, Isabel/AAX-6435-2020; Mueller, Carsten W/C-2679-2012; Prietzel, Joerg/C-3434-2011; Colocho Hurtarte, Luis Carlos/ADF-8207-2022; Hrbacek, Filip/ABG-4319-2020</t>
  </si>
  <si>
    <t>Mueller, Carsten W/0000-0003-4119-0544; Prietzel, Joerg/0000-0001-5536-5777; Colocho Hurtarte, Luis Carlos/0000-0002-1791-2298; Hrbacek, Filip/0000-0001-5032-9216; Prater, Isabel/0000-0001-8195-3150</t>
  </si>
  <si>
    <t>DFG [1158, MU 3021/8-1]; Czech Polar Research Infrastructure [LM2015078]</t>
  </si>
  <si>
    <t>DFG(German Research Foundation (DFG)); Czech Polar Research Infrastructure</t>
  </si>
  <si>
    <t>We are grateful for the funding within the DFG Priority Programme 1158 Antarctic Research with Comparable Investigations in Arctic Sea Ice Areas (MU 3021/8-1). We thank the Programa Antarctico Brasileiro (PROANTAR) and the Czech Polar Research Infrastructure (LM2015078) for the logistic support. We also thank Lars Arne Meier for the assistance during soil sampling, Sigrid Hiesch for her assistance during chemical analyses, as well as Maximilian Prietzel, Katharina Prietzel, and the staff of beamline 8 at SLRI for their assistance during acquisition of S and P XANES spectra. Finally we want to thank three anonymous reviewers for their valuable comments which helped a lot to improve the manuscript.</t>
  </si>
  <si>
    <t>10.1016/j.gca.2018.12.001</t>
  </si>
  <si>
    <t>WOS:000455651400017</t>
  </si>
  <si>
    <t>Brugier, YA; Barrat, JA; Gueguen, B; Agranier, A; Yamaguchi, A; Bischoff, A</t>
  </si>
  <si>
    <t>Brugier, Yann-Aurelien; Barrat, Jean-Alix; Gueguen, Bleuenn; Agranier, Arnaud; Yamaguchi, Akira; Bischoff, Addi</t>
  </si>
  <si>
    <t>Zinc isotopic variations in ureilites</t>
  </si>
  <si>
    <t>Ureilite; Zinc isotopic composition; Isotope fractionation; Shock</t>
  </si>
  <si>
    <t>EARLY SOLAR-SYSTEM; 10 TRACE-ELEMENTS; ALMAHATA SITTA; THERMAL METAMORPHISM; PRIMITIVE METEORITES; SIDEROPHILE ELEMENTS; MANTLE CONSTRAINTS; COOLING HISTORY; OXYGEN-ISOTOPE; ZN ISOTOPES</t>
  </si>
  <si>
    <t>The Ureilite Parent Body (UPB) was a C-rich planetary embryo disrupted by impact. Ureilites are fragments of the UPB mantle and among the most numerous achondrites. Zinc isotopic data are presented for 26 unbrecciated ureilites and a trachyandesite (ALM-A) from the same parent body. The d(66)Zn values of ureilites range from 0.40 to 2.71% including literature results. Zinc isotopic compositions do not correlate with the compositions of olivine cores, with C and O isotopic compositions, with Zn abundances, nor with shock grades. The wide range of d(66)Zn displayed by the ureilites is chiefly explained by evaporation processes that took place during the catastrophic breakup of the UPB. During breakup, the high temperatures of the UPB mantle allowed Zn to evaporate, regardless of the intensity the shock suffered by the ureilitic debris. For the most shocked of them, post-shock heating permitted greater evaporation, and heavier Zn isotopic compositions. The surface of the UPB was certainly much colder than the mantle before the breakup. Therefore, crustal rocks were probably less prone to Zn evaporation. ALM-A, the sole crustal rock analyzed at present, has a d(66)Zn value (0.67%) significantly higher than those of regular chondrites. This result indicates that its mantle source displayed already non-chondritic Zn isotopic compositions before the breakup of the UPB. (C) 2018 Elsevier Ltd. All rights reserved.</t>
  </si>
  <si>
    <t>[Brugier, Yann-Aurelien; Barrat, Jean-Alix; Agranier, Arnaud] Univ Bretagne Occidentale, CNRS, UMR 6538, Lab Geosci Ocean, Pl Nicolas Copernic, F-29280 Plouzane, France; [Brugier, Yann-Aurelien; Barrat, Jean-Alix; Gueguen, Bleuenn; Agranier, Arnaud] Inst Univ Europeen Mer, Pl Nicolas Copernic, F-29280 Plouzane, France; [Gueguen, Bleuenn] Univ Bretagne Occidentale, CNRS, UMS 3113, F-29280 Plouzane, France; [Yamaguchi, Akira] Natl Inst Polar Res, Tachikawa, Tokyo 1908518, Japan; [Yamaguchi, Akira] SOKENDAI Grad Univ Adv Studies, Sch Multidisciplinary Sci, Dept Polar Sci, Tokyo 1908518, Japan; [Bischoff, Addi] Westfalische Wilhelms Univ Munster, Inst Planetol, Wilhelm Klemm Str 10, D-48149 Munster, Germany</t>
  </si>
  <si>
    <t>Universite de Bretagne Occidentale; Centre National de la Recherche Scientifique (CNRS); CNRS - National Institute for Earth Sciences &amp; Astronomy (INSU); Universite de Bretagne Occidentale; Institut Universitaire Europeen de la Mer (IUEM); Universite de Bretagne Occidentale; Centre National de la Recherche Scientifique (CNRS); CNRS - National Institute for Earth Sciences &amp; Astronomy (INSU); Research Organization of Information &amp; Systems (ROIS); National Institute of Polar Research (NIPR) - Japan; Graduate University for Advanced Studies - Japan; University of Munster</t>
  </si>
  <si>
    <t>Barrat, JA (corresponding author), Univ Bretagne Occidentale, CNRS, UMR 6538, Lab Geosci Ocean, Pl Nicolas Copernic, F-29280 Plouzane, France.;Barrat, JA (corresponding author), Inst Univ Europeen Mer, Pl Nicolas Copernic, F-29280 Plouzane, France.</t>
  </si>
  <si>
    <t>barrat@univ-brest.fr</t>
  </si>
  <si>
    <t>; Barrat, Jean Alix/C-8416-2017</t>
  </si>
  <si>
    <t>Gueguen, Bleuenn/0009-0006-8453-5468; Barrat, Jean Alix/0000-0003-3158-3109</t>
  </si>
  <si>
    <t>NSF; NASA; Programme National de Planetologie (CNRS-INSU); Conseil General du Finistere</t>
  </si>
  <si>
    <t>NSF(National Science Foundation (NSF)); NASA(National Aeronautics &amp; Space Administration (NASA)); Programme National de Planetologie (CNRS-INSU)(Centre National de la Recherche Scientifique (CNRS)); Conseil General du Finistere(Region Bretagne)</t>
  </si>
  <si>
    <t>One of the ureilites from the Sahara was kindly provided by Bruno and Carine Fectay. Samples from Antarctica were kindly provided by the Meteorite Working Group (NASA) and the National Institute of Polar Research, Tokyo.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Special thanks to Bryan Killingsworth and Richard Greenwood for the correction of the manuscript. We thank Qing-zhu Yin for the editorial handling, Paolo Sossi and two anonymous reviewers for their helpful and constructive reviews. This work was funded by a grant from the Programme National de Planetologie (CNRS-INSU) to JAB and by Conseil General du Finistere for AA.</t>
  </si>
  <si>
    <t>10.1016/j.gca.2018.12.009</t>
  </si>
  <si>
    <t>Green Published, hybrid, Green Submitted</t>
  </si>
  <si>
    <t>WOS:000455651400023</t>
  </si>
  <si>
    <t>Salvatore, M; Truitt, K; Roszell, K; Lanza, N; Rampe, E; Mangold, N; Dehouck, E; Wiens, R; Clegg, S</t>
  </si>
  <si>
    <t>Salvatore, M.; Truitt, K.; Roszell, K.; Lanza, N.; Rampe, E.; Mangold, N.; Dehouck, E.; Wiens, R.; Clegg, S.</t>
  </si>
  <si>
    <t>Investigating the role of anhydrous oxidative weathering on sedimentary rocks in the Transantarctic Mountains and implications for the modern weathering of sedimentary lithologies on Mars</t>
  </si>
  <si>
    <t>SOUTHERN VICTORIA LAND; GALE CRATER; DRY VALLEYS; BASALTIC ROCKS; CLIMATE-CHANGE; BEACON VALLEY; SPIRIT ROVER; ANTARCTICA; ICE; MINERALOGY</t>
  </si>
  <si>
    <t>Alteration of the uppermost surfaces of geologic materials is a pervasive process on planetary surfaces that is dependent upon factors including parent composition and the environment under which alteration is occurring. While rapid and pervasive in hot and humid climates on Earth, chemical weathering of rock surfaces has also been found to dominate in some of Earth's coldest and driest landscapes as well. Specifically, surfaces dominated by resistant fine-grained igneous rocks in the Antarctic preserve evidence of oxidative weathering processes, which represent the initial immature surface alteration processes that stagnate due to the lack of available water and kinetics necessary for the production of more mature alteration phases. In this study, we test the hypothesis that oxidative weathering also dominates the surfaces of sedimentary rocks throughout the Antarctic. We investigated the chemistry and mineralogy of a suite of sedimentary rocks from the Transantarctic Mountains ranging from fine-grained tuffs to coarse-grained sandstones and conglomerates. Our results show that, like the previously studied fine-grained igneous rocks in the Antarctic, sedimentary rocks generally showed only minor chemical weathering signatures at their surfaces relative to their interiors. However, unlike the igneous rocks in this earlier study, the sedimentary rocks exhibited a wide variety of non-systematic differences between surface and interior compositions. This variability of surface weathering signatures is equally as complex as the physical properties and compositions inherently present within these different sedimentary lithologies. Based on these analyses, it is apparent that oxidative weathering products do not dominate the surfaces of sedimentary rocks throughout the Transantarctic Mountains, which instead exhibit a wide array of weathering signatures that are likely dependent on both lithological and environmental factors. Considering that sedimentary lithologies are widespread across a significant fraction of the martian surface, our results suggest that observed alteration signatures limited to the surfaces of martian sedimentary rocks are most likely to be minor and to vary as a result of the lithological properties of the specific rock unit and not as a result of the widespread influences of the modern cold and dry climatic conditions.</t>
  </si>
  <si>
    <t>[Salvatore, M.] No Arizona Univ, Flagstaff, AZ 86011 USA; [Truitt, K.; Roszell, K.] Univ Michigan, Dearborn, MI 48128 USA; [Lanza, N.; Wiens, R.; Clegg, S.] Los Alamos Natl Lab, Los Alamos, NM USA; [Rampe, E.] NASA, Johnson Space Ctr, Houston, TX USA; [Mangold, N.] Univ Nantes, LPG Nantes, Nantes, France; [Dehouck, E.] Univ Lyon, UCBL, CNRS, ENSL,LGL TPE, F-69622 Villeurbanne, France</t>
  </si>
  <si>
    <t>Northern Arizona University; University of Michigan System; University of Michigan; United States Department of Energy (DOE); Los Alamos National Laboratory; National Aeronautics &amp; Space Administration (NASA); Nantes Universite; Centre National de la Recherche Scientifique (CNRS); Universite Claude Bernard Lyon 1; Ecole Normale Superieure de Lyon (ENS de LYON)</t>
  </si>
  <si>
    <t>Salvatore, M (corresponding author), No Arizona Univ, Flagstaff, AZ 86011 USA.</t>
  </si>
  <si>
    <t>mark.salvatore@nau.edu</t>
  </si>
  <si>
    <t>Mangold, Nicolas/HMV-9267-2023; Wiens, Roger/S-3078-2017</t>
  </si>
  <si>
    <t>Mangold, Nicolas/0000-0002-0022-0631; Dehouck, Erwin/0000-0002-1368-4494; Wiens, Roger/0000-0002-3409-7344; Lanza, Nina/0000-0003-4445-7996</t>
  </si>
  <si>
    <t>National Science Foundation Office of Polar Programs; Mars Science Laboratory Participating Scientist Program [NNH15ZDA001N-MSLPSP]</t>
  </si>
  <si>
    <t>National Science Foundation Office of Polar Programs(National Science Foundation (NSF)NSF - Directorate for Geosciences (GEO)); Mars Science Laboratory Participating Scientist Program</t>
  </si>
  <si>
    <t>The authors would like to thank Dave Murray, Joe Orchardo, M. Darby Dyar, Eli Sklute, Jerry Li, and Chris Raupers for assistance with laboratory analyses and data interpretations. We would also like to extend our gratitude to Anne Grunow at the Ohio State University's Polar Rock Repository (PRR). This manuscript was improved by the thoughtful comments by two anonymous peer reviewers. This research used samples provided by the PRR, which is sponsored by the National Science Foundation Office of Polar Programs. Original sample collectors can be found in the supplemental materials associated with this manuscript. This work was supported by the Mars Science Laboratory Participating Scientist Program (NNH15ZDA001N-MSLPSP) to M. Salvatore.</t>
  </si>
  <si>
    <t>10.1016/j.icarus.2018.10.007</t>
  </si>
  <si>
    <t>HH0QB</t>
  </si>
  <si>
    <t>WOS:000455422800044</t>
  </si>
  <si>
    <t>Hanna, KLD; Schrader, DL; Cloutis, EA; Cody, GD; King, AJ; McCoy, TJ; Applin, DM; Mann, JP; Bowles, NE; Brucato, JR; Connolly, HC; Dotto, E; Keller, LP; Lim, LF; Clark, BE; Hamilton, VE; Lantz, C; Lauretta, DS; Russell, SS; Schofield, PF</t>
  </si>
  <si>
    <t>Hanna, K. L. Donaldson; Schrader, D. L.; Cloutis, E. A.; Cody, G. D.; King, A. J.; McCoy, T. J.; Applin, D. M.; Mann, J. P.; Bowles, N. E.; Brucato, J. R.; Connolly, H. C., Jr.; Dotto, E.; Keller, L. P.; Lim, L. F.; Clark, B. E.; Hamilton, V. E.; Lantz, C.; Lauretta, D. S.; Russell, S. S.; Schofield, P. F.</t>
  </si>
  <si>
    <t>Spectral characterization of analog samples in anticipation of OSIRIS-REx's arrival at Bennu: A blind test study</t>
  </si>
  <si>
    <t>X-RAY-DIFFRACTION; INFRARED-EMISSION SPECTROSCOPY; ASTEROID 101955 BENNU; CARBONACEOUS CHONDRITES; REFLECTANCE PROPERTIES; MODAL MINERALOGY; CV3 CHONDRITES; MU-M; AQUEOUS ALTERATION; ROCK TYPES</t>
  </si>
  <si>
    <t>We present spectral measurements of a suite of mineral mixtures and meteorites that are possible analogs for asteroid (101955) Bennu, the target asteroid for NASA's Origins, Spectral Interpretation, Resource Identification, Security, Regolith Explorer (OSIRIS-REx) mission. The sample suite, which includes anhydrous and hydrated mineral mixtures and a suite of chondritic meteorites (CM, CI, CV, CR, and L5), was chosen to characterize the spectral effects due to varying amounts of aqueous alteration and minor amounts of organic material. Our results demonstrate the utility of mineral mixtures for understanding the mixing behavior of meteoritic materials and identifying spectrally dominant species across the visible to near-infrared (VNIR) and thermal infrared (TIR) spectral ranges. Our measurements demonstrate that, even with subtle signatures in the spectra of chondritic meteorites, we can identify diagnostic features related to the minerals comprising each of the samples. Also, the complementary nature of the two spectral ranges regarding their ability to detect different mixture and meteorite components can be used to characterize analog sample compositions better. However, we observe differences in the VNIR and TIR spectra between the mineral mixtures and the meteorites. These differences likely result from (1) differences in the types and physical disposition of constituents in the mixtures versus in meteorites, (2) missing phases observed in meteorites that we did not add to the mixtures, and (3) albedo differences among the samples. In addition to the initial characterization of the analog samples, we will use these spectral measurements to test phase detection and abundance determination algorithms in anticipation of mapping Bennu's surface properties and selecting a sampling site.</t>
  </si>
  <si>
    <t>[Hanna, K. L. Donaldson; Schrader, D. L.; Cloutis, E. A.; Cody, G. D.; King, A. J.; McCoy, T. J.; Applin, D. M.; Mann, J. P.; Bowles, N. E.; Brucato, J. R.; Connolly, H. C., Jr.; Dotto, E.; Keller, L. P.; Lim, L. F.; Clark, B. E.; Hamilton, V. E.; Lantz, C.; Lauretta, D. S.; Russell, S. S.; Schofield, P. F.] Univ Oxford, Clarendon Lab, Atmospher Ocean &amp; Planetary Phys, Parks Rd, Oxford OX1 3PU, England</t>
  </si>
  <si>
    <t>University of Oxford</t>
  </si>
  <si>
    <t>Hanna, KLD (corresponding author), Univ Oxford, Clarendon Lab, Atmospher Ocean &amp; Planetary Phys, Parks Rd, Oxford OX1 3PU, England.</t>
  </si>
  <si>
    <t>kerri.donaldsonhanna@physics.ox.ac.uk</t>
  </si>
  <si>
    <t>Hanna, Kerri Donaldson/AAC-9941-2020; Schrader, Devin L/H-6293-2012; Lim, Lucy F/C-9557-2012</t>
  </si>
  <si>
    <t>Lantz, Cateline/0000-0003-0974-4770; Brucato, John Robert/0000-0002-4738-5521; Schrader, Devin/0000-0001-5282-232X; Donaldson Hanna, Kerri/0000-0001-5592-4292; Russell, Sara/0000-0001-5531-7847; Schofield, Paul/0000-0003-0902-0588; McCoy, Timothy/0000-0002-4573-3553; King, Ashley/0000-0001-6113-5417; Dotto, Elisabetta/0000-0002-9335-1656; Cloutis, Edward/0000-0001-7301-0929</t>
  </si>
  <si>
    <t>National Aeronautics and Space Administration [NNM10AA11C]; NSF; NASA; Leverhulme Trust; UK Space Agency; STFC [ST/I001948/1, ST/K00106X/1, ST/R000727/1, ST/P007228/1] Funding Source: UKRI</t>
  </si>
  <si>
    <t>National Aeronautics and Space Administration(National Aeronautics &amp; Space Administration (NASA)); NSF(National Science Foundation (NSF)); NASA(National Aeronautics &amp; Space Administration (NASA)); Leverhulme Trust(Leverhulme Trust); UK Space Agency; STFC(UK Research &amp; Innovation (UKRI)Science &amp; Technology Facilities Council (STFC))</t>
  </si>
  <si>
    <t>This manuscript is based upon work supported by the National Aeronautics and Space Administration under Contract NNM10AA11C issued through the New Frontiers Program. The authors would like to thank the Smithsonian Institution, the members of the Meteorite Working Group, Cecilia Satterwhite and Kevin Righter (NASA, Johnson Space Center), Paul Pohwat (Smithsonian), and the Arizona State University Center for Meteorite Studies Meteorite Collection for supplying the samples that were necessary for this work. The Antarctic Search for Meteorites (ANSMET) program recovers US Antarctic meteorite samples, funded by NSF and NASA, which are characterized and curated by the Department of Mineral Sciences of the Smithsonian Institution and Astromaterials Curation Office at NASA Johnson Space Center. Donaldson Hanna thanks the Leverhulme Trust for their support through a postdoctoral fellowship and the UK Space Agency for their support through an Aurora Research Fellowship. Donaldson Hanna, Bowles, King, Russell, and Schofield thank the UK Science and Technology Facilities Council for supporting the facilities within the University of Oxford's Planetary Spectroscopy Facility and the Natural History Museum, London. Cloutis thanks Paul Mann for acquiring the reflectance spectra of the mixtures and meteorites used in this study, and Drs. Carle Pieters and Takahiro Hiroi of the NASA-supported Reflectance Experiment Laboratory (RELAB) Facility at Brown University for acquiring the spectra of the pure mineral phases. Cloutis also thanks the Canadian Space Agency, the Canada Foundation for Innovation, the Manitoba Research Innovations Fund, the Natural Sciences and Engineering Research Council of Canada, and the University of Winnipeg for supporting the establishment and operation of the University of Winnipeg's Planetary Spectrophotometer Facility.</t>
  </si>
  <si>
    <t>10.1016/j.icarus.2018.10.018</t>
  </si>
  <si>
    <t>WOS:000455422800046</t>
  </si>
  <si>
    <t>Hieronymus, M; Nycander, J; Nilsson, J; Döös, K; Hallberg, R</t>
  </si>
  <si>
    <t>Hieronymus, Magnus; Nycander, Jonas; Nilsson, Johan; Doos, Kristofer; Hallberg, Robert</t>
  </si>
  <si>
    <t>Oceanic Overturning and Heat Transport: The Role of Background Diffusivity</t>
  </si>
  <si>
    <t>Diapycnal mixing; Diffusion; Ocean circulation; Energy transport</t>
  </si>
  <si>
    <t>LARGE-SCALE CIRCULATION; SOUTHERN-OCEAN; PART I; CLIMATE; ENERGY; SENSITIVITY; MODEL; STRATIFICATION; DISSIPATION; ATMOSPHERE</t>
  </si>
  <si>
    <t>The role of oceanic background diapycnal diffusion for the equilibrium climate state is investigated in the global coupled climate model CM2G. Special emphasis is put on the oceanic meridional overturning and heat transport. Six runs with the model, differing only by their value of the background diffusivity, are run to steady state and the statistically steady integrations are compared. The diffusivity changes have large-scale impacts on many aspects of the climate system. Two examples are the volume-mean potential temperature, which increases by 3.6 degrees C between the least and most diffusive runs, and the Antarctic sea ice extent, which decreases rapidly as the diffusivity increases. The overturning scaling with diffusivity is found to agree rather well with classical theoretical results for the upper but not for the lower cell. An alternative empirical scaling with the mixing energy is found to give good results for both cells. The oceanic meridional heat transport increases strongly with the diffusivity, an increase that can only partly be explained by increases in the meridional overturning. The increasing poleward oceanic heat transport is accompanied by a decrease in its atmospheric counterpart, which keeps the increase in the planetary energy transport small compared to that in the ocean.</t>
  </si>
  <si>
    <t>[Hieronymus, Magnus; Nycander, Jonas; Nilsson, Johan; Doos, Kristofer] Stockholm Univ, Dept Meteorol, Stockholm, Sweden; [Hieronymus, Magnus] Swedish Meteorol &amp; Hydrol Inst, Norrkoping, Sweden; [Hallberg, Robert] NOAA, Geophys Fluid Dynam Lab, Princeton, NJ USA</t>
  </si>
  <si>
    <t>Stockholm University; Swedish Meteorological &amp; Hydrological Institute; National Oceanic Atmospheric Admin (NOAA) - USA</t>
  </si>
  <si>
    <t>Hieronymus, M (corresponding author), Stockholm Univ, Dept Meteorol, Stockholm, Sweden.;Hieronymus, M (corresponding author), Swedish Meteorol &amp; Hydrol Inst, Norrkoping, Sweden.</t>
  </si>
  <si>
    <t>hieronymus.magnus@gmail.com</t>
  </si>
  <si>
    <t>Nycander, Jonas/E-1334-2011</t>
  </si>
  <si>
    <t>Nycander, Jonas/0000-0002-4414-6859</t>
  </si>
  <si>
    <t>10.1175/JCLI-D-18-0438.1</t>
  </si>
  <si>
    <t>HG5GR</t>
  </si>
  <si>
    <t>WOS:000455005000002</t>
  </si>
  <si>
    <t>Prerna, S; Chatterjee, A; Mukherjee, A; Ravichandran, M; Shenoi, SSC</t>
  </si>
  <si>
    <t>Prerna, S.; Chatterjee, Abhisek; Mukherjee, A.; Ravichandran, M.; Shenoi, S. S. C.</t>
  </si>
  <si>
    <t>Wyrtki Jets: Role of intraseasonal forcing</t>
  </si>
  <si>
    <t>Indian Ocean; equatorial dynamics; MJO; zonal currents</t>
  </si>
  <si>
    <t>EQUATORIAL INDIAN-OCEAN; SEA-SURFACE TEMPERATURE; VARIABILITY; DYNAMICS; CIRCULATION; IMPACT; THERMODYNAMICS; OSCILLATIONS; TRANSPORTS; EVOLUTION</t>
  </si>
  <si>
    <t>Direct current measurements observed from the acoustic Doppler current profilers in the equatorial Indian Ocean (EIO) and solutions from an ocean general circulation model are investigated to understand the dynamics of the Wyrtki jet. These jets are usually described as semiannual direct wind forced zonal currents along the central and eastern EIO. We show that both, spring and fall, Wyrtki jets show predominant semiannual spectral peaks, but significant intraseasonal energy is evident during spring in the central and eastern EIO. We find that for the semiannual band, there is a strong spectral coherence between the overlying winds and the currents in the central EIO, but no coherency is observed in the eastern part of the EIO. Moreover, for the intraseasonal band, strong coherency between the winds and currents is evident. During spring, intraseasonal currents induced by the Madden-Julian oscillation (MJO) superimpose constructively with semiannual currents and thus intensify the strength of the spring Wyrtki jet. Also, the atmospheric intraseasonal variability accounts for the interannual variabilities observed in spring Wyrtki jets.</t>
  </si>
  <si>
    <t>[Prerna, S.; Chatterjee, Abhisek; Mukherjee, A.; Shenoi, S. S. C.] Indian Natl Ctr Ocean Informat Serv, Hyderabad 500090, India; [Ravichandran, M.] Natl Ctr Antarctic &amp; Ocean Res, Vasco Da Gama 403804, Goa, India</t>
  </si>
  <si>
    <t>Ministry of Earth Sciences (MoES) - India; Indian National Centre for Ocean Information Services (INCOIS); Ministry of Earth Sciences (MoES) - India; National Centre for Polar and Ocean Research (NCPOR)</t>
  </si>
  <si>
    <t>Prerna, S (corresponding author), Indian Natl Ctr Ocean Informat Serv, Hyderabad 500090, India.</t>
  </si>
  <si>
    <t>prerna.s@incois.gov.in</t>
  </si>
  <si>
    <t>Shenoi, Satheesh Chandra/IWM-2199-2023; Ravichandran, M./AAM-1351-2020</t>
  </si>
  <si>
    <t>10.1007/s12040-018-1042-0</t>
  </si>
  <si>
    <t>HG3ZH</t>
  </si>
  <si>
    <t>WOS:000454913400001</t>
  </si>
  <si>
    <t>Scott, RC; Nicolas, JP; Bromwich, DH; Norris, JR; Lubin, D</t>
  </si>
  <si>
    <t>Scott, Ryan C.; Nicolas, Julien P.; Bromwich, David H.; Norris, Joel R.; Lubin, Dan</t>
  </si>
  <si>
    <t>Meteorological Drivers and Large-Scale Climate Forcing of West Antarctic Surface Melt</t>
  </si>
  <si>
    <t>Antarctica; Atmospheric circulation; Downslope winds; ENSO; Snowmelt; icemelt; Climate change</t>
  </si>
  <si>
    <t>AMUNDSEN SEA EMBAYMENT; ICE-SHELF; GREENLAND ICE; PINE ISLAND; THWAITES GLACIER; MELTWATER; INSTABILITY; WIDESPREAD; FREQUENCY; DISCHARGE</t>
  </si>
  <si>
    <t>Understanding the drivers of surface melting in West Antarctica is crucial for understanding future ice loss and global sea level rise. This study identifies atmospheric drivers of surface melt on West Antarctic ice shelves and ice sheet margins and relationships with tropical Pacific and high-latitude climate forcing using multidecadal reanalysis and satellite datasets. Physical drivers of ice melt are diagnosed by comparing satellite-observed melt patterns to anomalies of reanalysis near-surface air temperature, winds, and satellite-derived cloud cover, radiative fluxes, and sea ice concentration based on an Antarctic summer synoptic climatology spanning 1979-2017. Summer warming in West Antarctica is favored by Amundsen Sea (AS) blocking activity and a negative phase of the southern annular mode (SAM), which both correlate with El Nino conditions in the tropical Pacific Ocean. Extensive melt events on the Ross-Amundsen sector of the West Antarctic Ice Sheet (WAIS) are linked to persistent, intense AS blocking anticyclones, which force intrusions of marine air over the ice sheet. Surface melting is primarily driven by enhanced downwelling longwave radiation from clouds and a warm, moist atmosphere and by turbulent mixing of sensible heat to the surface by fohn winds. Since the late 1990s, concurrent with ocean-driven WAIS mass loss, summer surface melt occurrence has increased from the Amundsen Sea Embayment to the eastern Ross Ice Shelf. We link this change to increasing anticyclonic advection of marine air into West Antarctica, amplified by increasing air-sea fluxes associated with declining sea ice concentration in the coastal Ross-Amundsen Seas.</t>
  </si>
  <si>
    <t>[Scott, Ryan C.; Norris, Joel R.; Lubin, Dan] Scripps Inst Oceanog, La Jolla, CA 92037 USA; [Nicolas, Julien P.; Bromwich, David H.] Ohio State Univ, Byrd Polar &amp; Climate Res Ctr, Columbus, OH USA</t>
  </si>
  <si>
    <t>University of California System; University of California San Diego; Scripps Institution of Oceanography; University System of Ohio; Ohio State University</t>
  </si>
  <si>
    <t>Scott, RC (corresponding author), Scripps Inst Oceanog, La Jolla, CA 92037 USA.</t>
  </si>
  <si>
    <t>rcscott@ucsd.edu</t>
  </si>
  <si>
    <t>Norris, Joel R/A-9785-2008</t>
  </si>
  <si>
    <t>Norris, Joel R/0000-0003-4384-0977; Scott, Ryan/0000-0002-9182-0834</t>
  </si>
  <si>
    <t>NASA Earth and Space Science Fellowship Program [NNX15AN45H]; NSF [PLR-1443549, PLR1341695, PLR1443443]; U.S. Department of Energy [DE-SC0017981]; U.S. Department of Energy (DOE) [DE-SC0017981] Funding Source: U.S. Department of Energy (DOE); NASA [NNX15AN45H, 798512] Funding Source: Federal RePORTER</t>
  </si>
  <si>
    <t>NASA Earth and Space Science Fellowship Program(National Aeronautics &amp; Space Administration (NASA)); NSF(National Science Foundation (NSF)); U.S. Department of Energy(United States Department of Energy (DOE)); U.S. Department of Energy (DOE)(United States Department of Energy (DOE)); NASA(National Aeronautics &amp; Space Administration (NASA))</t>
  </si>
  <si>
    <t>RCS was supported by the NASA Earth and Space Science Fellowship Program under Grant NNX15AN45H. DHB was supported by NSF Grants PLR1341695 and PLR1443443. DL was supported by U.S. Department of Energy Grant DE-SC0017981 and NSF Grant PLR-1443549. This article is contribution 1575 of the Byrd Polar and Climate Research Center.</t>
  </si>
  <si>
    <t>10.1175/JCLI-D-18-0233.1</t>
  </si>
  <si>
    <t>HG3HE</t>
  </si>
  <si>
    <t>WOS:000454864100001</t>
  </si>
  <si>
    <t>Incarbona, A; Di Stefano, E; Maiorano, P; Marino, M; Pelosi, N</t>
  </si>
  <si>
    <t>Incarbona, Alessandro; Di Stefano, Enrico; Maiorano, Patrizia; Marino, Maria; Pelosi, Nicola</t>
  </si>
  <si>
    <t>The response of calcareous nannoplankton to sea surface variability at Ceara Rise during the early Pleistocene glacial-interglacial cycles</t>
  </si>
  <si>
    <t>ITALIAN JOURNAL OF GEOSCIENCES</t>
  </si>
  <si>
    <t>calcareous nannoplankton; early Pleistocene; Ceara Rise; nutricline depth; AMOC</t>
  </si>
  <si>
    <t>ANTARCTIC INTERMEDIATE WATER; AMAZON RIVER PLUME; EQUATORIAL ATLANTIC-OCEAN; NORTH BRAZIL CURRENT; SOUTH-ATLANTIC; LIVING COCCOLITHOPHORES; MIDDLE PLEISTOCENE; TIME-SERIES; NANNOFOSSIL ASSEMBLAGES; SOUTHWESTERN ATLANTIC</t>
  </si>
  <si>
    <t>The Ceara Rise lies just beyond the edge of the Amazon River Fan and sediments from this site may record the complex interplay of different climatic systems and processes, including past changes in southern America monsoon activity, Intertropical Convergence Zone setting, different Atlantic Meridional Overturning Circulation (AMOC) strength and phytoplankton blooming triggered by Amazon River plumes. Here we investigate early Pleistocene calcareous nannoplankton at Ceara Rise, between about 1150 and 850 kiloyears ago. Our investigation shows abrupt variations in water column dynamics across glacial/interglacial cycles or, even better, linked with different AMOC modes. Dominant placoliths indicate a shallow nutricline that alternate with dominant Florisphaera profunda, pointing to a deep nutricline, respectively during a vigorous flow and slowdown/shutdown of AMOC. The southward displacement of the ITCZ, higher zonal trade wind intensity, more intense and prolonged North Brazilian Current retroflection and the arrival of the nutrientdepleted Glacial North Atlantic Intermediate Water possibly explain thermocline deepening and increased water column stratification during cold phases, with an Antarctic deep water signature on the Ceara Rise seafloor.</t>
  </si>
  <si>
    <t>[Incarbona, Alessandro; Di Stefano, Enrico] Univ Palermo, Dipartimento Sci Terra &amp; Mare, Via Archirafi 22, I-90134 Palermo, Italy; [Maiorano, Patrizia; Marino, Maria] Univ Bari Aldo Moro, Dipartimento Sci Terra &amp; Geoambientali, Via Orabona 4, I-70125 Bari, Italy; [Pelosi, Nicola] CNR, Ist Ambiente Marino Costiero, I-80133 Naples, Italy</t>
  </si>
  <si>
    <t>University of Palermo; Universita degli Studi di Bari Aldo Moro; Consiglio Nazionale delle Ricerche (CNR); L'Istituto per l'Ambiente Marino Costiero (IAMC-CNR)</t>
  </si>
  <si>
    <t>Incarbona, A (corresponding author), Univ Palermo, Dipartimento Sci Terra &amp; Mare, Via Archirafi 22, I-90134 Palermo, Italy.</t>
  </si>
  <si>
    <t>alessandro.incarbona@unipa.it</t>
  </si>
  <si>
    <t>Pelosi, Nicola/AAL-3817-2021; Marino, Maria/J-6868-2014</t>
  </si>
  <si>
    <t>Pelosi, Nicola/0000-0002-1751-3844; Marino, Maria/0000-0001-6239-0786; Maiorano, Patrizia/0000-0003-4917-1786</t>
  </si>
  <si>
    <t>Italian Ministry of Education, Universities and Research [PJ_RIC_FFABR_2017_161560]</t>
  </si>
  <si>
    <t>Italian Ministry of Education, Universities and Research(Ministry of Education, Universities and Research (MIUR))</t>
  </si>
  <si>
    <t>We are grateful to Isabella Raffi and an anonymous reviewer for insightful comments and suggestions. AI acknowledges funding by Italian Ministry of Education, Universities and Research through grant PJ_RIC_FFABR_2017_161560. MM thanks 'Fondi di Ateneo 2014', Universita degli Studi di Bari Aldo Moro. We are also grateful to the ODP Core Repository in Bremen for providing sediment samples.</t>
  </si>
  <si>
    <t>SOC GEOLOGICA ITALIANA</t>
  </si>
  <si>
    <t>ROME</t>
  </si>
  <si>
    <t>UNIV DEGLI STUDI LA SAPIENZA, DIPART SCI DELLA TERRA, PIAZZALE ALDO MORO 5, ROME, I-00185, ITALY</t>
  </si>
  <si>
    <t>2038-1719</t>
  </si>
  <si>
    <t>2038-1727</t>
  </si>
  <si>
    <t>ITAL J GEOSCI</t>
  </si>
  <si>
    <t>Ital. J. Geosci.</t>
  </si>
  <si>
    <t>10.3301/IJG.2018.22</t>
  </si>
  <si>
    <t>GZ4FN</t>
  </si>
  <si>
    <t>WOS:000449349400001</t>
  </si>
  <si>
    <t>O'Hara, TD; Hugall, AF; Woolley, SNC; Bribiesca-Contreras, G; Bax, NJ</t>
  </si>
  <si>
    <t>O'Hara, Timothy D.; Hugall, Andrew F.; Woolley, Skipton N. C.; Bribiesca-Contreras, Guadalupe; Bax, Nicholas J.</t>
  </si>
  <si>
    <t>Contrasting processes drive ophiuroid phylodiversity across shallow and deep seafloors</t>
  </si>
  <si>
    <t>LATITUDINAL DIVERSITY GRADIENT; TRAIT-DEPENDENT SPECIATION; EVOLUTIONARY PROCESSES; PHYLOGENETIC ANALYSES; SPECIES RICHNESS; DIVERSIFICATION; EXTINCTION; CONSERVATION; DISTINCTNESS; CHARACTER</t>
  </si>
  <si>
    <t>Our knowledge of the distribution and evolution of deep-sea life is limited, impeding our ability to identify priority areas for conservation(1). Here we analyse large integrated phylogenomic and distributional datasets of seafloor fauna from the sea surface to the abyss and from equator to pole of the Southern Hemisphere for an entire class of invertebrates (Ophiuroidea). We find that latitudinal diversity gradients are assembled through contrasting evolutionary processes for shallow (0-200 m) and deep (&gt;200 m) seas. The shallow-water tropical-temperate realm broadly reflects a tropical diversification-driven process that shows exchange of lineages in both directions. Diversification rates are reversed for the realm that contains the deep sea and Antarctica; the diversification rates are highest at polar and lowest at tropical latitudes, and net exchange occurs from high to low latitudes. The tropical upper bathyal (200-700 m deep), with its rich ancient phylodiversity, is characterized by relatively low diversification and moderate immigration rates. Conversely, the young, specialized Antarctic fauna is inferred to be rebounding from regional extinctions that are associated with the rapid cooling of polar waters during the mid-Cenozoic era.</t>
  </si>
  <si>
    <t>[O'Hara, Timothy D.; Hugall, Andrew F.; Woolley, Skipton N. C.; Bribiesca-Contreras, Guadalupe] Museums Victoria, Melbourne, Vic, Australia; [Woolley, Skipton N. C.; Bax, Nicholas J.] CSIRO Oceans &amp; Atmosphere, Hobart, Tas, Australia; [Bribiesca-Contreras, Guadalupe] Univ Melbourne, Biosci, Melbourne, Vic, Australia; [Bax, Nicholas J.] Univ Tasmania, Inst Marine &amp; Antarct Sci, Hobart, Tas, Australia</t>
  </si>
  <si>
    <t>Melbourne Genomics Health Alliance; Commonwealth Scientific &amp; Industrial Research Organisation (CSIRO); Melbourne Genomics Health Alliance; University of Melbourne; University of Tasmania</t>
  </si>
  <si>
    <t>O'Hara, TD (corresponding author), Museums Victoria, Melbourne, Vic, Australia.</t>
  </si>
  <si>
    <t>tohara@museum.vic.gov.au</t>
  </si>
  <si>
    <t>O'Hara, Timothy/0000-0003-0885-6578</t>
  </si>
  <si>
    <t>Marine Biodiversity Hub through the National Environmental Science Program (NESP); Global Ocean Biodiversity Initiative - International Climate Initiative (IKI)</t>
  </si>
  <si>
    <t>T.D.O., A.F.H. and N.J.B. were supported by the Marine Biodiversity Hub, funded through the National Environmental Science Program (NESP) and administered through the Australian Government's Department of the Environment and Energy. S.N.C.W. was supported by the Global Ocean Biodiversity Initiative funded by the International Climate Initiative (IKI). CSIRO Marine National Facility provided sea time and personnel on the RV Investigator for the 'Sampling the abyss' voyage IN2017_V03. Museums Victoria and Museum National d'Histoire Naturelle, Paris provided the majority of tissue samples. K. Naughton extracted the DNA; library preparation, target capture and sequencing was done through the Georgia Genomics Facility and Arbor Biosciences.</t>
  </si>
  <si>
    <t>JAN 31</t>
  </si>
  <si>
    <t>10.1038/s41586-019-0886-z</t>
  </si>
  <si>
    <t>HJ7UY</t>
  </si>
  <si>
    <t>WOS:000457404000046</t>
  </si>
  <si>
    <t>Heupel, MR; Papastamatiou, YP; Espinoza, M; Green, ME; Simpfendorfer, CA</t>
  </si>
  <si>
    <t>Heupel, Michelle R.; Papastamatiou, Yannis P.; Espinoza, Mario; Green, Madeline E.; Simpfendorfer, Colin A.</t>
  </si>
  <si>
    <t>Reef Shark Science - Key Questions and Future Directions</t>
  </si>
  <si>
    <t>elasmobranch; coral reef; ecology; management; conservation</t>
  </si>
  <si>
    <t>TERM MOVEMENT PATTERNS; CARCHARHINUS-MELANOPTERUS; CORAL-REEFS; STABLE-ISOTOPES; CLIMATE-CHANGE; NEGAPRION-BREVIROSTRIS; ACOUSTIC TELEMETRY; BODY ACCELERATION; GALEOCERDO-CUVIER; GENETIC-STRUCTURE</t>
  </si>
  <si>
    <t>The occurrence of sharks on coral reefs has been well documented for decades, especially since the advent of SCUBA diving. Despite this, it is only within the last decade that substantial research effort has been directed at these species. Research effort has increased in conjunction with the realization that reef shark populations have experienced significant declines throughout their distribution. However, trends in declines have been coupled with reports of high abundance in some areas providing confusion about what healthy reef shark populations should look like. Given that coral reefs are among the most biologically diverse and productive habitats, but also are one of the most threatened by climate change due to the effects of rising temperature and declining pH, there is a need to understand reef sharks to better predict consequences for their populations. Studies of reef sharks also have the potential to provide insights into the functioning of their populations and ecosystems more broadly because of the spatially constrained nature of their distributions, and high water visibility in most locations. These aspects make studying reef shark populations integral to understanding coral reef ecosystem dynamics and resilience to pressures. This paper synthesizes a number of key questions about coral reef sharks based on our experience researching this group of species over the past decade. Key research gaps and critical questions include aspects of life history, population dynamics, ecology, behavior, physiology, energetics, and more. This synthesis also considers the methods used to date, and what new and emerging techniques may be available to improve our understanding of reef shark populations. The synthesis will highlight how even basic questions relating to reef shark population sizes, how large they should be, and what impacts do they have on reef ecosystems, remain either unanswered or highly controversial.</t>
  </si>
  <si>
    <t>[Heupel, Michelle R.] Australian Inst Marine Sci, Townsville, Qld, Australia; [Papastamatiou, Yannis P.] Florida Int Univ, Dept Biol Sci, Miami, FL 33199 USA; [Espinoza, Mario] Univ Costa Rica, Ctr Invest Ciencias Mar &amp; Limnol, San Jose, Costa Rica; [Espinoza, Mario] Univ Costa Rica, Escuela Biol, San Jose, Costa Rica; [Green, Madeline E.] CSIRO, Natl Res Collect Australia, Australian Natl Fish Collect, Hobart, Tas, Australia; [Green, Madeline E.] Univ Tasmania, Inst Marine &amp; Antarctic Studies, Hobart, Tas, Australia; [Simpfendorfer, Colin A.] James Cook Univ, Coll Sci &amp; Engn, Ctr Sustainable Trop Fisheries &amp; Aquaculture, Townsville, Qld, Australia</t>
  </si>
  <si>
    <t>Australian Institute of Marine Science; State University System of Florida; Florida International University; Universidad Costa Rica; Universidad Costa Rica; Commonwealth Scientific &amp; Industrial Research Organisation (CSIRO); University of Tasmania; James Cook University</t>
  </si>
  <si>
    <t>Heupel, MR (corresponding author), Australian Inst Marine Sci, Townsville, Qld, Australia.</t>
  </si>
  <si>
    <t>m.heupel@aims.gov.au</t>
  </si>
  <si>
    <t>Espinoza, Mario/AAV-3460-2020; Simpfendorfer, Colin A/G-9681-2011</t>
  </si>
  <si>
    <t>Espinoza, Mario/0000-0002-8355-2411; Green, Madeline Elizabeth/0000-0002-5037-2043</t>
  </si>
  <si>
    <t>JAN 30</t>
  </si>
  <si>
    <t>10.3389/fmars.2019.00012</t>
  </si>
  <si>
    <t>HK3OZ</t>
  </si>
  <si>
    <t>WOS:000457827300001</t>
  </si>
  <si>
    <t>Bianchini, G; Castagnoli, F; Di Natale, G; Palchetti, L</t>
  </si>
  <si>
    <t>Bianchini, Giovanni; Castagnoli, Francesco; Di Natale, Gianluca; Palchetti, Luca</t>
  </si>
  <si>
    <t>A Fourier transform spectroradiometer for ground-based remote sensing of the atmospheric downwelling long-wave radiance</t>
  </si>
  <si>
    <t>ANGULAR-DISTRIBUTION MODELS; RADIATIVE FLUX ESTIMATION; ENERGY SYSTEM INSTRUMENT; WATER-VAPOR CONTINUUM; FAR-INFRARED EMISSION; CLOSURE EXPERIMENT; TERRA SATELLITE; TECHNICAL NOTE; DESIGN; CLOUDS</t>
  </si>
  <si>
    <t>The Radiation Explorer in the Far Infrared - Prototype for Applications and Development (REFIR-PAD) is a Fourier transform spectroradiometer that has been designed to operate from both stratospheric balloon platforms and the ground. It has been successfully deployed in a stratospheric balloon flight and several ground-based campaigns from high-altitude sites, including the current installation at the Italian-French Concordia Antarctic station. The instrument is capable of operating autonomously with only a limited need of remote control and monitoring and provides a multiyear dataset of spectrally resolved atmospheric down-welling radiances, measured in the 100-1500 cm(-1) spectral range with 0.4 cm(-1) resolution and a radiometric uncertainty of better than 0.85 mW (m(2) srcm(-1))(-1).</t>
  </si>
  <si>
    <t>[Bianchini, Giovanni; Castagnoli, Francesco; Di Natale, Gianluca; Palchetti, Luca] CNR, Ist Nazl Ott, Via Madonna del Piano 10, I-50019 Sesto Fiorentino, Italy</t>
  </si>
  <si>
    <t>Consiglio Nazionale delle Ricerche (CNR); Istituto Nazionale di Ottica (INO-CNR)</t>
  </si>
  <si>
    <t>Bianchini, G (corresponding author), CNR, Ist Nazl Ott, Via Madonna del Piano 10, I-50019 Sesto Fiorentino, Italy.</t>
  </si>
  <si>
    <t>giovanni.bianchini@ino.cnr.it</t>
  </si>
  <si>
    <t>Di Natale, Gianluca/AAL-4498-2021; Bianchini, Giovanni/ABD-3585-2020; PALCHETTI, LUCA/O-1270-2015</t>
  </si>
  <si>
    <t>Di Natale, Gianluca/0000-0002-9149-7926; Bianchini, Giovanni/0000-0002-5400-7721; PALCHETTI, LUCA/0000-0003-4022-8125</t>
  </si>
  <si>
    <t>Italian National Antarctic Research Program, Programma Nazionale di Ricerca in Antartide (PNRA) [2009/A04.03 2011-2013, 2013/AC3.01 2013-2016, 2016/AC3.02, 2016/AC3.03]</t>
  </si>
  <si>
    <t>Italian National Antarctic Research Program, Programma Nazionale di Ricerca in Antartide (PNRA)</t>
  </si>
  <si>
    <t>We would like to acknowledge the Italian National Antarctic Research Program, Programma Nazionale di Ricerca in Antartide (PNRA) for the funding for the following research programs that have allowed us to perform REFIR-PAD measurements since December 2011 at Concordia station, Antarctica: project PRANA (Proprieta Radiative del vapore Acqueo e delle Nubi in Antartide) 2009/A04.03 2011-2013, project COMPASS (COncordia Multi-Process Atmospheric StudieS) 2013/AC3.01 2013-2016, and the currently active projects DOCTOR (DOme C Tropospheric ObserveR) 2016/AC3.02 and FIRCLOUDS (Far Infrared Radiative Closure Experiment For Antarctic Clouds) 2016/AC3.03.</t>
  </si>
  <si>
    <t>10.5194/amt-12-619-2019</t>
  </si>
  <si>
    <t>HJ4WU</t>
  </si>
  <si>
    <t>WOS:000457178800002</t>
  </si>
  <si>
    <t>Lowry, DP; Golledge, NR; Menviel, L; Bertler, NAN</t>
  </si>
  <si>
    <t>Lowry, Daniel P.; Golledge, Nicholas R.; Menviel, Laurie; Bertler, Nancy A. N.</t>
  </si>
  <si>
    <t>Deglacial evolution of regional Antarctic climate and Southern Ocean conditions in transient climate simulations</t>
  </si>
  <si>
    <t>LAST GLACIAL MAXIMUM; EARTH SYSTEM MODEL; VOSTOK ICE CORE; EPICA DOME-C; WEST ANTARCTICA; HEMISPHERE CLIMATE; HOLOCENE CLIMATE; TEMPERATURE; SEA; ACCUMULATION</t>
  </si>
  <si>
    <t>Constraining Antarctica's climate evolution since the end of the Last Glacial Maximum (similar to 18 ka) remains a key challenge, but is important for accurately projecting future changes in Antarctic ice sheet mass balance. Here we perform a spatial and temporal analysis of two transient deglacial climate simulations, one using a fully coupled GCM (TraCE-21ka) and one using an intermediate complexity model (LOVECLIM DG(ns)), to determine regional differences in deglacial climate evolution and identify the main strengths and limitations of the models in terms of climate variables that impact ice sheet mass balance. The greatest continental surface warming is observed over the continental margins in both models, with strong correlations between surface albedo, sea ice coverage, and surface air temperature along the coasts, as well as regions with the greatest decrease in ice surface elevation in TraCE21ka. Accumulation-temperature scaling relationships are fairly linear and constant in the continental interior, but exhibit higher variability in the early to mid-Holocene over coastal regions. Circum-Antarctic coastal ocean temperatures at grounding line depths are highly sensitive to the meltwater forcings prescribed in each simulation, which are applied in different ways due to limited paleo-constraints. Meltwater forcing associated with the Meltwater Pulse 1A (MWP1A) event results in subsurface warming that is most pronounced in the Amundsen and Bellingshausen Sea sector in both models. Although modelled centennial-scale rates of temperature and accumulation change are reasonable, clear model-proxy mismatches are observed with regard to the timing and duration of the Antarctic Cold Reversal (ACR) and Younger Dryas-early Holocene warming, which may suggest model bias in large-scale ocean circulation, biases in temperature reconstructions from proxy records, or that the MWP1A and 1B events are inadequately represented in these simulations. The incorporation of dynamic ice sheet models in future transient climate simulations could aid in improving meltwater forcing representation, and thus model-proxy agreement, through this time interval.</t>
  </si>
  <si>
    <t>[Lowry, Daniel P.; Golledge, Nicholas R.; Bertler, Nancy A. N.] Victoria Univ Wellington, Antarctic Res Ctr, Wellington 6012, New Zealand; [Golledge, Nicholas R.; Bertler, Nancy A. N.] GNS Sci, Lower Hutt 5010, New Zealand; [Menviel, Laurie] Univ New South Wales, Climate Change Res Ctr, Sydney, NSW 2052, Australia; [Menviel, Laurie] Univ New South Wales, PANGEA Res Ctr, Sydney, NSW 2052, Australia</t>
  </si>
  <si>
    <t>Victoria University Wellington; GNS Science - New Zealand; University of New South Wales Sydney; University of New South Wales Sydney</t>
  </si>
  <si>
    <t>Lowry, DP (corresponding author), Victoria Univ Wellington, Antarctic Res Ctr, Wellington 6012, New Zealand.</t>
  </si>
  <si>
    <t>dan.lowry@vuw.ac.nz</t>
  </si>
  <si>
    <t>Bertler, Nancy A N/F-3967-2011; Menviel, Laurie/O-7833-2019; Menviel, Laurie/D-6902-2013</t>
  </si>
  <si>
    <t>Menviel, Laurie/0000-0002-5068-1591; Bertler, Nancy/0000-0001-6028-4891; Golledge, Nicholas/0000-0001-7676-8970; Lowry, Daniel/0000-0002-9668-0850</t>
  </si>
  <si>
    <t>New Zealand Ministry of Business, Innovation, and Employment grants through Victoria University of Wellington [15-VUW-131]; GNS Science [540GCT32]; Antarctica New Zealand Doctoral Scholarship programme; Royal Society Te Aparangi [VUW1501]; Australian Research Council [DE150100107]</t>
  </si>
  <si>
    <t>New Zealand Ministry of Business, Innovation, and Employment grants through Victoria University of Wellington(New Zealand Ministry of Business, Innovation and Employment (MBIE)); GNS Science; Antarctica New Zealand Doctoral Scholarship programme; Royal Society Te Aparangi(Royal Society of New Zealand); Australian Research Council(Australian Research Council)</t>
  </si>
  <si>
    <t>We gratefully acknowledge the teams behind the TraCE-21ka and LOVECLIM DGns experiments for producing and sharing model output, publicly available via the NCAR Climate Data Gateway and the Asia-Pacific Data Research Center, respectively. We also thank the Antarctic ice core and marine sediment proxy communities for the use of their data and two anonymous reviewers for their constructive comments. Funding for this project was provided by the New Zealand Ministry of Business, Innovation, and Employment grants through Victoria University of Wellington (15-VUW-131) and GNS Science (540GCT32). Daniel P. Lowry acknowledges support from the Antarctica New Zealand Doctoral Scholarship programme. Nicholas R. Golledge acknowledges support from the Royal Society Te Aparangi under contract VUW1501. Laurie Menviel acknowledges support from the Australian Research Council grant DE150100107.</t>
  </si>
  <si>
    <t>10.5194/cp-15-189-2019</t>
  </si>
  <si>
    <t>HJ4XH</t>
  </si>
  <si>
    <t>WOS:000457180600001</t>
  </si>
  <si>
    <t>Whitehouse, PL; Gomez, N; King, MA; Wiens, DA</t>
  </si>
  <si>
    <t>Whitehouse, Pippa L.; Gomez, Natalya; King, Matt A.; Wiens, Douglas A.</t>
  </si>
  <si>
    <t>Solid Earth change and the evolution of the Antarctic Ice Sheet</t>
  </si>
  <si>
    <t>GLACIAL-ISOSTATIC-ADJUSTMENT; UPPER-MANTLE STRUCTURE; SEA-LEVEL RISE; LARGE ENSEMBLE ANALYSIS; RAPID BEDROCK UPLIFT; WEDDELL SEA; WEST ANTARCTICA; VISCOELASTIC RESPONSE; EMBAYMENT CONSTRAINTS; BENEATH ANTARCTICA</t>
  </si>
  <si>
    <t>Recent studies suggest that Antarctica has the potential to contribute up to similar to 15m of sea-level rise over the next few centuries. The evolution of the Antarctic Ice Sheet is driven by a combination of climate forcing and non-climatic feedbacks. In this review we focus on feedbacks between the Antarctic Ice Sheet and the solid Earth, and the role of these feedbacks in shaping the response of the ice sheet to past and future climate changes. The growth and decay of the Antarctic Ice Sheet reshapes the solid Earth via isostasy and erosion. In turn, the shape of the bed exerts a fundamental control on ice dynamics as well as the position of the grounding line-the location where ice starts to float. A complicating issue is the fact that Antarctica is situated on a region of the Earth that displays large spatial variations in rheological properties. These properties affect the timescale and strength of feedbacks between ice-sheet change and solid Earth deformation, and hence must be accounted for when considering the future evolution of the ice sheet.</t>
  </si>
  <si>
    <t>[Whitehouse, Pippa L.] Univ Durham, Dept Geog, Durham DH1 3LE, England; [Gomez, Natalya] McGill Univ, Dept Earth &amp; Planetary Sci, Montreal, PQ H3A 0E8, Canada; [King, Matt A.] Univ Tasmania, Sch Technol Environm &amp; Design, Hobart, Tas 7001, Australia; [Wiens, Douglas A.] Washington Univ, Dept Earth &amp; Planetary Sci, St Louis, MO 63130 USA</t>
  </si>
  <si>
    <t>Durham University; McGill University; University of Tasmania; Washington University (WUSTL)</t>
  </si>
  <si>
    <t>Whitehouse, PL (corresponding author), Univ Durham, Dept Geog, Durham DH1 3LE, England.</t>
  </si>
  <si>
    <t>pippa.whitehouse@durham.ac.uk</t>
  </si>
  <si>
    <t>King, Matt/B-4622-2008; Gomez, Natalya/AAU-4323-2020; Wiens, Douglas/J-9259-2016</t>
  </si>
  <si>
    <t>King, Matt/0000-0001-5611-9498; Gomez, Natalya/0000-0002-2463-7917; Wiens, Douglas/0000-0002-5169-4386; Whitehouse, Pippa/0000-0002-9092-3444</t>
  </si>
  <si>
    <t>UK Natural Environment Research Council (NERC) Independent Research Fellowship [NE/K009958/1]; National Sciences and Engineering Research Council (NSERC); Canada Research Chairs Program; McGill University; Australian Research Council Special Research Initiative for Antarctic Gateway Partnership [SR140300001]; NERC [NE/K009958/1, NE/L006294/1] Funding Source: UKRI</t>
  </si>
  <si>
    <t>UK Natural Environment Research Council (NERC) Independent Research Fellowship; National Sciences and Engineering Research Council (NSERC)(Natural Sciences and Engineering Research Council of Canada (NSERC)); Canada Research Chairs Program(Canada Research Chairs); McGill University; Australian Research Council Special Research Initiative for Antarctic Gateway Partnership(Australian Research Council); NERC(UK Research &amp; Innovation (UKRI)Natural Environment Research Council (NERC))</t>
  </si>
  <si>
    <t>We thank the following people for providing model output shown in Fig. 2: Erik Ivins, Dick Peltier, Lev Tarasov, Geruo A, Wouter van der Wal, Ingo Sasgen, Brian Gunter, and Alba Martin-Espanol. P.L.W. was supported by a UK Natural Environment Research Council (NERC) Independent Research Fellowship (NE/K009958/1). N.G. was supported by National Sciences and Engineering Research Council (NSERC), the Canada Research Chairs Program and McGill University. M.A.K. was supported by the Australian Research Council Special Research Initiative for Antarctic Gateway Partnership (Project ID SR140300001). This article is a contribution to the SCAR SERCE program.</t>
  </si>
  <si>
    <t>10.1038/s41467-018-08068-y</t>
  </si>
  <si>
    <t>HJ4GA</t>
  </si>
  <si>
    <t>WOS:000457130800019</t>
  </si>
  <si>
    <t>Clark, MS; Suckling, CC; Cavallo, A; Mackenzie, CL; Thorne, MAS; Davies, AJ; Peck, LS</t>
  </si>
  <si>
    <t>Clark, Melody S.; Suckling, Coleen C.; Cavallo, Alessandro; Mackenzie, Clara L.; Thorne, Michael A. S.; Davies, Andrew J.; Peck, Lloyd S.</t>
  </si>
  <si>
    <t>Molecular mechanisms underpinning transgenerational plasticity in the green sea urchin Psammechinus miliaris</t>
  </si>
  <si>
    <t>HEAT-SHOCK PROTEINS; OCEAN ACIDIFICATION; SEAWATER ACIDIFICATION; STRONGYLOCENTROTUS-PURPURATUS; CLIMATE-CHANGE; CD-HIT; EXPRESSION; IMPACTS; LARVAE; GROWTH</t>
  </si>
  <si>
    <t>The pre-conditioning of adult marine invertebrates to altered conditions, such as low pH, can significantly impact offspring outcomes, a process which is often referred to as transgenerational plasticity (TGP). This study describes for the first time, the gene expression profiles associated with TGP in the green sea urchin Psammechinus miliaris and evaluates the transcriptional contribution to larval resilience. RNA-Seq was used to determine how the expression profiles of larvae spawned into low pH from pre-acclimated adults differed to those of larvae produced from adults cultured under ambient pH. The main findings demonstrated that adult conditioning to low pH critically pre-loads the embryonic transcriptional pool with antioxidants to prepare the larvae for the new conditions. In addition, the classic cellular stress response, measured via the production of heat shock proteins (the heat shock response (HSR)), was separately evaluated. None of the early stage larvae either spawned in low pH (produced from both ambient and pre-acclimated adults) or subjected to a separate heat shock experiment were able to activate the full HSR as measured in adults, but the capacity to mount an HSR increased as development proceeded. This compromised ability clearly contributes to the vulnerability of early stage larvae to acute environmental challenge.</t>
  </si>
  <si>
    <t>[Clark, Melody S.; Thorne, Michael A. S.; Peck, Lloyd S.] British Antarctic Survey, Nat Environm Res Council, Madingley Rd, Cambridge CB3 0ET, England; [Suckling, Coleen C.; Davies, Andrew J.] Bangor Univ, Sch Ocean Sci, Askew St, Menai Bridge LL59 5AB, Anglesey, Wales; [Suckling, Coleen C.] Univ Rhode Isl, Fisheries Anim &amp; Vet Sci, 4 East Alumni Ave, Kingston, RI 02881 USA; [Cavallo, Alessandro] Plymouth Univ, Sch Biol &amp; Marine Sci, Plymouth PL4 8AA, Devon, England; [Mackenzie, Clara L.] Univ Stirling, Inst Aquaculture, Stirling FK9 4LA, Scotland; [Davies, Andrew J.] Univ Rhode Isl, Biol Sci, 9 East Alumni Ave, Kingston, RI 02881 USA</t>
  </si>
  <si>
    <t>UK Research &amp; Innovation (UKRI); Natural Environment Research Council (NERC); NERC British Antarctic Survey; Bangor University; University of Rhode Island; University of Plymouth; University of Stirling; University of Rhode Island</t>
  </si>
  <si>
    <t>Clark, MS (corresponding author), British Antarctic Survey, Nat Environm Res Council, Madingley Rd, Cambridge CB3 0ET, England.</t>
  </si>
  <si>
    <t>mscl@bas.ac.uk</t>
  </si>
  <si>
    <t>Davies, Andrew/A-4222-2008; Clark, Melody/D-7371-2014</t>
  </si>
  <si>
    <t>Davies, Andrew/0000-0002-2087-0885; Cavallo, Alessandro/0000-0002-0135-0032; Thorne, Michael/0000-0001-7759-612X; Suckling, Coleen/0000-0002-8572-0909; Mackenzie, Clara/0000-0002-5797-6106; Clark, Melody/0000-0002-3442-3824</t>
  </si>
  <si>
    <t>NERC (natural Environment Research Council) [NE/G523539/1]; Scottish Association of Marine Sciences (SAMS); NERC; NERC [dml011000, bas0100036] Funding Source: UKRI</t>
  </si>
  <si>
    <t>NERC (natural Environment Research Council)(UK Research &amp; Innovation (UKRI)Natural Environment Research Council (NERC)); Scottish Association of Marine Sciences (SAMS); NERC(UK Research &amp; Innovation (UKRI)Natural Environment Research Council (NERC)); NERC(UK Research &amp; Innovation (UKRI)Natural Environment Research Council (NERC))</t>
  </si>
  <si>
    <t>CCS was financed by a NERC (natural Environment Research Council) algorithm studentship (NE/G523539/1) and partly by a Scottish Association of Marine Sciences (SAMS) research bursary. MSC, AC, MAST and LSP were financed by NERC core funds to the British Antarctic Survey. The authors would like to thank Tim Brand of the Scottish Association of Marine Science, Oban, UK for nutrient analyses, Elisha Slater for assistance in some of the spawning work and Nick Dunn for initial Q-PCR trials.</t>
  </si>
  <si>
    <t>10.1038/s41598-018-37255-6</t>
  </si>
  <si>
    <t>HJ4FF</t>
  </si>
  <si>
    <t>WOS:000457128700029</t>
  </si>
  <si>
    <t>Cheng, C; Jenkins, A; Holland, PR; Wang, ZM; Liu, CY; Xia, RB</t>
  </si>
  <si>
    <t>Cheng, Chen; Jenkins, Adrian; Holland, Paul R.; Wang, Zhaomin; Liu, Chengyan; Xia, Ruibin</t>
  </si>
  <si>
    <t>Responses of sub-ice platelet layer thickening rate and frazil-ice concentration to variations in ice-shelf water supercooling in McMurdo Sound, Antarctica</t>
  </si>
  <si>
    <t>FAST SEA-ICE; MARINE ICE; PRYDZ BAY; DYNAMICS; BENEATH; PLUME; EVOLUTION; MODEL; DEPOSITION; TRANSPORT</t>
  </si>
  <si>
    <t>Persistent outflow of supercooled ice-shelf water (ISW) from beneath McMurdo Ice Shelf creates a rapidly growing sub-ice platelet layer (SIPL) with a unique crystallographic structure under the sea ice in McMurdo Sound, Antarctica. A vertically modified frazil-ice-laden ISW plume model that encapsulates the combined non-linear effects of the vertical distributions of supercooling and frazil concentration on frazil-ice growth is applied to McMurdo Sound and is shown to reproduce the observed ISW supercooling and SIPL distributions. Using this model, the dependence of the SIPL thickening rate and depth-averaged frazil-ice concentration on ISW supercooling in McMurdo Sound is investigated and found to be predominantly controlled by the vertical distribution of frazil concentration. The complex dependence on frazil concentration highlights the need to improve frazil-ice observations within the sea-ice-ocean boundary layer in McMurdo Sound.</t>
  </si>
  <si>
    <t>[Cheng, Chen; Liu, Chengyan; Xia, Ruibin] Nanjing Univ Informat Sci &amp; Technol, Polar Climate Syst &amp; Global Change Lab, Nanjing 210044, Jiangsu, Peoples R China; [Cheng, Chen; Jenkins, Adrian; Holland, Paul R.] British Antarctic Survey, Cambridge CB3 0ET, England; [Cheng, Chen; Liu, Chengyan; Xia, Ruibin] Nanjing Univ Informat Sci &amp; Technol, Sch Marine Sci, Nanjing 210044, Jiangsu, Peoples R China; [Wang, Zhaomin; Liu, Chengyan] Hohai Univ, Coll Oceanog, Nanjing 210098, Jiangsu, Peoples R China</t>
  </si>
  <si>
    <t>Nanjing University of Information Science &amp; Technology; UK Research &amp; Innovation (UKRI); Natural Environment Research Council (NERC); NERC British Antarctic Survey; Nanjing University of Information Science &amp; Technology; Hohai University</t>
  </si>
  <si>
    <t>Wang, ZM (corresponding author), Hohai Univ, Coll Oceanog, Nanjing 210098, Jiangsu, Peoples R China.</t>
  </si>
  <si>
    <t>zhaomin.wang@hhu.edu.cn</t>
  </si>
  <si>
    <t>Holland, Paul R/G-2796-2012; Jenkins, Adrian/IUN-2406-2023</t>
  </si>
  <si>
    <t>Jenkins, Adrian/0000-0002-9117-0616</t>
  </si>
  <si>
    <t>National Natural Science Foundation of China [41406214, 41876220, 41306208, 41606217]; China Scholarship Council [201708320046, 201504180026]; Fundamental Research Funds for the Central Universities [2017B04814, 2017B20714]; NERC [NE/L013770/1, bas0100033] Funding Source: UKRI</t>
  </si>
  <si>
    <t>National Natural Science Foundation of China(National Natural Science Foundation of China (NSFC)); China Scholarship Council(China Scholarship Council); Fundamental Research Funds for the Central Universities(Fundamental Research Funds for the Central Universities); NERC(UK Research &amp; Innovation (UKRI)Natural Environment Research Council (NERC))</t>
  </si>
  <si>
    <t>We would like to thank three anonymous referees and Ken Hughes for their thorough review and helpful comments and suggestions. This work was funded by the National Natural Science Foundation of China (41406214, 41876220, 41306208, 41606217). Chen Cheng and Chengyan Liu were respectively supported by the China Scholarship Council (201708320046, 201504180026). Zhaomin Wang was supported by the Fundamental Research Funds for the Central Universities (2017B04814, 2017B20714).</t>
  </si>
  <si>
    <t>JAN 29</t>
  </si>
  <si>
    <t>10.5194/tc-13-265-2019</t>
  </si>
  <si>
    <t>HJ2YE</t>
  </si>
  <si>
    <t>WOS:000457035700001</t>
  </si>
  <si>
    <t>Agosta, C; Amory, C; Kittel, C; Orsi, A; Favier, V; Gallee, H; van den Broeke, MR; Lenaerts, JTM; van Wessem, JM; van de Berg, WJ; Fettweis, X</t>
  </si>
  <si>
    <t>Agosta, Cecile; Amory, Charles; Kittel, Christoph; Orsi, Anais; Favier, Vincent; Gallee, Hubert; van den Broeke, Michiel R.; Lenaerts, Jan T. M.; van Wessem, Jan Melchior; van de Berg, Willem Jan; Fettweis, Xavier</t>
  </si>
  <si>
    <t>Estimation of the Antarctic surface mass balance using the regional climate model MAR (1979-2015) and identification of dominant processes</t>
  </si>
  <si>
    <t>SNOW ACCUMULATION; EAST ANTARCTICA; ADELIE LAND; VARIABILITY; DOME; REASSESSMENT; SUBLIMATION; SIMULATION; GLACIERS; STATION</t>
  </si>
  <si>
    <t>The Antarctic ice sheet mass balance is a major component of the sea level budget and results from the difference of two fluxes of a similar magnitude: ice flow discharging in the ocean and net snow accumulation on the ice sheet surface, i.e. the surface mass balance (SMB). Separately modelling ice dynamics and SMB is the only way to project future trends. In addition, mass balance studies frequently use regional climate models (RCMs) outputs as an alternative to observed fields because SMB observations are particularly scarce on the ice sheet. Here we evaluate new simulations of the polar RCM MAR forced by three reanalyses, ERA-Interim, JRA-55, and MERRA-2, for the period 1979-2015, and we compare MAR results to the last outputs of the RCM RACMO2 forced by ERA-Interim. We show that MAR and RACMO2 perform similarly well in simulating coast-to-plateau SMB gradients, and we find no significant differences in their simulated SMB when integrated over the ice sheet or its major basins. More importantly, we outline and quantify missing or underestimated processes in both RCMs. Along stake transects, we show that both models accumulate too much snow on crests, and not enough snow in valleys, as a result of drifting snow transport fluxes not included in MAR and probably underestimated in RACMO2 by a factor of 3. Our results tend to confirm that drifting snow transport and sublimation fluxes are much larger than previous model-based estimates and need to be better resolved and constrained in climate models. Sublimation of precipitating particles in low-level atmospheric layers is responsible for the significantly lower snowfall rates in MAR than in RACMO2 in katabatic channels at the ice sheet margins. Atmospheric sublimation in MAR represents 363 Gt yr(-1) over the grounded ice sheet for the year 2015, which is 16% of the simulated snowfall loaded at the ground. This estimate is consistent with a recent study based on precipitation radar observations and is more than twice as much as simulated in RACMO2 because of different time residence of precipitating particles in the atmosphere. The remaining spatial differences in snowfall between MAR and RACMO2 are attributed to differences in advection of precipitation with snowfall particles being likely advected too far inland in MAR.</t>
  </si>
  <si>
    <t>[Agosta, Cecile; Amory, Charles; Kittel, Christoph; Fettweis, Xavier] Univ Liege, Dept Geog, Lab Climatol, FRS FNRS, B-4000 Liege, Belgium; [Agosta, Cecile; Orsi, Anais] CEA Saclay, IPSL CEA CNRS UVSQ UMR8212, Lab Sci Climat &amp; Environm, F-91190 Gif Sur Yvette, France; [Agosta, Cecile; Favier, Vincent; Gallee, Hubert] Univ Grenoble Alpes, CNRS, Inst Geosci Environm, F-38000 Grenoble, France; [van den Broeke, Michiel R.; Lenaerts, Jan T. M.; van Wessem, Jan Melchior; van de Berg, Willem Jan] Univ Utrecht, Inst Marine &amp; Atmospher Res Utrecht, Utrecht, Netherlands; [Lenaerts, Jan T. M.] Univ Colorado, Dept Atmospher &amp; Ocean Sci, Boulder, CO 80309 USA</t>
  </si>
  <si>
    <t>Fonds de la Recherche Scientifique - FNRS; University of Liege; Universite Paris Saclay; CEA; Centre National de la Recherche Scientifique (CNRS); Centre National de la Recherche Scientifique (CNRS); Communaute Universite Grenoble Alpes; Universite Grenoble Alpes (UGA); Utrecht University; University of Colorado System; University of Colorado Boulder</t>
  </si>
  <si>
    <t>Agosta, C (corresponding author), Univ Liege, Dept Geog, Lab Climatol, FRS FNRS, B-4000 Liege, Belgium.;Agosta, C (corresponding author), CEA Saclay, IPSL CEA CNRS UVSQ UMR8212, Lab Sci Climat &amp; Environm, F-91190 Gif Sur Yvette, France.;Agosta, C (corresponding author), Univ Grenoble Alpes, CNRS, Inst Geosci Environm, F-38000 Grenoble, France.</t>
  </si>
  <si>
    <t>cecile.agosta@gmail.com</t>
  </si>
  <si>
    <t>van Wessem, Melchior/AAB-1987-2019; Lenaerts, Jan/D-9423-2012; van de Berg, Willem Jan/H-4385-2011; Van den Broeke, Michiel R./F-7867-2011; Agosta, Cécile/HLQ-5577-2023; Agosta, Cécile/B-9625-2013; Favier, Vincent/T-1936-2017</t>
  </si>
  <si>
    <t>Lenaerts, Jan/0000-0003-4309-4011; van de Berg, Willem Jan/0000-0002-8232-2040; Van den Broeke, Michiel R./0000-0003-4662-7565; Agosta, Cécile/0000-0003-4091-1653; Orsi, Anais/0000-0001-5511-3940; Kittel, Christoph/0000-0001-6586-9784; Favier, Vincent/0000-0001-6024-9498; van Wessem, Melchior/0000-0003-3221-791X; Fettweis, Xavier/0000-0002-4140-3813; Amory, Charles/0000-0002-5906-4303</t>
  </si>
  <si>
    <t>F.R.S.-FNRS [2.5020.11]; Agence Nationale de la Recherche Scientifique [ANR-14-CE01-0001, ANR-16-CE01-0011]; Fondation Albert 2 de Monaco; Belgian Fund for Scientific Research (F.R.S.-FNRS) research fellowship; Agence Nationale de la Recherche (ANR) [ANR-16-CE01-0011] Funding Source: Agence Nationale de la Recherche (ANR)</t>
  </si>
  <si>
    <t>F.R.S.-FNRS(Fonds de la Recherche Scientifique - FNRS); Agence Nationale de la Recherche Scientifique(Agence Nationale de la Recherche (ANR)); Fondation Albert 2 de Monaco; Belgian Fund for Scientific Research (F.R.S.-FNRS) research fellowship(Fonds de la Recherche Scientifique - FNRS); Agence Nationale de la Recherche (ANR)(Agence Nationale de la Recherche (ANR))</t>
  </si>
  <si>
    <t>We thank Kenichi Matsuoka, Massimo Frezzotti, and the anonymous reviewer for their constructive and insightful comments, which led to a much improved paper. Cecile Agosta performed MAR simulations during her Belgian Fund for Scientific Research (F.R.S.-FNRS) research fellowship. Computational resources have been provided by the Consortium des Equipements de Calcul Intensif (CECI), funded by the F.R.S.-FNRS under grant no. 2.5020.11. We acknowledge Jacopo Grazioli for sharing the low-level sublimation product and his expertise on this dataset. We acknowledge Yetang Wang for sharing his updated version of the GLACIOCLIM-SAMBA dataset. We acknowledge Christophe Genthon for fruitful discussions and suggestions. The authors acknowledge the support from Agence Nationale de la Recherche Scientifique for the scientific traverses in Antarctica and the associated research on climate and surface mass balance modelling, projects ANR-14-CE01-0001 (ASUMA) and ANR-16-CE01-0011 (EAIIST). Cecile Agosta acknowledges the support from Fondation Albert 2 de Monaco under the project Antarctic-Snow (2018-2020).</t>
  </si>
  <si>
    <t>10.5194/tc-13-281-2019</t>
  </si>
  <si>
    <t>WOS:000457035700002</t>
  </si>
  <si>
    <t>Roman, L; Bell, E; Wilcox, C; Hardesty, BD; Hindell, M</t>
  </si>
  <si>
    <t>Roman, Lauren; Bell, Elizabeth; Wilcox, Chris; Hardesty, Britta Denise; Hindell, Mark</t>
  </si>
  <si>
    <t>Ecological drivers of marine debris ingestion in Procellariiform Seabirds</t>
  </si>
  <si>
    <t>FLESH-FOOTED SHEARWATERS; FRENCH FRIGATE SHOALS; PLASTIC INGESTION; GOUGH-ISLAND; POLLUTION; PETREL; ENVIRONMENT; PARTICLES</t>
  </si>
  <si>
    <t>Procellariiform seabirds are both the most threatened bird group globally, and the group with the highest incidence of marine debris ingestion. We examined the incidence and ecological factors associated with marine debris ingestion in Procellariiformes by examining seabirds collected at a global seabird hotspot, the Australasian - Southern Ocean boundary. We examined marine debris ingestion trends in 1734 individuals of 51 Procellariform species, finding significant variation in the incidence of marine debris abundance among species. Variation in the incidence of marine debris ingestion between species was influenced by the taxonomy, foraging ecology, diet, and foraging range overlaps with oceanic regions polluted with marine debris. Among the ecological drivers of marine debris ingestion variability in Procellariiformes, we demonstrate that the combination of taxonomy, foraging method, diet, and exposure to marine debris are the most important determinants of incidence of ingestion. We use these results to develop a global forecast for Procellariiform taxa at the risk of highest incidence of marine debris ingestion. We find seabirds that forage at the surface; especially by surface seizing, diving and filtering, those with a crustacean dominant diet, and those that forage in or near marine debris hotspots are at highest risk of debris ingestion. We predict that family with the highest risk are the storm petrels (Hydrobatidae and Oceanitidae). We demonstrate that the greater the exposure of high-risk groups to marine debris while foraging, the greater the incidence and number of marine debris items will be ingested.</t>
  </si>
  <si>
    <t>[Roman, Lauren; Wilcox, Chris; Hardesty, Britta Denise] CSIRO, Oceans &amp; Atmosphere, Hobart, Tas, Australia; [Roman, Lauren; Hindell, Mark] Univ Tasmania, Inst Marine &amp; Antarctic Studies, Hobart, Tas, Australia; [Bell, Elizabeth] Wildlife Management Int, Blenheim, New Zealand; [Hindell, Mark] Univ Tasmania, Antarctic Climate &amp; Ecosyst CRC, Hobart, Tas, Australia</t>
  </si>
  <si>
    <t>Roman, L (corresponding author), CSIRO, Oceans &amp; Atmosphere, Hobart, Tas, Australia.;Roman, L (corresponding author), Univ Tasmania, Inst Marine &amp; Antarctic Studies, Hobart, Tas, Australia.</t>
  </si>
  <si>
    <t>Hindell, Mark A/K-1131-2013; Hardesty, Britta Denise/A-3189-2011; Roman, Lauren/K-3804-2015</t>
  </si>
  <si>
    <t>Roman, Lauren/0000-0003-3591-4905; Hindell, Mark/0000-0002-7823-7185</t>
  </si>
  <si>
    <t>Auckland War Memorial Museum; Australia Zoo Wildlife Hospital; Australian Museum; Australian Seabird Rescue Inc; BirdLife Australia; BirdLife Tasmania; Bonorong Wildlife Sanctuary; Currumbin Sanctuary Wildlife Hospital; Department of Conservation (New Zealand); Department of Environment and Heritage Protection (QLD Australia); Department of Environment and Science (QLD Australia); Department of Primary Industries, Parks, Water and Environment (TAS Australia); Department of Parks and Wildlife (WA Australia); Friends of Shorebirds SA; Holistic Vets Tauranga; Melbourne Museum; Moreton Bay Research Station; Ornithological Society of New Zealand; Pelican and Seabird Rescue; Queensland Museum; RSPCA QLD Wildlife Hospital; South Australian Museum; Tasmanian Museum and Art Gallery; Te Papa Museum; University of Queensland; University of Western Australia; Wildlife Management International; BirdLife Australia's Australian Bird Environment Foundation; Australian Wildlife Society; Ecological Society of Australia's Holsworth Wildlife Research Endowment</t>
  </si>
  <si>
    <t>Auckland War Memorial Museum; Australia Zoo Wildlife Hospital; Australian Museum; Australian Seabird Rescue Inc; BirdLife Australia; BirdLife Tasmania; Bonorong Wildlife Sanctuary; Currumbin Sanctuary Wildlife Hospital; Department of Conservation (New Zealand); Department of Environment and Heritage Protection (QLD Australia); Department of Environment and Science (QLD Australia); Department of Primary Industries, Parks, Water and Environment (TAS Australia); Department of Parks and Wildlife (WA Australia); Friends of Shorebirds SA; Holistic Vets Tauranga; Melbourne Museum; Moreton Bay Research Station; Ornithological Society of New Zealand; Pelican and Seabird Rescue; Queensland Museum; RSPCA QLD Wildlife Hospital; South Australian Museum; Tasmanian Museum and Art Gallery; Te Papa Museum; University of Queensland(University of Queensland); University of Western Australia; Wildlife Management International; BirdLife Australia's Australian Bird Environment Foundation; Australian Wildlife Society; Ecological Society of Australia's Holsworth Wildlife Research Endowment</t>
  </si>
  <si>
    <t>The authors would like to acknowledge the following Australian and New Zealand organizations who have supported this project, provided facilities and storage, and assisted with the collection of seabirds for this study: Auckland War Memorial Museum, Australia Zoo Wildlife Hospital, Australian Museum, Australian Seabird Rescue Inc, BirdLife Australia, BirdLife Tasmania, Bonorong Wildlife Sanctuary, Currumbin Sanctuary Wildlife Hospital, Department of Conservation (New Zealand), Department of Environment and Heritage Protection (QLD Australia), Department of Environment and Science (QLD Australia), Department of Primary Industries, Parks, Water and Environment (TAS Australia), Department of Parks and Wildlife (WA Australia), Friends of Shorebirds SA, Holistic Vets Tauranga, Melbourne Museum, Moreton Bay Research Station, Ornithological Society of New Zealand, Pelican and Seabird Rescue, Queensland Museum, RSPCA QLD Wildlife Hospital, South Australian Museum, Tasmanian Museum and Art Gallery, Te Papa Museum, University of Queensland, University of Western Australia and Wildlife Management International. The authors would also like to thank the following people who have assisted in bird collection: B. Bauer, L. Behrendorff, E. Bell, B. Bird, T. Bishop, S. Borelli, B. Burford, K. Carlyon, M. Clarkson, P. Collins, B. Cumming, L. Esler, R. Ferris, L. Feasey, K. Fleischfresser, H. Forrest, N. Forrest, A. Gennings, A. Gillet, I. Godbert, P. Harris, G. Heathcote, M. Hines, P. Horton, G. Irons, H. Janetzki, C. Lacasse, J. Lesel, K. Matthews, C. Mischela, H. Patterson, L. Pulo, M. Pyne, M. Rayner, P. Rhodes, H. Rogers, S. Shaw, J. Sladek, L. Short, I. Southey, K. Southwell, D. Stewart, L. Schneider, P. Swift, P. Taylor, A. Tennyson, K. Townsend, L. Tsang and E. Woehler. Funding was provided by the BirdLife Australia's Australian Bird Environment Foundation, the Australian Wildlife Society, and the Ecological Society of Australia's Holsworth Wildlife Research Endowment.</t>
  </si>
  <si>
    <t>10.1038/s41598-018-37324-w</t>
  </si>
  <si>
    <t>HJ1WR</t>
  </si>
  <si>
    <t>WOS:000456956200006</t>
  </si>
  <si>
    <t>Motoba, T; Ebihara, Y; Ogawa, Y; Kadokura, A; Engebretson, MJ; Angelopoulos, V; Gerrard, AJ; Weatherwax, AT</t>
  </si>
  <si>
    <t>Motoba, T.; Ebihara, Y.; Ogawa, Y.; Kadokura, A.; Engebretson, M. J.; Angelopoulos, V.; Gerrard, A. J.; Weatherwax, A. T.</t>
  </si>
  <si>
    <t>On the Driver of Daytime Pc3 Auroral Pulsations</t>
  </si>
  <si>
    <t>ELECTRON-PRECIPITATION; ULF WAVES; MODULATION; CHORUS; REGION</t>
  </si>
  <si>
    <t>Pc3 range frequency (22-100 mHz) auroral pulsations often occur at daytime high latitudes, equatorward of the cusp/cleft and typically map to the dayside outer magnetosphere. In this paper we present simultaneous observations of compressional Pc3 magnetic pulsations in the dayside outer magnetosphere that occurred in direct association with daytime Pc3 auroral pulsations at South Pole Station (-74.4 degrees magnetic latitude). The pulsations were almost identical at the two locations, and their correlation was clearest when the magnetospheric pulsations were highly monochromatic. Lower-band chorus waves and keV electron fluxes were also modulated in the Pc3 range, likely by the compressional magnetic pulsations. The common Pc3 frequency in the magnetosphere and aurora matched well with the predicted frequency of upstream ultralow frequency waves. These results provide the first compelling evidence for the direct dayside outer magnetosphere-ionosphere linkage between upstream-generated compressional Pc3 waves, Pc3 range modulations of chorus waves and keV electrons, and Pc3 auroral pulsations. Plain Language Summary South Pole Station, Antarctica (SPA), is a unique polar observatory, which can monitor dayside aurora from the ground throughout austral winter. High time resolution optical instruments at SPA frequently capture auroral pulsations with Pc3 frequencies (22-100 mHz) around the midday hours. Here we use unique conjunctions of similar to 2-Hz SPA all-sky camera and Time History of Events and Macroscale Interactions during Substorm (THEMIS) spacecraft to identify the origin of the periodicity of daytime Pc3 auroral pulsations observed at SPA and their driver in the magnetosphere. Simultaneous in situ measurements in the dayside outer magnetosphere observed identical Pc3 magnetic pulsations in the compressional component. Lower-band chorus waves and keV electron fluxes were observed to be modulated also with the Pc3 range. The common Pc3 frequency in the magnetosphere and ionosphere matched well with the expected frequency of upstream ultralow frequency (ULF) waves generated in the foreshock region. The simultaneous SPA-THEMIS spacecraft conjunctions provide, for the first time, direct evidence that upstream-origin compressional Pc3 magnetic pulsations drive daytime auroral pulsations through wave-particle interactions. One important implication of this study is that the high temporal cadence 2-D observations of daytime auroral pulsations can be a useful tool for remote sensing the dynamics of outer magnetospheric Pc3 ULF waves.</t>
  </si>
  <si>
    <t>[Motoba, T.] Johns Hopkins Univ, Appl Phys Lab, Laurel, MD 20723 USA; [Ebihara, Y.] Kyoto Univ, Res Inst Sustainable Humanosphere, Kyoto, Japan; [Ogawa, Y.; Kadokura, A.] Natl Inst Polar Res, Tokyo, Japan; [Ogawa, Y.; Kadokura, A.] SOKENDAI Grad Univ Adv Studies, Sch Multidisciplinary Sci, Dept Polar Sci, Hayama, Japan; [Kadokura, A.] Res Org Informat &amp; Syst, Joint Support Ctr Data Sci Res, Tokyo, Japan; [Engebretson, M. J.] Augsburg Univ, Dept Phys, Minneapolis, MN USA; [Angelopoulos, V.] Univ Calif Los Angeles, Earth Planetary &amp; Space Sci, Los Angeles, CA USA; [Gerrard, A. J.] New Jersey Inst Technol, Ctr Solar Terr Res, Newark, NJ 07102 USA; [Weatherwax, A. T.] Merrimack Coll, Sch Sci &amp; Engn, N Andover, MA 01845 USA</t>
  </si>
  <si>
    <t>Johns Hopkins University; Johns Hopkins University Applied Physics Laboratory; Kyoto University; Research Organization of Information &amp; Systems (ROIS); National Institute of Polar Research (NIPR) - Japan; Graduate University for Advanced Studies - Japan; Research Organization of Information &amp; Systems (ROIS); Augsburg University; University of California System; University of California Los Angeles; New Jersey Institute of Technology; Merrimack College</t>
  </si>
  <si>
    <t>Motoba, T (corresponding author), Johns Hopkins Univ, Appl Phys Lab, Laurel, MD 20723 USA.</t>
  </si>
  <si>
    <t>tetsuo.motoba@gmail.com</t>
  </si>
  <si>
    <t>Ebihara, Yusuke/D-1638-2013; Ebihara, Yusuke/ABD-4430-2021; Motoba, Tetsuo/S-4554-2017</t>
  </si>
  <si>
    <t>Ebihara, Yusuke/0000-0002-2293-1557; Ebihara, Yusuke/0000-0002-2293-1557; Weatherwax, Allan/0000-0003-4732-358X; Motoba, Tetsuo/0000-0002-8138-7897; Angelopoulos, Vassilis/0000-0001-7024-1561; Ogawa, Yasunobu/0000-0002-8118-4475; Gerrard, Andrew/0000-0002-9626-2085</t>
  </si>
  <si>
    <t>NSF [PLR-1247975, ANT-1643700, ANT-0638587, OPP-1744609, AGS-1651263, 1716192, 1742693]; NASA [NAS5-02099]; Japanese Antarctic Research Expedition (JARE) program; Directorate For Geosciences; Office of Polar Programs (OPP) [1716192, 1742693] Funding Source: National Science Foundation</t>
  </si>
  <si>
    <t>NSF(National Science Foundation (NSF)); NASA(National Aeronautics &amp; Space Administration (NASA)); Japanese Antarctic Research Expedition (JARE) program; Directorate For Geosciences; Office of Polar Programs (OPP)(National Science Foundation (NSF)NSF - Directorate for Geosciences (GEO))</t>
  </si>
  <si>
    <t>Work at JHU/APL was supported by an NSF grant OPP-1744609. Work by M.J.E. was supported by NSF grant AGS-1651263. Merrimack College gratefully acknowledges support from NSF Awards 1716192 and 1742693. Data from the THEMIS and ARTEMIS Missions supported by NASA contract NAS5-02099 are publicly available at http://themis.igpp.ucla.edu/. The THEMIS electron flux data were processed with the THEMIS plug-in of the SPEDAS software. The South Pole all-sky optical instruments have been supported by NSF grants PLR-1247975, ANT-1643700, and ANT-0638587, and the Japanese Antarctic Research Expedition (JARE) program. The South Pole similar to 2-Hz all-sky image data were provided by NIPR, Japan (http://polaris.nipr.ac.jp/similar to asi-dp/watcam/). The authors are very grateful to Y. Miyashita and T. Nagai for providing the Geotail MGF data. We also acknowledge the CDAWeb for access to the 1-min OMNI data (https://omniweb.gsfc.nasa.gov).</t>
  </si>
  <si>
    <t>JAN 28</t>
  </si>
  <si>
    <t>10.1029/2018GL080842</t>
  </si>
  <si>
    <t>HL3IN</t>
  </si>
  <si>
    <t>WOS:000458607400004</t>
  </si>
  <si>
    <t>Downes, SM; Sloyan, BM; Rintoul, SR; Lupton, JE</t>
  </si>
  <si>
    <t>Downes, Stephanie M.; Sloyan, Bernadette M.; Rintoul, Stephen R.; Lupton, John E.</t>
  </si>
  <si>
    <t>Hydrothermal Heat Enhances Abyssal Mixing in the Antarctic Circumpolar Current</t>
  </si>
  <si>
    <t>SPATIAL VARIABILITY; SOUTH ATLANTIC; DRAKE PASSAGE; OCEAN; PACIFIC; HELIUM; PLUMES; HE-3; CIRCULATION; GENERATION</t>
  </si>
  <si>
    <t>Upwelling in the world's strongest current, the Antarctic Circumpolar Current, is thought to be driven by wind stress, surface buoyancy flux, and mixing generated from the interaction between bottom currents and rough topography. However, the impact of localized injection of heat by hydrothermal vents where the Antarctic Circumpolar Current interacts with mid-ocean ridges remains poorly understood. Here a circumpolar compilation of helium and physical measurements are used to show that while geothermal heat is transferred to the ocean over a broad area by conduction, heat transfer by convection dominates near hydrothermal vents. Buoyant hydrothermal plumes decrease stratification above the vent source and increase stratification to the south, altering the local vertical diffusivity and diapycnal upwelling within 500 m of the sea floor by an order of magnitude. Both the helium tracer and stratification signals induced by hydrothermal input are advected by the flow and influence properties downstream. Plain Language Summary Oceans soak up over 90% of the energy from global warming and regulate the Earth's climate. Along the ocean floor, more than 630 hydrothermal vents are spewing superhot plumes of water out of cracks in the Earth's crust. At the same time, the ocean floor is being gently warmed by magma under the Earth's crust, known as geothermal heating. But few research studies have measured and compared the effect of both hydrothermal and geothermal heat sources on major ocean currents. In this study, we analyzed over 3 million temperature, salinity and helium data points across the Southern Ocean that houses the world's strongest current, the Antarctic Circumpolar Current. The aim of the study was to determine how hydrothermal heat and geothermal heat affect the already-turbulent circulation of this current. The study finds that the circulation within a few hundred meters of hydrothermal vents in the Antarctic Circumpolar Current increases by tenfold, compared to circulation around it. The authors show, for the first time, that hydrothermal vents play a major role in ocean currents at a local scale (more than geothermal heat), and this role cannot be ignored, as has previously been done in climate modeling and ocean circulation research.</t>
  </si>
  <si>
    <t>[Downes, Stephanie M.; Rintoul, Stephen R.] Univ Tasmania, Antarctic Climate &amp; Ecosyst Cooperat Res Ctr, Hobart, Tas, Australia; [Sloyan, Bernadette M.; Rintoul, Stephen R.] Commonwealth Sci &amp; Ind Res Org Oceans &amp; Atmospher, Hobart, Tas, Australia; [Sloyan, Bernadette M.; Rintoul, Stephen R.] Ctr Southern Hemisphere Oceans Res, Hobart, Tas, Australia; [Lupton, John E.] NOAA Pacific Marine Environm Lab, Newport, OR USA</t>
  </si>
  <si>
    <t>Antarctic Climate &amp; Ecosystems Cooperative Research Centre (ACE CRC); University of Tasmania; Commonwealth Scientific &amp; Industrial Research Organisation (CSIRO); National Oceanic Atmospheric Admin (NOAA) - USA</t>
  </si>
  <si>
    <t>Downes, SM (corresponding author), Univ Tasmania, Antarctic Climate &amp; Ecosyst Cooperat Res Ctr, Hobart, Tas, Australia.</t>
  </si>
  <si>
    <t>s.downes@utas.edu.au</t>
  </si>
  <si>
    <t>Downes, Stephanie/A-1424-2012; Rintoul, Stephen R/A-1471-2012; Sloyan, Bernadette/N-8989-2014</t>
  </si>
  <si>
    <t>Rintoul, Stephen R/0000-0002-7055-9876; Sloyan, Bernadette/0000-0003-0250-0167</t>
  </si>
  <si>
    <t>Australian Governments Business Cooperative Research Centres Programme through the Antarctic Climate and Ecosystems Cooperative Research Centre (ACE CRC); Centre for Southern Hemisphere Oceans Research</t>
  </si>
  <si>
    <t>Australian Governments Business Cooperative Research Centres Programme through the Antarctic Climate and Ecosystems Cooperative Research Centre (ACE CRC)(Australian GovernmentDepartment of Industry, Innovation and ScienceCooperative Research Centres (CRC) Programme); Centre for Southern Hemisphere Oceans Research(Commonwealth Scientific &amp; Industrial Research Organisation (CSIRO))</t>
  </si>
  <si>
    <t>The authors would like to thank C. Wilkinson for processing and analyzing the recent P15 (2016) helium samples. All transect data were extracted from the CLIVAR and Carbon Hydrographic Office (CCHDO; https://cchdo.ucsd.edu/), and the data were analyzed using Python, Matlab, and Ocean Data View (https://odv.awi.de/). The geothermal heat flux estimates were taken from Davies and Davies (2010). S. M. D. was supported by the Australian Governments Business Cooperative Research Centres Programme through the Antarctic Climate and Ecosystems Cooperative Research Centre (ACE CRC). B. M. S. and S. R. R. received support from the Centre for Southern Hemisphere Oceans Research, a collaboration between CSIRO and the Qingdao National Laboratory for Marine Science and Technology.</t>
  </si>
  <si>
    <t>10.1029/2018GL080410</t>
  </si>
  <si>
    <t>WOS:000458607400032</t>
  </si>
  <si>
    <t>Murata, A; Kumamoto, Y; Sasaki, K</t>
  </si>
  <si>
    <t>Murata, Akihiko; Kumamoto, Yu-ichiro; Sasaki, Ken-ichi</t>
  </si>
  <si>
    <t>Decadal-Scale Increase of Anthropogenic CO2 in Antarctic Bottom Water in the Indian and Western Pacific Sectors of the Southern Ocean</t>
  </si>
  <si>
    <t>STORAGE; SINK; SEA; VENTILATION; ATLANTIC; BASIN</t>
  </si>
  <si>
    <t>We determined decadal-scale increases of anthropogenic CO2 in the water column using data sets collected 17 years apart (1994-1996 and 2012-2013) along a transect at nominal 62 degrees S in the Indian and western Pacific sectors of the Southern Ocean. Large increases of anthropogenic CO2 (up to 9.1 +/- 1.5 mu mol/kg), closely following atmospheric CO2 increases, were found in Antarctic Bottom Water (AABW), previously considered a small sink of anthropogenic CO2. Vertical distributions of anthropogenic CO2 increases showed significant positive correlations with those of changes in CFC-12 and SF6, implying that the distributions were mainly controlled by physical processes such as ventilation and circulation. Calculated uptake rates of anthropogenic CO2 by AABW were between 0.29 and 0.39 mol.m(-2).yr(-1) in five longitudinal segments of the transect. In accounting for the large increase of anthropogenic CO2 in AABW, sea surface conditions in the formation region of AABW are important. Plain Language Survn'ary The ocean absorbs about 30% of CO2 emitted into the atmosphere as a result of human activities, which we term anthropogenic CO2. The Southern Ocean undertakes about 40% of anthropogenic CO2 entering the ocean. Therefore, to investigate Southern Ocean CO2 uptake is an important task for the prediction of global warming caused by anthropogenic CO2 increases in the atmosphere. Here we focus anthropogenic CO2 in the bottom layers below approximately 2,500 m deep, where storage of anthropogenic CO2 has been considered to be little. Using high-quality data for oceanic CO2, we find significant increases of anthropogenic CO2 in the bottom layers. Our findings highlight the importance of anthropogenic CO2 stored in the bottom layers in estimates of the global carbon budget, because the anthropogenic CO2 in the bottom layers is transported into the entire world ocean through the ocean circulation.</t>
  </si>
  <si>
    <t>[Murata, Akihiko; Kumamoto, Yu-ichiro; Sasaki, Ken-ichi] Japan Agcy Marine Earth Sci &amp; Technol, Res &amp; Dev Ctr Global Change, Yokosuka, Kanagawa, Japan</t>
  </si>
  <si>
    <t>Japan Agency for Marine-Earth Science &amp; Technology (JAMSTEC)</t>
  </si>
  <si>
    <t>Murata, A (corresponding author), Japan Agcy Marine Earth Sci &amp; Technol, Res &amp; Dev Ctr Global Change, Yokosuka, Kanagawa, Japan.</t>
  </si>
  <si>
    <t>murataa@jamstec.go.jp</t>
  </si>
  <si>
    <t>10.1029/2018GL080604</t>
  </si>
  <si>
    <t>WOS:000458607400034</t>
  </si>
  <si>
    <t>Assmann, KM; Darelius, E; Wåhlin, AK; Kim, TW; Lee, SH</t>
  </si>
  <si>
    <t>Assmann, K. M.; Darelius, E.; Wahlin, A. K.; Kim, T. W.; Lee, S. H.</t>
  </si>
  <si>
    <t>Warm. Circumpolar Deep Water at the Western Getz Ice Shelf Front, Antarctica</t>
  </si>
  <si>
    <t>AMUNDSEN SEA; VARIABILITY; TRANSPORT; INFLOW; SECTOR</t>
  </si>
  <si>
    <t>The Getz Ice Shelf is one of the largest sources of fresh water from ice shelf basal melt in Antarctica. We present new observations from three moorings west of Siple Island 2016-2018. All moorings show a persistent flow of modified Circumpolar Deep Water toward the western Getz Ice Shelf. Unmodified Circumpolar Deep Water with temperatures up to 1.5 degrees C reaches the ice shelf front in frequent episodes. These represent the warmest water observed at any ice shelf front in the Amundsen Sea. Mean currents within the warm bottom layer of 18-20 cm/s imply an advection time scale of 7 days from shelf break to ice shelf front. Zonal wind stress at the shelf break affects heat content at the ice shelf front on weekly to monthly time scales. Our 2-year mooring records also evince that upwelling over the shelf break controls thermocline depth on subannual to annual time scales. Plain Language Summary The recent retreat of the West Antarctic Ice Sheet has been linked to changes in the transport of warm ocean water up to 1.5 degrees C to the floating ice shelves in the Amundsen Sea. One of these is the Getz Ice Shelf that produces one of the largest amounts of ice shelf melt water in Antarctica. To measure how much ocean heat is transported toward this ice shelf, we deployed a series of temperature, salinity, and current sensors at its western end from 2016 to 2018. We find a constant flow of warm water toward the ice shelf cavity. Comparing our ocean observations with wind data from the area, we found that stronger easterly winds in the area make it harder for the warm water to reach the ice shelf front by depressing the warm bottom layer over the shelf break. Climate projections indicate that these easterlies will weaken in future, making it easier for the warm water to reach the ice shelf base. Gradients in the wind field over the shelf break control the thickness of the warm layer on longer time scales. This provides the missing ocean evidence for previous studies that have linked this wind mechanism to ice sheet changes.</t>
  </si>
  <si>
    <t>[Assmann, K. M.; Wahlin, A. K.] Univ Gothenburg, Dept Marine Sci, Gothenburg, Sweden; [Darelius, E.] Univ Bergen, Geophys Inst, Bergen, Norway; [Darelius, E.] Bjerknes Ctr Climate Res, Bergen, Norway; [Kim, T. W.; Lee, S. H.] Korea Polar Res Inst, Incheon, South Korea</t>
  </si>
  <si>
    <t>University of Gothenburg; University of Bergen; Bjerknes Centre for Climate Research; Korea Polar Research Institute (KOPRI)</t>
  </si>
  <si>
    <t>Darelius, E (corresponding author), Univ Bergen, Geophys Inst, Bergen, Norway.;Darelius, E (corresponding author), Bjerknes Ctr Climate Res, Bergen, Norway.</t>
  </si>
  <si>
    <t>elin.darelius@uib.no</t>
  </si>
  <si>
    <t>Kim, Tae-Wan/JGM-9981-2023; Wahlin, Anna/U-3790-2017; Darelius, Elin/O-4096-2015</t>
  </si>
  <si>
    <t>Kim, Tae-Wan/0000-0001-5257-7256; Wahlin, Anna/0000-0003-1799-6476; Assmann, Karen/0000-0002-2884-0365; Darelius, Elin/0000-0003-3060-0317; Lee, SangHoon/0000-0002-0248-0066</t>
  </si>
  <si>
    <t>Norwegian Research Council [231549, 267660]; Korea Polar Research Institute [KOPRI PE18060]</t>
  </si>
  <si>
    <t>Norwegian Research Council(Research Council of Norway); Korea Polar Research Institute(Korea Polar Research Institute of Marine Research Placement (KOPRI))</t>
  </si>
  <si>
    <t>We thank E. P. Abrahamsen for recovering the late 2015 ice shelf edge from a satellite image and for assistance with mooring deployment. We would also like to thank I. Fer for supplying mooring instrumentation, H. Bryhni, J. Rolandsson, and Ham and the crew of RVIB Araon for help with mooring deployment, recovery, mobilization, and logistics. K. M. Assmann and E. Darelius were financed by the Norwegian Research Council through project 231549 (WARM) and 267660 (TOBACO). Support for T. W. Kim and S. H. Lee was provided by the Korea Polar Research Institute grant KOPRI PE18060. The GW6 and GW7 mooring data are available at the Norwegian Marine Data Centre (https://nmdc.no) as UIB4 and UIB1, respectively (Darelius et al., 2018). Metadata for the 2016 and 2018 CTD data can be found on the KOPRI database (https://kpdc.kopri.re.kr, ANA06B: KPDC_CTD_AMUNDSEN_2016, ANA08B: KPDC_CTD_AMUNDSEN_ 2018), and the data may be obtained on request from KOPRI. CTD data from the 2000 (US010402) and 2007 (US034357) RVIB Nathaniel B. Palmer cruises are available from the World Ocean Data Base at https://www.nodc.noaa.gov/OC5/WOD/pr_wod.html.</t>
  </si>
  <si>
    <t>10.1029/2018GL081354</t>
  </si>
  <si>
    <t>WOS:000458607400038</t>
  </si>
  <si>
    <t>Liu, W; Fedorov, AV</t>
  </si>
  <si>
    <t>Liu, Wei; Fedorov, Alexey V.</t>
  </si>
  <si>
    <t>Global Impacts of Arctic Sea Ice Loss Mediated by the Atlantic Meridional Overturning Circulation</t>
  </si>
  <si>
    <t>OCEAN HEAT UPTAKE; CLIMATE RESPONSE; NORTH-ATLANTIC; THERMOHALINE CIRCULATION; ATMOSPHERIC RESPONSE; SEASONAL CYCLE; DRIVEN; AMPLIFICATION; ITCZ; TRANSPORT</t>
  </si>
  <si>
    <t>We explore the global impacts of Arctic sea ice decline in climate model perturbation experiments focusing on the temporal evolution of induced changes. We find that climate response to a realistic reduction in sea ice cover varies dramatically between shorter decadal and longer multidecadal to centennial timescales. During the first two decades, when atmospheric processes dominate, sea ice decline induces a bipolar seesaw pattern in surface temperature with warming in the Northern and cooling in the Southern Hemisphere, leading to a northward displacement of the Intertropical Convergence Zone and an expansion of Antarctic sea ice. In contrast, on multidecadal and longer timescales, the weakening of the Atlantic meridional overturning circulation, caused by upper-ocean buoyancy anomalies spreading from the Arctic, mediates direct sea ice impacts and nearly reverses the original response pattern outside the Arctic. The Southern Hemisphere warms, a Warming Hole emerges in the North Atlantic, the Intertropical Convergence Zone shifts southward, and Antarctic sea ice contracts. Plain Language Summary To understand how the recent Arctic sea ice decline may affect global climate, we conduct model experiments in which we modify the properties of Arctic sea ice, in order to simulate an Arctic sea ice loss similar to the observed. We find that climate response shows dramatically different patterns during different periods after the imposed sea ice decline. During the first one or two decades, Arctic sea ice decline allows more solar energy into the Northern Hemisphere, altering the Earth's energy balance. As the Northern Hemisphere warms while the Southern Hemisphere cools, the tropical rain belt moves northward, and Antarctic sea ice expands. However, after several more decades to a century, the impacts from changes in the deep ocean become more important and eventually overwhelm the direct effects of sea ice loss on the atmosphere. The weakening of the Atlantic deep ocean circulation causes a cooling in the North Atlantic and a warming in the Southern Hemisphere. Antarctic sea ice contracts and the tropical rain belt shifts back to its original position and further south.</t>
  </si>
  <si>
    <t>[Liu, Wei] Univ Calif Riverside, Dept Earth Sci, Riverside, CA 92521 USA; [Fedorov, Alexey V.] Yale Univ, Dept Geol &amp; Geophys, New Haven, CT USA</t>
  </si>
  <si>
    <t>University of California System; University of California Riverside; Yale University</t>
  </si>
  <si>
    <t>Liu, W (corresponding author), Univ Calif Riverside, Dept Earth Sci, Riverside, CA 92521 USA.</t>
  </si>
  <si>
    <t>wei.liu@ucr.edu</t>
  </si>
  <si>
    <t>DOE Office of Science [DE-SC0016538]; NSF [OCE-1756682, OPP-1741841]; Guggenheim Fellowship; Department of Earth Sciences, University of California Riverside; Regents Faculty Fellowship; U.S. Department of Energy (DOE) [DE-SC0016538] Funding Source: U.S. Department of Energy (DOE)</t>
  </si>
  <si>
    <t>DOE Office of Science(United States Department of Energy (DOE)); NSF(National Science Foundation (NSF)); Guggenheim Fellowship; Department of Earth Sciences, University of California Riverside; Regents Faculty Fellowship; U.S. Department of Energy (DOE)(United States Department of Energy (DOE))</t>
  </si>
  <si>
    <t>This work was supported by grants from the DOE Office of Science (DE-SC0016538) and NSF (OCE-1756682 and OPP-1741841) and the Guggenheim Fellowship to A.V. F.; W. L. was also supported by the startup funds from the Department of Earth Sciences, University of California Riverside and the Regents Faculty Fellowship. Computations were performed at the Yale University Faculty of Arts and Sciences High Performance Computing Center. Sea ice observation data are publicly available at National Snow and Ice Data Center (https://nsidc.org/), and the Community Earth System Model is publicly available at http://www.cesm.ucar.edu/.</t>
  </si>
  <si>
    <t>10.1029/2018GL080602</t>
  </si>
  <si>
    <t>WOS:000458607400046</t>
  </si>
  <si>
    <t>Durán-Alarcón, C; Boudevillain, B; Genthon, C; Grazioli, J; Souverijns, N; van Lipzig, NPM; Gorodetskaya, IV; Berne, A</t>
  </si>
  <si>
    <t>Duran-Alarcon, Claudio; Boudevillain, Brice; Genthon, Christophe; Grazioli, Jacopo; Souverijns, Niels; van Lipzig, Nicole P. M.; Gorodetskaya, Irina V.; Berne, Alexis</t>
  </si>
  <si>
    <t>The vertical structure of precipitation at two stations in East Antarctica derived from micro rain radars</t>
  </si>
  <si>
    <t>SURFACE MASS-BALANCE; DRONNING MAUD LAND; ADELIE LAND; DUMONT DURVILLE; SIZE DISTRIBUTIONS; FALL SPEEDS; ICE-SHEET; SNOW; ACCUMULATION; CLIMATE</t>
  </si>
  <si>
    <t>Precipitation over Antarctica is the main term in the surface mass balance of the Antarctic ice sheet, which is crucial for the future evolution of the sea level worldwide. Precipitation, however, remains poorly documented and understood mainly because of a lack of observations in this extreme environment. Two observatories dedicated to precipitation have been set up at the Belgian station Princess Elisabeth (PE) and at the French station Dumont d'Urville (DDU) in East Antarctica. Among other instruments, both sites have a vertically pointing micro rain radar (MRR) working at the K band. Measurements have been continuously collected at DDU since the austral summer of 2015-2016, while they have been collected mostly during summer seasons at PE since 2010, with a full year of observation during 2012. In this study, the statistics of the vertical profiles of reflectivity, vertical velocity, and spectral width are analyzed for all seasons. Vertical profiles were separated into surface precipitation and virga to evaluate the impact of virga on the structure of the vertical profiles. The climatology of the study area plays an important role in the structure of the precipitation: warmer and moister atmospheric conditions at DDU favor the occurrence of more intense precipitation compared with PE, with a difference of 8 dBZ between both stations. The strong katabatic winds blowing at DDU induce a decrease in reflectivity close to the ground due to the sublimation of the snowfall particles. The vertical profiles of precipitation velocity show significant differences between the two stations. In general, at DDU the vertical velocity increases as the height decreases, while at PE the vertical velocity decreases as the height decreases. These features of the vertical profiles of reflectivity and vertical velocity could be explained by the more frequent occurrence of aggregation and riming at DDU compared to PE because of the lower temperature and relative humidity at the latter, located further in the interior. Robust and reliable statistics about the vertical profile of precipitation in Antarctica, as derived from MRRs for instance, are necessary and valuable for the evaluation of precipitation estimates derived from satellite measurements and from numerical atmospheric models.</t>
  </si>
  <si>
    <t>[Duran-Alarcon, Claudio; Boudevillain, Brice; Genthon, Christophe] Univ Grenoble Alpes, CNRS, IRD, Grenoble INP Inst Engn,IGE, F-38000 Grenoble, France; [Grazioli, Jacopo; Berne, Alexis] Ecole Polytech Fed Lausanne, Environm Remote Sensing Lab, CH-1015 Lausanne, Switzerland; [Grazioli, Jacopo] MeteoSwiss, Fed Off Meteorol &amp; Climatol, Locarno, Switzerland; [Souverijns, Niels; van Lipzig, Nicole P. M.] Katholieke Univ Leuven, Dept Earth &amp; Environm Sci, Leuven, Belgium; [Gorodetskaya, Irina V.] Univ Aveiro, Dept Phys, Ctr Environm &amp; Marine Studies, Aveiro, Portugal</t>
  </si>
  <si>
    <t>Communaute Universite Grenoble Alpes; Universite Grenoble Alpes (UGA); Centre National de la Recherche Scientifique (CNRS); Institut de Recherche pour le Developpement (IRD); Swiss Federal Institutes of Technology Domain; Ecole Polytechnique Federale de Lausanne; Federal Office of Meteorology &amp; Climatology (MeteoSwiss); KU Leuven; Universidade de Aveiro</t>
  </si>
  <si>
    <t>Boudevillain, B (corresponding author), Univ Grenoble Alpes, CNRS, IRD, Grenoble INP Inst Engn,IGE, F-38000 Grenoble, France.</t>
  </si>
  <si>
    <t>brice.boudevillain@univ-grenoble-alpes.fr</t>
  </si>
  <si>
    <t>Durán-Alarcón, Claudio/AAU-3888-2020; van Lipzig, Nicole/ABF-2964-2021; Souverijns, Niels/AAB-2142-2019; Boudevillain, Brice/P-2457-2014; Gorodetskaya, Irina/K-1987-2015</t>
  </si>
  <si>
    <t>van Lipzig, Nicole/0000-0003-2899-4046; Souverijns, Niels/0000-0003-4695-9754; Genthon, Christophe/0000-0002-3678-4447; Boudevillain, Brice/0000-0002-1771-4953; Grazioli, Jacopo/0000-0002-7097-3946; Duran-Alarcon, Claudio/0000-0001-9559-8161; Berne, Alexis/0000-0003-4977-1204; Gorodetskaya, Irina/0000-0002-2294-7823</t>
  </si>
  <si>
    <t>French National Research Agency (ANR) [ANR-15-CE01-0003]; Centre National d'Etudes Spatiales (CNES); Swiss National Science foundation SNF [200021_163287]; Belgian Science Policy Office (BELSPO) [BR/143/A2/AEROCLOUD]; Research Foundation Flanders (FWO) [G0C2215N]; Swiss National Science Foundation (SNF) [200021_163287] Funding Source: Swiss National Science Foundation (SNF); Agence Nationale de la Recherche (ANR) [ANR-15-CE01-0003] Funding Source: Agence Nationale de la Recherche (ANR)</t>
  </si>
  <si>
    <t>French National Research Agency (ANR)(Agence Nationale de la Recherche (ANR)Norwegian Agency for Development Cooperation - NORAD); Centre National d'Etudes Spatiales (CNES)(Centre National D'etudes Spatiales); Swiss National Science foundation SNF(Swiss National Science Foundation (SNSF)); Belgian Science Policy Office (BELSPO)(Belgian Federal Science Policy Office); Research Foundation Flanders (FWO)(FWO); Swiss National Science Foundation (SNF)(Swiss National Science Foundation (SNSF)); Agence Nationale de la Recherche (ANR)(Agence Nationale de la Recherche (ANR))</t>
  </si>
  <si>
    <t>We thank the French Polar Institute, which logistically supports the APRES3 measurement campaigns at DDU. We thank Alexandre Flouttard, Vincent Terol, Philippe Rouault, and Romain Verite from Meteo-France for taking care of the AWS at DDU. We thank the logistical support in the maintenance of the instruments at PE. We also acknowledge the support of the French National Research Agency (ANR; grant number ANR-15-CE01-0003) to the APRES3 project. The project Expecting Earth-Care, Learning from the ATrain (EECLAT) funded by the Centre National d'Etudes Spatiales (CNES) also supported this work. The Swiss National Science foundation SNF is acknowledged for grant 200021_163287, financing the Swiss participation to the project. KUL members and Irina V. Gorodetskaya thank the support of the Belgian Science Policy Office (BELSPO; grant number BR/143/A2/AEROCLOUD) and the Research Foundation Flanders (FWO; grant number G0C2215N). We thank Gerhard Peters for the support regarding MRR operation and post-processing. We thank the contribution of the anonymous reviewers to the improvement of this work, in particular for proposing to include Appendices C and D. We thank Catherine Wilcox for reviewing the English of a previous version of the paper.</t>
  </si>
  <si>
    <t>10.5194/tc-13-247-2019</t>
  </si>
  <si>
    <t>HJ2JY</t>
  </si>
  <si>
    <t>WOS:000456995900001</t>
  </si>
  <si>
    <t>Gautier, E; Savarino, J; Hoek, J; Erbland, J; Caillon, N; Hattori, S; Yoshida, N; Albalat, E; Albarede, F; Farquhar, J</t>
  </si>
  <si>
    <t>Gautier, E.; Savarino, J.; Hoek, J.; Erbland, J.; Caillon, N.; Hattori, S.; Yoshida, N.; Albalat, E.; Albarede, F.; Farquhar, J.</t>
  </si>
  <si>
    <t>2600-years of stratospheric volcanism through sulfate isotopes</t>
  </si>
  <si>
    <t>MC-ICP-MS; TREE-RING; ANOMALY DELTA-O-17; SULFUR; ERUPTIONS; CORE; OXIDATION; OXYGEN; OZONE; SO2</t>
  </si>
  <si>
    <t>High quality records of stratospheric volcanic eruptions, required to model past climate variability, have been constructed by identifying synchronous (bipolar) volcanic sulfate horizons in Greenland and Antarctic ice cores. Here we present a new 2600-year chronology of stratospheric volcanic events using an independent approach that relies on isotopic signatures (Delta S-33 and in some cases Delta O-17) of ice core sulfate from five closely-located ice cores from Dome C, Antarctica. The Dome C stratospheric reconstruction provides independent validation of prior reconstructions. The isotopic approach documents several high-latitude stratospheric events that are not bipolar, but climatically-relevant, and diverges deeper in the record revealing tropospheric signals for some previously assigned bipolar events. Our record also displays a collapse of the Delta O-17 anomaly of sulfate for the largest volcanic eruptions, showing a further change in atmospheric chemistry induced by large emissions. Thus, the refinement added by considering both isotopic and bipolar correlation methods provides additional levels of insight for climate-volcano connections and improves ice core volcanic reconstructions.</t>
  </si>
  <si>
    <t>[Gautier, E.; Savarino, J.; Erbland, J.; Caillon, N.] Univ Grenoble Alpes, CNRS, IRD, Grenoble INP,IGE, 54 Rue Moliere, F-38058 Grenoble, France; [Hoek, J.; Farquhar, J.] Univ Maryland, Dept Geol, College Pk, MD 20742 USA; [Hoek, J.; Farquhar, J.] Univ Maryland, ESSIC, College Pk, MD 20742 USA; [Hattori, S.; Yoshida, N.] Tokyo Inst Technol, Sch Mat &amp; Chem Technol, Dept Chem Sci &amp; Engn, Midori Ku, G1-17,4259 Nagatsuta Cho, Yokohama, Kanagawa 2268502, Japan; [Yoshida, N.] Tokyo Inst Technol, Earth Life Sci Inst, Meguro Ku, 2-12-1-IE-1 Ookayama, Tokyo 1528550, Japan; [Albalat, E.; Albarede, F.] EcoNormale Super Lyon, CNRS, 9 Rue Vercors, F-69364 Lyon 7, France; [Albalat, E.; Albarede, F.] Univ Lyon, 9 Rue Vercors, F-69364 Lyon 7, France</t>
  </si>
  <si>
    <t>Communaute Universite Grenoble Alpes; Institut National Polytechnique de Grenoble; Centre National de la Recherche Scientifique (CNRS); Institut de Recherche pour le Developpement (IRD); Universite Grenoble Alpes (UGA); University System of Maryland; University of Maryland College Park; University System of Maryland; University of Maryland College Park; Tokyo Institute of Technology; Tokyo Institute of Technology; Centre National de la Recherche Scientifique (CNRS)</t>
  </si>
  <si>
    <t>Gautier, E; Savarino, J (corresponding author), Univ Grenoble Alpes, CNRS, IRD, Grenoble INP,IGE, 54 Rue Moliere, F-38058 Grenoble, France.</t>
  </si>
  <si>
    <t>elsa.gautier@univ-grenoble-alpes.fr; joel.savarino@cnrs.fr</t>
  </si>
  <si>
    <t>Yoshida, Naohiro/A-8335-2010; Hattori, Shohei/KGK-4865-2024; Savarino, Joel/H-9730-2012; Albarede, Francis/A-8871-2011; Caillon, Nicolas/B-7127-2019</t>
  </si>
  <si>
    <t>Yoshida, Naohiro/0000-0003-0454-3849; Hattori, Shohei/0000-0002-4438-5462; Savarino, Joel/0000-0002-6708-9623; Albalat, Emmanuelle/0000-0003-0864-5199; Farquhar, James/0000-0003-3388-612X; Albarede, Francis/0000-0003-1994-1428; Gautier, Elsa/0000-0003-3053-8349; Caillon, Nicolas/0000-0002-6318-6194</t>
  </si>
  <si>
    <t>LEFE-IMAGO, a scientific program of the Institut National des Sciences de l'Univers (INSU/CNRS); Agence Nationale de la Recherche (ANR) [NT09-431976-VOLSOL]; Labex OSUG@2020 [ANR10 LABX56]; Fondation BNP-Paribas under the EAIIST project; Institut Polaire Francais Paul-Emile Victor (IPEV) [1011]; Japan Society for the Promotion of Science KAKENHI [16H05884, 18H05050, 25887025, 17H06105]; JSPS; CNRS; Fulbright commission; Grants-in-Aid for Scientific Research [18H05050, 25887025] Funding Source: KAKEN</t>
  </si>
  <si>
    <t>LEFE-IMAGO, a scientific program of the Institut National des Sciences de l'Univers (INSU/CNRS); Agence Nationale de la Recherche (ANR)(Agence Nationale de la Recherche (ANR)); Labex OSUG@2020; Fondation BNP-Paribas under the EAIIST project; Institut Polaire Francais Paul-Emile Victor (IPEV); Japan Society for the Promotion of Science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CNRS(Centre National de la Recherche Scientifique (CNRS)); Fulbright commission; Grants-in-Aid for Scientific Research(Ministry of Education, Culture, Sports, Science and Technology, Japan (MEXT)Japan Society for the Promotion of ScienceGrants-in-Aid for Scientific Research (KAKENHI))</t>
  </si>
  <si>
    <t>We thank Michael Sigl for kindly dating our core 1, allowing us to establish a robust comparison between the bipolar records already established and our own results. Part of this work would not have been possible without the technical support from the C2FN (French National Center for Coring and Drilling, handled by INSU). Financial supports were provided by LEFE-IMAGO, a scientific program of the Institut National des Sciences de l'Univers (INSU/CNRS), the Agence Nationale de la Recherche (ANR) via contract NT09-431976-VOLSOL and by a grant from Labex OSUG@2020 (Investissements d'avenir-ANR10 LABX56). E.G. deeply thanks the Fulbright commission for providing the PhD Fulbright fellowship and the region Rhone-Alpes. We wish to thank the Fondation BNP-Paribas for their financial support under the EAIIST project. The Institut Polaire Francais Paul-Emile Victor (IPEV) supported the research and polar logistics through the program SUNITEDC No. 1011. The University of Maryland is acknowledged for hosting Elsa Gautier as a visiting Fulbright graduate student. This work is supported by the Japan Society for the Promotion of Science KAKENHI Grant Numbers 16H05884, 18H05050 (S.H.), 25887025, and 17H06105 (N.Y.). S.H. appreciates support for this project from JSPS and CNRS under the JSPS-CNRS Joint Research Program. We would also like to thank all the field team members present during the VOLSOL campaign and who greatly help us.</t>
  </si>
  <si>
    <t>10.1038/s41467-019-08357-0</t>
  </si>
  <si>
    <t>HJ0EA</t>
  </si>
  <si>
    <t>WOS:000456829100002</t>
  </si>
  <si>
    <t>Marshall, L; Johnson, JS; Mann, GW; Lee, L; Dhomse, SS; Regayre, L; Yoshioka, M; Carslaw, KS; Schmidt, A</t>
  </si>
  <si>
    <t>Marshall, Lauren; Johnson, Jill S.; Mann, Graham W.; Lee, Lindsay; Dhomse, Sandip S.; Regayre, Leighton; Yoshioka, Masaru; Carslaw, Ken S.; Schmidt, Anja</t>
  </si>
  <si>
    <t>Exploring How Eruption Source Parameters Affect Volcanic Radiative Forcing Using Statistical Emulation</t>
  </si>
  <si>
    <t>CLIMATE-COMPOSITION MODEL; MT. PINATUBO ERUPTION; QUANTIFY SENSITIVITY; SULFATE DEPOSITION; GALAXY FORMATION; AEROSOL MODEL; GLOMAP-MODE; UNCERTAINTY; SIMULATIONS; STRATOSPHERE</t>
  </si>
  <si>
    <t>The radiative forcing caused by a volcanic eruption is dependent on several eruption source parameters such as the mass of sulfur dioxide (SO2) emitted, the eruption column height, and the eruption latitude. General circulation models with prognostic aerosol and chemistry schemes can be used to investigate how each parameter influences the volcanic forcing. However, the range of multidimensional parameter space that can be explored is restricted because such simulations are computationally expensive. Here we use statistical emulation to explore the radiative impact of eruptions over a wide covarying range of SO2 emission magnitudes, injection heights, and eruption latitudes based on only 30 simulations. We use the emulators to build response surfaces to visualize and predict the sulfate aerosol e-folding decay time, the stratospheric aerosol optical depth, and net radiative forcing of thousands of different eruptions. We find that the volcanic stratospheric aerosol optical depth and net radiative forcing are primarily determined by the mass of SO2 emitted, but eruption latitude is the most important parameter in determining the sulfate aerosol e-folding decay time. The response surfaces reveal joint effects of the eruption source parameters in influencing the net radiative forcing, such as a stronger influence of injection height for tropical eruptions than high-latitude eruptions. We also demonstrate how the emulated response surfaces can be used to find all combinations of eruption source parameters that produce a particular volcanic response, often revealing multiple solutions.</t>
  </si>
  <si>
    <t>[Marshall, Lauren; Johnson, Jill S.; Mann, Graham W.; Lee, Lindsay; Dhomse, Sandip S.; Regayre, Leighton; Yoshioka, Masaru; Carslaw, Ken S.] Univ Leeds, Sch Earth &amp; Environm, Leeds, W Yorkshire, England; [Marshall, Lauren; Schmidt, Anja] Univ Cambridge, Dept Chem, Cambridge, England; [Mann, Graham W.] Univ Leeds, Natl Ctr Atmospher Sci, Leeds, W Yorkshire, England; [Schmidt, Anja] Univ Cambridge, Dept Geog, Cambridge, England</t>
  </si>
  <si>
    <t>University of Leeds; University of Cambridge; University of Leeds; UK Research &amp; Innovation (UKRI); Natural Environment Research Council (NERC); NERC National Centre for Atmospheric Science; University of Cambridge</t>
  </si>
  <si>
    <t>Marshall, L (corresponding author), Univ Leeds, Sch Earth &amp; Environm, Leeds, W Yorkshire, England.;Marshall, L (corresponding author), Univ Cambridge, Dept Chem, Cambridge, England.</t>
  </si>
  <si>
    <t>lrm49@cam.ac.uk</t>
  </si>
  <si>
    <t>Johnson, Jill/AAU-2740-2020; Regayre, Leighton/AAD-1898-2019; Schmidt, Anja/ABD-7113-2021; Carslaw, Ken S/C-8514-2009; Dhomse, Sandip/C-8198-2011; Lee, Lindsay/AAZ-8216-2021; Mann, Graham/L-9529-2017</t>
  </si>
  <si>
    <t>Regayre, Leighton/0000-0003-2699-929X; Schmidt, Anja/0000-0001-8759-2843; Carslaw, Ken S/0000-0002-6800-154X; Dhomse, Sandip/0000-0003-3854-5383; Lee, Lindsay/0000-0002-8029-6328; Johnson, Jill/0000-0002-4587-6722; Mann, Graham/0000-0003-1746-2837; Marshall, Lauren/0000-0003-1471-9481</t>
  </si>
  <si>
    <t>U.K. Natural Environment Research Council (NERC) through the Leeds-York NERC Doctoral Training Program [NE/L002574/1]; NERC [NE/P013406/1, NE/N006038/1, NE/J024252/1]; U.K.-China Research and Innovation Partnership Fund through the Met Office Climate Science for Service Partnership (CSSP) China, Newton Fund; National Centre for Atmospheric Science (NCAS), one of the NERC research centers via the ACSIS long-term science program on the Atlantic climate system; NCAS; NERC [NE/R011222/1, NE/P013406/1, NE/J024252/1] Funding Source: UKRI</t>
  </si>
  <si>
    <t>U.K. Natural Environment Research Council (NERC) through the Leeds-York NERC Doctoral Training Program(UK Research &amp; Innovation (UKRI)Natural Environment Research Council (NERC)); NERC(UK Research &amp; Innovation (UKRI)Natural Environment Research Council (NERC)); U.K.-China Research and Innovation Partnership Fund through the Met Office Climate Science for Service Partnership (CSSP) China, Newton Fund; National Centre for Atmospheric Science (NCAS), one of the NERC research centers via the ACSIS long-term science program on the Atlantic climate system; NCAS; NERC(UK Research &amp; Innovation (UKRI)Natural Environment Research Council (NERC))</t>
  </si>
  <si>
    <t>L. M. was funded by the U.K. Natural Environment Research Council (NERC) through the Leeds-York NERC Doctoral Training Program (NE/L002574/1). A. S., K. S. C., and G. W. M. received funding from NERC grant NE/N006038/1 (SMURPHS). J. S. J. and K. S. C. acknowledge funding from NERC grant NE/J024252/1 (GASSP). L. R. and K. S. C. acknowledge funding from NERC grant NE/P013406/1 (A-CURE). J. S. J. and K. S. C. were supported by the U.K.-China Research and Innovation Partnership Fund through the Met Office Climate Science for Service Partnership (CSSP) China as part of the Newton Fund. G. W. M. received funding from the National Centre for Atmospheric Science (NCAS), one of the NERC research centers via the ACSIS long-term science program on the Atlantic climate system. M. Y. acknowledges funding from NCAS. K. S. C. is currently a Royal Society Wolfson Merit Award holder. We are extremely grateful to Richard Rigby (University of Leeds, now at the British Antarctic Survey) for providing the online tool, the link to which is included in the supporting information. The authors also thank Grenville Lister for facilitating the running of this ensemble, Andy Jones and Jim Haywood for useful discussions, and Editor Zhanqing Li, the Associate Editor, and three anonymous reviewers for their helpful and constructive reviews that greatly improved this manuscript. This work used the ARCHER UK National Supercomputing Service (http://www.archer.ac.uk) and JASMIN super-data-cluster (doi:10.1109/BigData.2013.6691556), via the Centre for Environmental Data Analysis (CEDA). A table of the model output for each of the 41 simulations is included in the supporting information.</t>
  </si>
  <si>
    <t>JAN 27</t>
  </si>
  <si>
    <t>10.1029/2018JD028675</t>
  </si>
  <si>
    <t>HL6LI</t>
  </si>
  <si>
    <t>Green Accepted, Green Published, hybrid</t>
  </si>
  <si>
    <t>WOS:000458845300030</t>
  </si>
  <si>
    <t>Layton, C; Shelamoff, V; Cameron, MJ; Tatsumi, M; Wright, JT; Johnson, CR</t>
  </si>
  <si>
    <t>Layton, Cayne; Shelamoff, Victor; Cameron, Matthew J.; Tatsumi, Masayuki; Wright, Jeffrey T.; Johnson, Craig R.</t>
  </si>
  <si>
    <t>Resilience and stability of kelp forests: The importance of patch dynamics and environment-engineer feedbacks</t>
  </si>
  <si>
    <t>HABITAT-FORMING KELP; ECKLONIA-RADIATA; PHYSICAL DISTURBANCE; MACROCYSTIS-PYRIFERA; POPULATION BIOLOGY; LIGHT PENETRATION; SEDIMENT MOVEMENT; SUBTIDAL HABITAT; CANOPY; RECRUITMENT</t>
  </si>
  <si>
    <t>Habitat forming 'ecosystem engineers' such as kelp species create complex habitats that support biodiverse and productive communities. Studies of the resilience and stability of ecosystem engineers have typically focussed on the role of external factors such as disturbance. However, their population dynamics are also likely to be influenced by internal processes, such that the environmental modifications caused by engineer species feedback to affect their own demography (e.g. recruitment, survivorship). In numerous regions globally, kelp forests are declining and experiencing reductions in patch size and kelp density. To explore how resilience and stability of kelp habitats is influenced by this habitat degradation, we created an array of patch reefs of various sizes and supporting adult Ecklonia radiata kelp transplanted at different densities. This enabled testing of how sub-canopy abiotic conditions change with reductions in patch size and adult kelp density, and how this influenced demographic processes of microscopic and macroscopic juvenile kelp. We found that ecosystem engineering by adult E. radiata modified the environment to reduce sub-canopy water flow, sedimentation, and irradiance. However, the capacity of adult kelp canopy to engineer abiotic change was dependent on patch size, and to a lesser extent, kelp density. Reductions in patch size and kelp density also impaired the recruitment, growth and survivorship of microscopic and macroscopic juvenile E. radiata, and even after the provisioning of established juveniles, demographic processes were impaired in the absence of sufficient adult kelp. These results are consistent with the hypothesis that ecosystem engineering by adult E. radiata facilitates development of juvenile conspecifics. Habitat degradation seems to impair the ability of E. radiata to engineer abiotic change, causing breakdown of positive intraspecific feedback and collapse of demographic functions, and overall, leading to reductions in ecosystem stability and resilience well before local extirpation.</t>
  </si>
  <si>
    <t>[Layton, Cayne; Shelamoff, Victor; Cameron, Matthew J.; Tatsumi, Masayuki; Wright, Jeffrey T.; Johnson, Craig R.] Univ Tasmania, Inst Marine &amp; Antarctic Studies, Hobart, Tas, Australia</t>
  </si>
  <si>
    <t>Layton, C (corresponding author), Univ Tasmania, Inst Marine &amp; Antarctic Studies, Hobart, Tas, Australia.</t>
  </si>
  <si>
    <t>cayne.layton@utas.edu.au</t>
  </si>
  <si>
    <t>Wright, Jeffrey/J-7536-2014; Layton, Cayne/J-8443-2013</t>
  </si>
  <si>
    <t>Wright, Jeffrey/0000-0002-1085-4582; Layton, Cayne/0000-0002-3390-6437</t>
  </si>
  <si>
    <t>Australian Research Council [DP130101113]; Holsworth Wildlife Research Endowment; Australian Government Postgraduate Award</t>
  </si>
  <si>
    <t>Australian Research Council(Australian Research Council); Holsworth Wildlife Research Endowment; Australian Government Postgraduate Award(Australian Government)</t>
  </si>
  <si>
    <t>This study was funded by an Australian Research Council Discovery Grant (DP130101113; www.arc.gov.au) awarded to JTW and CRJ, and a Holsworth Wildlife Research Endowment (www.ecolsoc.org.au/awards-and-prizes/holsworth-wildlife-research-endowment) awarded to CL. CL was also supported by an Australian Government Postgraduate Award (www.education.gov.au) administered through the University of Tasmania. The funders had no role in study design, data collection and analysis, decision to publish, or preparation of the manuscript.</t>
  </si>
  <si>
    <t>JAN 25</t>
  </si>
  <si>
    <t>e0210220</t>
  </si>
  <si>
    <t>10.1371/journal.pone.0210220</t>
  </si>
  <si>
    <t>HJ2YV</t>
  </si>
  <si>
    <t>WOS:000457037500028</t>
  </si>
  <si>
    <t>Fox, D</t>
  </si>
  <si>
    <t>Fox, Douglas</t>
  </si>
  <si>
    <t>Tiny animal carcasses found in buried Antarctic lake</t>
  </si>
  <si>
    <t>JAN 24</t>
  </si>
  <si>
    <t>10.1038/d41586-019-00106-z</t>
  </si>
  <si>
    <t>HI7RM</t>
  </si>
  <si>
    <t>WOS:000456653500006</t>
  </si>
  <si>
    <t>Eichinger, R; Dietmüller, S; Garny, H; Sácha, P; Birner, T; Bönisch, H; Pitari, G; Visioni, D; Stenke, A; Rozanov, E; Revell, L; Plummer, DA; Jöckel, P; Oman, L; Deushi, M; Kinnison, DE; Garcia, R; Morgenstern, O; Zeng, G; Stone, KA; Schofield, R</t>
  </si>
  <si>
    <t>Eichinger, Roland; Dietmueller, Simone; Garny, Hella; Sacha, Petr; Birner, Thomas; Boenisch, Harald; Pitari, Giovanni; Visioni, Daniele; Stenke, Andrea; Rozanov, Eugene; Revell, Laura; Plummer, David A.; Joeckel, Patrick; Oman, Luke; Deushi, Makoto; Kinnison, Douglas E.; Garcia, Rolando; Morgenstern, Olaf; Zeng, Guang; Stone, Kane Adam; Schofield, Robyn</t>
  </si>
  <si>
    <t>The influence of mixing on the stratospheric age of air changes in the 21st century</t>
  </si>
  <si>
    <t>BREWER-DOBSON CIRCULATION; CHEMISTRY-CLIMATE MODEL; MEAN AGE; RESIDUAL CIRCULATION; MIDDLE ATMOSPHERE; OZONE RESPONSE; WATER-VAPOR; TRENDS; TRANSPORT; VARIABILITY</t>
  </si>
  <si>
    <t>Climate models consistently predict an acceleration of the Brewer-Dobson circulation (BDC) due to climate change in the 21st century. However, the strength of this acceleration varies considerably among individual models, which constitutes a notable source of uncertainty for future climate projections. To shed more light upon the magnitude of this uncertainty and on its causes, we analyse the stratospheric mean age of air (AoA) of 10 climate projection simulations from the Chemistry-Climate Model Initiative phase 1 (CCMI-I), covering the period between 1960 and 2100. In agreement with previous multi-model studies, we find a large model spread in the magnitude of the AoA trend over the simulation period. Differences between future and past AoA are found to be predominantly due to differences in mixing (reduced aging by mixing and recirculation) rather than differences in residual mean transport. We furthermore analyse the mixing efficiency, a measure of the relative strength of mixing for given residual mean transport, which was previously hypothesised to be a model constant. Here, the mixing efficiency is found to vary not only across models, but also over time in all models. Changes in mixing efficiency are shown to be closely related to changes in AoA and quantified to roughly contribute 10% to the long-term AoA decrease over the 21st century. Additionally, mixing efficiency variations are shown to considerably enhance model spread in AoA changes. To understand these mixing efficiency variations, we also present a consistent dynamical framework based on diffusive closure, which highlights the role of basic state potential vorticity gradients in controlling mixing efficiency and therefore aging by mixing.</t>
  </si>
  <si>
    <t>[Eichinger, Roland; Garny, Hella; Birner, Thomas] Ludwig Maximilians Univ Munchen, Meteorol Inst Munich, Munich, Germany; [Eichinger, Roland; Dietmueller, Simone; Garny, Hella; Joeckel, Patrick] Deutsch Zentrum Luft &amp; Raumfahrt DLR, Inst Phys Atmosphare, Oberpfaffenhofen, Germany; [Sacha, Petr] Univ Vigo, Fac Sci, EPhysLab, Orense, Spain; [Sacha, Petr] Charles Univ Prague, Dept Atmospher Phys, Fac Math &amp; Phys, Prague, Czech Republic; [Boenisch, Harald] KIT, Inst Meteorol &amp; Climate Res, Karlsruhe, Germany; [Pitari, Giovanni; Visioni, Daniele] Univ Aquila, Dept Phys &amp; Chem Sci, Laquila, Italy; [Visioni, Daniele] Univ Aquila, Ctr Excellence CETEMPS, Laquila, Italy; [Stenke, Andrea; Rozanov, Eugene] ETH Zurich ETHZ, Inst Atmospher &amp; Climate Sci, Zurich, Switzerland; [Rozanov, Eugene] Phys Meteorol Observ Davos, Davos, Switzerland; [Rozanov, Eugene] World Radiat Ctr, Davos, Switzerland; [Revell, Laura] Bodeker Sci, Christchurch, New Zealand; [Revell, Laura] Univ Canterbury, Sch Phys &amp; Chem Sci, Christchurch, New Zealand; [Plummer, David A.] Environm &amp; Climate Change Canada, Climate Res Div, Montreal, PQ, Canada; [Oman, Luke] NASA, GSFC, Greenbelt, MD USA; [Deushi, Makoto] Mission Res Inc, Tsukuba, Ibaraki, Japan; [Kinnison, Douglas E.; Garcia, Rolando] NCAR, Boulder, CO USA; [Morgenstern, Olaf; Zeng, Guang] Natl Inst Water &amp; Atmospher Res NIWA, Wellington, New Zealand; [Stone, Kane Adam; Schofield, Robyn] Univ Melbourne, Sch Earth Sci, Melbourne, Vic, Australia; [Stone, Kane Adam; Schofield, Robyn] ARC Ctr Excellence Climate Syst Sci, Sydney, NSW, Australia; [Visioni, Daniele] Cornell Univ, Mech &amp; Aerosp Engn, Ithaca, NY USA; [Stone, Kane Adam] MIT, Dept Earth Atmosphere &amp; Planetary Sci, 77 Massachusetts Ave, Cambridge, MA 02139 USA</t>
  </si>
  <si>
    <t>University of Munich; Helmholtz Association; German Aerospace Centre (DLR); Universidade de Vigo; Charles University Prague; Helmholtz Association; Karlsruhe Institute of Technology; University of L'Aquila; University of L'Aquila; University of Canterbury; Environment &amp; Climate Change Canada; National Aeronautics &amp; Space Administration (NASA); NASA Goddard Space Flight Center; National Center Atmospheric Research (NCAR) - USA; National Institute of Water &amp; Atmospheric Research (NIWA) - New Zealand; University of Melbourne; Melbourne Bioinformatics; ARC Centre of Excellence for Climate System Science; Cornell University; Massachusetts Institute of Technology (MIT)</t>
  </si>
  <si>
    <t>Eichinger, R (corresponding author), Ludwig Maximilians Univ Munchen, Meteorol Inst Munich, Munich, Germany.;Eichinger, R (corresponding author), Deutsch Zentrum Luft &amp; Raumfahrt DLR, Inst Phys Atmosphare, Oberpfaffenhofen, Germany.</t>
  </si>
  <si>
    <t>roland.eichinger@dlr.de</t>
  </si>
  <si>
    <t>Birner, Thomas/FFE-8380-2022; Jöckel, Patrick/C-3687-2009; Visioni, Daniele/O-7824-2016; Šácha, Petr/Q-4447-2017; Revell, Laura/ABG-7040-2020; Eichinger, Roland/ABH-1018-2020; Rozanov, Eugene/V-1881-2018; Stenke, Andrea/GYJ-6299-2022; Pitari, Giovanni/O-7458-2016; Schofield, Robyn/A-4062-2010; Oman, Luke D/C-2778-2009</t>
  </si>
  <si>
    <t>Birner, Thomas/0000-0002-2966-3428; Jöckel, Patrick/0000-0002-8964-1394; Visioni, Daniele/0000-0002-7342-2189; Šácha, Petr/0000-0001-9707-1750; Revell, Laura/0000-0002-8974-7703; Eichinger, Roland/0000-0001-6872-5700; Rozanov, Eugene/0000-0003-0479-4488; Schofield, Robyn/0000-0002-4230-717X; Deushi, Makoto/0000-0002-0373-3918; Bonisch, Harald/0000-0002-1004-0861; Morgenstern, Olaf/0000-0002-9967-9740; Garny, Hella/0000-0003-4960-2304; Stenke, Andrea/0000-0002-5916-4013; Zeng, Guang/0000-0002-9356-5021</t>
  </si>
  <si>
    <t>Helmholtz Association [VH-NG-1014]; Australian Research Council's Centre of Excellence for Climate System Science [CE110001028]; Australian Government's National Computational Merit Allocation Scheme (q90); Australian Antarctic science grant programme [FoRCES 4012]; Bundesministerium fur Bildung und Forschung (BMBF); NZ Governments Strategic Science Investment Fund (SSIF) through the NIWA programme CACV; NeSIs; Ministry of Business, Innovation &amp; Employments Research Infrastructure programme; Government of Spain [CGL2015-71575-P]; GA CR [16-01562J, 18-01625S]; New Zealand Royal Society Marsden Fund [12-NIW-006]</t>
  </si>
  <si>
    <t>Helmholtz Association(Helmholtz Association); Australian Research Council's Centre of Excellence for Climate System Science(Australian Research Council); Australian Government's National Computational Merit Allocation Scheme (q90); Australian Antarctic science grant programme; Bundesministerium fur Bildung und Forschung (BMBF)(Federal Ministry of Education &amp; Research (BMBF)); NZ Governments Strategic Science Investment Fund (SSIF) through the NIWA programme CACV; NeSIs; Ministry of Business, Innovation &amp; Employments Research Infrastructure programme; Government of Spain(Spanish Government); GA CR(Grant Agency of the Czech Republic); New Zealand Royal Society Marsden Fund(Royal Society of New ZealandMarsden Fund (NZ))</t>
  </si>
  <si>
    <t>This study was funded by the Helmholtz Association under grant VH-NG-1014 (Helmholtz-Hochschul-Nachwuchsforschergruppe MACClim). We thank the modelling groups for making their simulations available for this analysis, the SPARC/IGAC Chemistry-Climate Model Initiative (CCMI) project for organising and coordinating the model data analysis activity and the British Atmospheric Data Centre (BADC) for collecting and archiving the CCMI model output. ACCESS-CCM runs were supported by the Australian Research Council's Centre of Excellence for Climate System Science (CE110001028), the Australian Government's National Computational Merit Allocation Scheme (q90) and the Australian Antarctic science grant programme (FoRCES 4012). We also acknowledge the project ESCiMo (Earth System Chemistry integrated Modelling), within which the EMAC simulations were conducted at the German Climate Computing Centre DKRZ through support from the Bundesministerium fur Bildung und Forschung (BMBF). Moreover, we acknowledge the UK Met Office for use of the MetUM. This research was supported by the NZ Governments Strategic Science Investment Fund (SSIF) through the NIWA programme CACV. The authors wish to acknowledge the contribution of NeSI high-performance computing facilities to the results of this research. New Zealand's national facilities are provided by the New Zealand eScience Infrastructure (NeSI) and funded jointly by NeSIs collaborator institutions and through the Ministry of Business, Innovation &amp; Employments Research Infrastructure programme (https://www.nesi.org.nz, last access: May 2018). Petr Sacha was supported by the Government of Spain under grant no. CGL2015-71575-P and partly by GA CR under grant nos. 16-01562J and 18-01625S, and Olaf Morgenstern acknowledges funding by the New Zealand Royal Society Marsden Fund (grant 12-NIW-006). Moreover, we thank two anonymous referees for their helpful comments on the manuscript and Andreas Engel for providing the in situ AoA data.</t>
  </si>
  <si>
    <t>10.5194/acp-19-921-2019</t>
  </si>
  <si>
    <t>HI8MM</t>
  </si>
  <si>
    <t>Green Accepted, Green Published, Green Submitted, gold</t>
  </si>
  <si>
    <t>WOS:000456710100002</t>
  </si>
  <si>
    <t>Snels, M; Scoccione, A; Di Liberto, L; Colao, F; Pitts, M; Poole, L; Deshler, T; Cairo, F; Cagnazzo, C; Fierli, F</t>
  </si>
  <si>
    <t>Snels, Marcel; Scoccione, Andrea; Di Liberto, Luca; Colao, Francesco; Pitts, Michael; Poole, Lamont; Deshler, Terry; Cairo, Francesco; Cagnazzo, Chiara; Fierli, Federico</t>
  </si>
  <si>
    <t>Comparison of Antarctic polar stratospheric cloud observations by ground-based and space-borne lidar and relevance for chemistry-climate models</t>
  </si>
  <si>
    <t>DUMONT DURVILLE; MCMURDO STATION; AEROSOL LAYER; SIMULATION; OZONE; EMAC</t>
  </si>
  <si>
    <t>A comparison of polar stratospheric cloud (PSC) occurrence from 2006 to 2010 is presented, as observed from the ground-based lidar station at McMurdo (Antarctica) and by the satellite-borne CALIOP lidar (Cloud-Aerosol Lidar with Orthogonal Polarization) measuring over McMurdo. McMurdo (Antarctica) is one of the primary lidar stations for aerosol measurements of the NDACC (Network for Detection of Atmospheric Climate Change). The ground-based observations have been classified with an algorithm derived from the recent v2 detection and classification scheme, used to classify PSCs observed by CALIOP. A statistical approach has been used to compare ground-based and satellite-based observations, since point-to-point comparison is often troublesome due to the intrinsic differences in the observation geometries and the imperfect over-lap of the observed areas. A comparison of space-borne lidar observations and a selection of simulations obtained from chemistry-climate models (CCMs) has been made by using a series of quantitative diagnostics based on the statistical occurrence of different PSC types. The distribution of PSCs over Antarctica, calculated by several CCMVal-2 and CCMI chemistry-climate models has been compared with the PSC coverage observed by the satellite-borne CALIOP lidar. The use of several diagnostic tools, including the temperature dependence of the PSC occurrences, evidences the merits and flaws of the different models. The diagnostic methods have been defined to overcome (at least partially) the possible differences due to the resolution of the models and to identify differences due to microphysics (e.g., the dependence of PSC occurrence on T - T-NAT)(.) A significant temperature bias of most models has been observed, as well as a limited ability to reproduce the longitudinal variations in PSC occurrences observed by CALIOP. In particular, a strong temperature bias has been observed in CCMVal-2 models with a strong impact on PSC formation. The WACCM-CCMI (Whole Atmosphere Community Climate Model - Chemistry-Climate Model Initiative) model compares rather well with the CALIOP observations, although a temperature bias is still present.</t>
  </si>
  <si>
    <t>[Snels, Marcel; Scoccione, Andrea; Di Liberto, Luca; Cairo, Francesco; Cagnazzo, Chiara; Fierli, Federico] Ist Sci Atmosfera &amp; Clima, Via Fosso del Cavaliere 100, I-00133 Rome, Italy; [Colao, Francesco] ENEA, Via Enrico Fermi 45, I-00044 Frascati, Italy; [Pitts, Michael] NASA, Langley Res Ctr, Hampton, VA 23681 USA; [Poole, Lamont] Sci Syst &amp; Applicat Inc, Hampton, VA 23666 USA; [Deshler, Terry] Univ Wyoming, Dept Atmospher Sci, Laramie, WY 82071 USA</t>
  </si>
  <si>
    <t>Consiglio Nazionale delle Ricerche (CNR); Istituto di Scienze dell'Atmosfera e del Clima (ISAC-CNR); Italian National Agency New Technical Energy &amp; Sustainable Economics Development; National Aeronautics &amp; Space Administration (NASA); NASA Langley Research Center; Science Systems and Applications Inc; University of Wyoming</t>
  </si>
  <si>
    <t>Snels, M (corresponding author), Ist Sci Atmosfera &amp; Clima, Via Fosso del Cavaliere 100, I-00133 Rome, Italy.</t>
  </si>
  <si>
    <t>m.snels@isac.cnr.it</t>
  </si>
  <si>
    <t>Di Liberto, Luca/AAY-4560-2020; Snels, Marcel N.N./J-2324-2012; Cagnazzo, Chiara/C-7194-2015; cairo, francesco/C-7460-2015; DI LIBERTO, LUCA/P-5876-2018</t>
  </si>
  <si>
    <t>cairo, francesco/0000-0002-2886-2601; Scoccione, Andrea/0000-0003-4137-700X; cagnazzo, chiara/0000-0002-2054-0448; DI LIBERTO, LUCA/0000-0001-7274-1279</t>
  </si>
  <si>
    <t>PNRA [2004/2.09, 2009/B.08]; ISSI-PSC initiative project; US National Science Foundation through NSF [0538679, 0839124]; Office of Polar Programs (OPP); Directorate For Geosciences [0538679, 0839124] Funding Source: National Science Foundation</t>
  </si>
  <si>
    <t>PNRA; ISSI-PSC initiative project; US National Science Foundation through NSF(National Science Foundation (NSF)); Office of Polar Programs (OPP); Directorate For Geosciences(National Science Foundation (NSF)NSF - Directorate for Geosciences (GEO))</t>
  </si>
  <si>
    <t>The authors acknowledge the financial support by PNRA in the framework of the projects 2004/2.09 and 2009/B.08. We also acknowledge the support of the ISSI-PSC initiative project. Logistical and winter-time technical support was provided by the US National Science Foundation through NSF awards 0538679 and 0839124 to the University of Wyoming.</t>
  </si>
  <si>
    <t>10.5194/acp-19-955-2019</t>
  </si>
  <si>
    <t>WOS:000456710100004</t>
  </si>
  <si>
    <t>Scarabino, F; Lucena, RA; Munilla, T; Soler-Membrives, A; Ortega, L; Schwindt, E; López, G; Orensanz, JM; Christoffersen, ML</t>
  </si>
  <si>
    <t>Scarabino, Fabrizio; Amorim Lucena, Ruda; Munilla, Tomas; Soler-Membrives, Anna; Ortega, Leonardo; Schwindt, Evangelina; Lopez, Guzman; Maria (Lobo) Orensanz, Jose; Christoffersen, Martin Lidsey</t>
  </si>
  <si>
    <t>Pycnogonida (Arthropoda) from Uruguayan waters (Southwest Atlantic): annotated checklist and biogeographic considerations</t>
  </si>
  <si>
    <t>deep-sea; Uruguay; southwest Atlantic; Pantopoda</t>
  </si>
  <si>
    <t>DEEP-SEA; SLOPE; HOEK</t>
  </si>
  <si>
    <t>Records of pycnogonids from Uruguayan waters (south-western Atlantic) include 26 species cited from precise locations, and at least five other species based on unconfirmed records. Nearly half of the species in that fauna belong to the genus Nymphon (12 spp.). Most species (22) come from deep-water and were recorded and described by C. A. Child. Of these, at least twelve species have an extended Antarctic and Subantarctic distribution, showing the influence of these cold waters in the area; three others have a wide deep-sea distribution pattern. Five species are known only from the lower slope and abyssal basin off La plata river: Mimipallene Atlantis and four species of Nymphon. Records from coastal and shelf areas (four species) are poorly documented and should be the focus of future research. Of these, Colossendeis geoffroyi is considered endemic in the Southwest Atlantic between 34 degrees S and 40 degrees S, but presents clear Antarctic affinities. A small-sized species living in shallow waters, Pycnogonum cessaci, is here considered as cryptogenic.</t>
  </si>
  <si>
    <t>[Scarabino, Fabrizio] Univ Republ, Ctr Univ Reg Este, Ruta 9 Intersecc Ruta 15, Rocha, Uruguay; [Scarabino, Fabrizio] Museo Nacl Hist Nat, CC 399, Montevideo 11000, Uruguay; [Amorim Lucena, Ruda] Univ Fed Paraiba, Programa Posgrad Ciencias Biol Zool, BR-58051900 Joao Pessoa, PB, Brazil; [Amorim Lucena, Ruda; Christoffersen, Martin Lidsey] Univ Fed Paraiba, Lab Biodiversidade Invertebrados Naoinsetos, BR-58051900 Joao Pessoa, PB, Brazil; [Munilla, Tomas; Soler-Membrives, Anna] Univ Autonoma Barcelona, Dept Biol Anim Biol Vegetal &amp; Ecol, E-08193 Barcelona, Spain; [Ortega, Leonardo; Lopez, Guzman] Direcc Nacl Recursos Acuat, Constituyente 1497, Montevideo 11200, Uruguay; [Schwindt, Evangelina] Consejo Nacl Invest Cient &amp; Tecn, CENPAT, Grp Ecol Ambientes Costeros GEAC, IBIOMAR CONICET, Bvd Brown 2915, Puerto Madryn, Chubut, Argentina; [Maria (Lobo) Orensanz, Jose] Consejo Nacl Invest Cient &amp; Tecn, Ctr Nacl Patagon CENPAT, Bvd Brown 2915, Puerto Madryn, Chubut, Argentina</t>
  </si>
  <si>
    <t>Universidad de la Republica, Uruguay; Universidade Federal da Paraiba; Universidade Federal da Paraiba; Autonomous University of Barcelona; Consejo Nacional de Investigaciones Cientificas y Tecnicas (CONICET); Centro Nacional Patagonico (CENPAT); Centro Nacional Patagonico (CENPAT); Consejo Nacional de Investigaciones Cientificas y Tecnicas (CONICET)</t>
  </si>
  <si>
    <t>Lucena, RA (corresponding author), Univ Fed Paraiba, Programa Posgrad Ciencias Biol Zool, BR-58051900 Joao Pessoa, PB, Brazil.;Lucena, RA (corresponding author), Univ Fed Paraiba, Lab Biodiversidade Invertebrados Naoinsetos, BR-58051900 Joao Pessoa, PB, Brazil.</t>
  </si>
  <si>
    <t>fscarabino@cure.edu.uy; rudalucena15@gmail.com; tomas.munilla@uab.es; anna.soler@uab.cat; lortega@dinara.gub.uy; schwindt@cenpat-conicet.gob.ar; mlchrist@dse.ufpb.br</t>
  </si>
  <si>
    <t>Soler-Membrives, Anna/L-3169-2014; Christoffersen, Martin/J-7794-2015</t>
  </si>
  <si>
    <t>Soler-Membrives, Anna/0000-0002-6543-8367; Schwindt, Evangelina/0000-0001-6693-9828; Christoffersen, Martin/0000-0001-8108-1938; Lucena, Ruda/0000-0002-4206-0357</t>
  </si>
  <si>
    <t>CURE; DINARA; MNHNM; project Caracterizacion del margen continental uruguayo (ANCAP-Facultad de Ciencias, UdelaR, Uruguay); CONICET [PIP 20100100089]; Conselho Nacional de Desenvolvimento Cientifico e Tecnologico</t>
  </si>
  <si>
    <t>CURE; DINARA; MNHNM; project Caracterizacion del margen continental uruguayo (ANCAP-Facultad de Ciencias, UdelaR, Uruguay); CONICET(Consejo Nacional de Investigaciones Cientificas y Tecnicas (CONICET)); Conselho Nacional de Desenvolvimento Cientifico e Tecnologico(Conselho Nacional de Desenvolvimento Cientifico e Tecnologico (CNPQ))</t>
  </si>
  <si>
    <t>FS is grateful to the following people who kindly provided literature and/or enthusiasm: the late Ricardo Capitoli (Rio Grande, Brazil), Ines Pereyra, Manon Lopez de Levy, Fernando Mane-Garzon (Montevideo) and Juan Lopez Gappa (Museo Argentino de Ciencias Naturales, Buenos Aires, Argentina). We are also grateful to Biodiversity Heritage Library for making important literature available. This work was made with the support of CURE, DINARA and MNHNM, as well as by the project Caracterizacion del margen continental uruguayo (ANCAP-Facultad de Ciencias, UdelaR, Uruguay). This study was partially supported by CONICET (PIP 20100100089 to ES). MLC is supported by a productivity grant from Conselho Nacional de Desenvolvimento Cientifico e Tecnologico. This work is dedicated to the memory of our great friend and coauthor, Lobo Orensanz (1945-2015). We are grateful to the anonymous referees for their insightful and constructive feedback on our paper.</t>
  </si>
  <si>
    <t>10.11646/zootaxa.4550.2.2</t>
  </si>
  <si>
    <t>HI3PA</t>
  </si>
  <si>
    <t>WOS:000456361800002</t>
  </si>
  <si>
    <t>Zaikova, E; Goerlitz, DS; Tighe, SW; Wagner, NY; Bai, Y; Hall, BL; Bevilacqua, JG; Weng, MM; Samuels-Fair, MD; Johnson, SS</t>
  </si>
  <si>
    <t>Zaikova, Elena; Goerlitz, David S.; Tighe, Scott W.; Wagner, Nicole Y.; Bai, Yu; Hall, Brenda L.; Bevilacqua, Julie G.; Weng, Margaret M.; Samuels-Fair, Maya D.; Johnson, Sarah Stewart</t>
  </si>
  <si>
    <t>Antarctic Relic Microbial Mat Community Revealed by Metagenomics and Metatranscriptomics</t>
  </si>
  <si>
    <t>Antarctica; cell survival; DNA repair; dormancy; extremophiles; metagenomics; stress response; transcriptome</t>
  </si>
  <si>
    <t>MCMURDO DRY VALLEYS; ANCIENT ALGAL MATS; ESCHERICHIA-COLI; CYANOBACTERIAL DIVERSITY; LAKE FRYXELL; PROTEIN; DNA; BACTERIA; GENE; ECOLOGY</t>
  </si>
  <si>
    <t>Buried upslope from the modern lakes in the McMurdo Dry Valleys of Antarctica are relict lake deposits embedded in valley walls. Within these relict deposits, ancient microbial mats, or paleomats, have been preserved under extremely arid and cold conditions since the receding of larger paleolakes thousands of years ago, and now serve as a sheltered niche for microbes in a highly challenging oligotrophic environment. To explore whether paleomats could be repositories for ancient lake cells or were later colonized by soil microbes, determine what types of metabolic pathways might be present, analyze potential gene expression, and explore whether the cells are in a vegetative or dormant state, we collected paleomat samples from ancient lake facies on the northern slopes of Lake Vanda in Wright Valley in December 2016. Using a gentle lysis technique optimized to preserve longer molecules, combined with a polyenzymatic treatment to maximize yields from different cell types, we isolated high-molecular weight DNA and RNA from ancient paleomat samples. Community composition analysis suggests that the paleomat community may retain a population of indigenousmat cells that may flourish once more favorable conditions are met. In addition to harboring a diverse microbial community, paleomats appear to host heterotrophs in surrounding soils utilizing the deposits as a carbon source. Whole genome long-read PacBio sequencing of native DNA and Illumina metagenomic sequencing of size-sorted DNA (&gt;2,500 nt) indicated possible cell viability, with mat community composed of bacterial taxa. Metagenome assemblies identified genes with predicted roles in nitrogen cycling and complex carbohydrate degradation, and we identified key metabolic pathways such as stress response, DNA repair, and sporulation. Metatranscriptomic data revealed that the most abundant transcripts code for products involved in genetic information processing pathways, particularly translation, DNA replication, and DNA repair. Our results lend new insight into the functional ecology of paleomat deposits, with implications for our understanding of cell biology, Antarctic microbiology and biogeography, and the limits of life in extremely harsh environments.</t>
  </si>
  <si>
    <t>[Zaikova, Elena; Wagner, Nicole Y.; Bai, Yu; Bevilacqua, Julie G.; Johnson, Sarah Stewart] Georgetown Univ, Dept Biol, Washington, DC 20057 USA; [Goerlitz, David S.] Georgetown Univ, Med Ctr, Washington, DC 20007 USA; [Tighe, Scott W.] Univ Vermont, Adv Genom Lab, Canc Ctr, Burlington, VT USA; [Hall, Brenda L.] Univ Maine, Sch Earth &amp; Climate Sci, Orono, ME USA; [Weng, Margaret M.; Samuels-Fair, Maya D.] Washington Univ, Dept Earth &amp; Planetary Sci, St Louis, MI USA; [Johnson, Sarah Stewart] Georgetown Univ, Sci Technol &amp; Int Affairs Program, Washington, DC 20057 USA</t>
  </si>
  <si>
    <t>Georgetown University; Georgetown University; University of Vermont; University of Maine System; University of Maine Orono; Washington University (WUSTL); Georgetown University</t>
  </si>
  <si>
    <t>Johnson, SS (corresponding author), Georgetown Univ, Dept Biol, Washington, DC 20057 USA.;Johnson, SS (corresponding author), Georgetown Univ, Sci Technol &amp; Int Affairs Program, Washington, DC 20057 USA.</t>
  </si>
  <si>
    <t>sarah.johnson@georgetown.edu</t>
  </si>
  <si>
    <t>Samuels-Fair, Maya/HOC-8580-2023</t>
  </si>
  <si>
    <t>Wagner, Nicole Yasmin/0000-0001-9196-8903; Weng, Margaret/0000-0002-1311-0829</t>
  </si>
  <si>
    <t>NSF Office of Polar Programs [PLR-1620976]; NIH/NCI [P30-CA051008]</t>
  </si>
  <si>
    <t>NSF Office of Polar Programs(National Science Foundation (NSF)); NIH/NCI(United States Department of Health &amp; Human ServicesNational Institutes of Health (NIH) - USANIH National Cancer Institute (NCI))</t>
  </si>
  <si>
    <t>This work was supported by NSF Office of Polar Programs Award PLR-1620976 to SJ at Georgetown University. The Genomics and Epigenomics Shared Resource at Georgetown University Medical Center is partially supported by NIH/NCI grant P30-CA051008.</t>
  </si>
  <si>
    <t>JAN 23</t>
  </si>
  <si>
    <t>10.3389/fevo.2019.00001</t>
  </si>
  <si>
    <t>HX4MX</t>
  </si>
  <si>
    <t>WOS:000467373600001</t>
  </si>
  <si>
    <t>Kataoka, R; Nishiyama, T; Tanaka, Y; Kadokura, A; Uchida, HA; Ebihara, Y; Ejiri, MK; Tomikawa, Y; Tsutsumi, M; Sato, K; Miyoshi, Y; Shiokawa, K; Kurita, S; Kasahara, Y; Ozaki, M; Hosokawa, K; Matsuda, S; Shinohara, I; Takashima, T; Sato, T; Mitani, T; Hori, T; Higashio, N</t>
  </si>
  <si>
    <t>Kataoka, Ryuho; Nishiyama, Takanori; Tanaka, Yoshimasa; Kadokura, Akira; Uchida, Herbert Akihito; Ebihara, Yusuke; Ejiri, Mitsumu K.; Tomikawa, Yoshihiro; Tsutsumi, Masaki; Sato, Kaoru; Miyoshi, Yoshizumi; Shiokawa, Kazuo; Kurita, Satoshi; Kasahara, Yoshiya; Ozaki, Mitsunori; Hosokawa, Keisuke; Matsuda, Shoya; Shinohara, Iku; Takashima, Takeshi; Sato, Tatsuhiko; Mitani, Takefumi; Hori, Tomoaki; Higashio, Nana</t>
  </si>
  <si>
    <t>Transient ionization of the mesosphere during auroral breakup: Arase satellite and ground-based conjugate observations at Syowa Station</t>
  </si>
  <si>
    <t>EARTH PLANETS AND SPACE</t>
  </si>
  <si>
    <t>Aurora; Mesosphere; X-rays; Energetic electrons</t>
  </si>
  <si>
    <t>POLAR MESOSPHERE; ELECTRON-PRECIPITATION; WINTER ECHOES; ENERGY PARAMETERS; BREMSSTRAHLUNG; EVENTS; THERMOSPHERE; ATMOSPHERE; FREQUENCY; PARTICLE</t>
  </si>
  <si>
    <t>Transient mesospheric echo in the VHF range was detected at an altitude of 65-70km during the auroral breakup that occurred from 2220 to 2226 UT on June 30, 2017. During this event, the footprint of the Arase satellite was located within the field of view of the all-sky imagers at Syowa Station in the Antarctic. Auroral observations at Syowa Station revealed the dominant precipitation of relatively soft electrons during the auroral breakup. A corresponding spike in cosmic noise absorption was also observed at Syowa Station, while the Arase satellite observed a flux enhancement of &gt;100keV electrons and a broadband noise without detecting chorus waves or electromagnetic ion cyclotron waves. A general-purpose Monte Carlo particle transport simulation code was used to quantitatively evaluate the ionization in the middle atmosphere. Results of this study indicate that the precipitation of energetic electrons of &gt;100keV, rather than X-rays from the auroral electrons, played a dominant role in the transient and deep (65-70km) mesospheric ionization during the observed auroral breakup.</t>
  </si>
  <si>
    <t>[Kataoka, Ryuho; Nishiyama, Takanori; Tanaka, Yoshimasa; Kadokura, Akira; Uchida, Herbert Akihito; Ejiri, Mitsumu K.; Tomikawa, Yoshihiro; Tsutsumi, Masaki] Natl Inst Polar Res, 10-3 Midori Cho, Tachikawa, Tokyo 1908518, Japan; [Tanaka, Yoshimasa; Kadokura, Akira] Joint Support Ctr Data Sci Res, 10-3 Midori Cho, Tokyo 1900014, Japan; [Ebihara, Yusuke] Kyoto Univ, Res Inst Sustainable Humanosphere, Gokasho, Uji, Kyoto 6110011, Japan; [Sato, Kaoru] Univ Tokyo, Dept Earth &amp; Planetary Sci, Bunkyo Ku, 7-3-1 Hongo, Tokyo 1130033, Japan; [Miyoshi, Yoshizumi; Shiokawa, Kazuo; Kurita, Satoshi; Hori, Tomoaki] Nagoya Univ, Inst Space Earth Environm Res, Chikusa Ku, Furo Cho, Nagoya, Aichi 4648601, Japan; [Kasahara, Yoshiya; Ozaki, Mitsunori] Kanazawa Univ, Grad Sch Nat Sci &amp; Technol, Kakumamachi, Kanazawa, Ishikawa 9201192, Japan; [Hosokawa, Keisuke] Univ Electrocommun, Dept Commun Engn &amp; Informat, 1-5-1 Chofugaoka, Chofu, Tokyo 1828585, Japan; [Matsuda, Shoya; Shinohara, Iku; Takashima, Takeshi; Mitani, Takefumi] Japan Aerosp Explorat Agcy, Inst Space &amp; Astronaut Sci, Chuo Ku, 3-1-1 Yoshinodai, Sagamihara, Kanagawa 2525210, Japan; [Sato, Tatsuhiko] Japan Atom Energy Agcy, Shirakata 2-4, Tokai, Ibaraki 3191195, Japan; [Higashio, Nana] Japan Aerosp Explorat Agcy, Res &amp; Dev Directorate, Tsukuba, Ibaraki 3058505, Japan; [Kataoka, Ryuho; Nishiyama, Takanori; Tanaka, Yoshimasa; Kadokura, Akira; Uchida, Herbert Akihito; Ejiri, Mitsumu K.; Tomikawa, Yoshihiro; Tsutsumi, Masaki] SOKENDAI, Dept Polar Sci, 10-3 Midori Cho, Tachikawa, Tokyo 1908518, Japan</t>
  </si>
  <si>
    <t>Research Organization of Information &amp; Systems (ROIS); National Institute of Polar Research (NIPR) - Japan; Kyoto University; University of Tokyo; Nagoya University; Kanazawa University; University of Electro-Communications - Japan; Japan Aerospace Exploration Agency (JAXA); Institute of Space &amp; Astronautical Science (ISAS); Japan Atomic Energy Agency; Japan Aerospace Exploration Agency (JAXA)</t>
  </si>
  <si>
    <t>Kataoka, R (corresponding author), Natl Inst Polar Res, 10-3 Midori Cho, Tachikawa, Tokyo 1908518, Japan.</t>
  </si>
  <si>
    <t>kataoka.ryuho@nipr.ac.jp</t>
  </si>
  <si>
    <t>Miyoshi, Yoshizumi/T-5748-2019; Mitani, Takefumi/GQH-5847-2022; Nishiyama, Takanori/ABA-2671-2020; KASAHARA, Yoshiya/E-7073-2015; OZAKI, Mitsunori/E-7076-2015; KATAOKA, RYUHO/AAJ-4570-2020; Sato, Tatsuhiko/G-5964-2012; Tomikawa, Yoshihiro/D-5304-2012; Ebihara, Yusuke/ABD-4430-2021; Ebihara, Yusuke/D-1638-2013; Sato, Kaoru/E-1693-2012</t>
  </si>
  <si>
    <t>Miyoshi, Yoshizumi/0000-0001-7998-1240; Nishiyama, Takanori/0000-0002-3648-6589; Tomikawa, Yoshihiro/0000-0002-5652-3017; Ebihara, Yusuke/0000-0002-2293-1557; Ebihara, Yusuke/0000-0002-2293-1557; Uchida, Herbert Akihito/0000-0002-4228-9178; Hori, Tomoaki/0000-0001-8451-6941; Sato, Kaoru/0000-0002-6225-6066; Sato, Tatsuhiko/0000-0001-9902-7083; Mitani, Takefumi/0000-0003-0492-3104; Kataoka, Ryuho/0000-0001-9400-1765</t>
  </si>
  <si>
    <t>JSPS-Kakenhi [15H05815, 16H06286, 15H02628, 16H04056, 14J02108, 17H06140, 15H05747]; Grants-in-Aid for Scientific Research [14J02108, 15H02628, 16H04056] Funding Source: KAKEN</t>
  </si>
  <si>
    <t>JSPS-Kakenhi(Ministry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</si>
  <si>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RK and YM are supported by JSPS-Kakenhi (15H05815). RK, KS, MO, and YM are supported by JSPS-Kakenhi (16H06286). RK, AK, and YT are supported by JSPS-Kakenhi (15H02628). YK is supported by JSPS-Kakenhi (16H04056). SM is supported by JSPS-Kakenhi (14J02108). IS is supported by JSPS-Kakenhi (17H06140). KH and YM are supported by JSPS-Kakenhi (15H05747).</t>
  </si>
  <si>
    <t>SPRINGEROPEN</t>
  </si>
  <si>
    <t>1880-5981</t>
  </si>
  <si>
    <t>EARTH PLANETS SPACE</t>
  </si>
  <si>
    <t>Earth Planets Space</t>
  </si>
  <si>
    <t>10.1186/s40623-019-0989-7</t>
  </si>
  <si>
    <t>HI6IZ</t>
  </si>
  <si>
    <t>WOS:000456559500001</t>
  </si>
  <si>
    <t>Murphy, David W.; Olsen, Daniel; Kanagawa, Marleen; King, Rob; Kawaguchi, So; Osborn, Jon; Webster, Donald R.; Yen, Jeannette</t>
  </si>
  <si>
    <t>The Three Dimensional Spatial Structure of Antarctic Krill Schools in the Laboratory</t>
  </si>
  <si>
    <t>COLLECTIVE ANIMAL BEHAVIOR; EUPHAUSIA-SUPERBA; SOCIAL AGGREGATION; STARFLAG HANDBOOK; FISH SCHOOLS; FLOW-FIELD; KINEMATICS; MECHANISM; MOVEMENT; DYNAMICS</t>
  </si>
  <si>
    <t>Animal positions within moving groups may reflect multiple motivations including saving energy and sensing neighbors. These motivations have been proposed for schools of Antarctic krill, but little is known about their three-dimensional structure. Stereophotogrammetric images of Antarctic krill schooling in the laboratory are used to determine statistical distributions of swimming speed, nearest neighbor distance, and three-dimensional nearest neighbor positions. The krill schools swim at speeds of two body lengths per second at nearest neighbor distances of one body length and reach similarly high levels of organization as fish schools. The nearest neighbor position distribution is highly anisotropic and shows that Antarctic krill prefer to swim in the propulsion jet of their anterior neighbor. This position promotes communication and coordination among schoolmates via hydrodynamic signals within the pulsed jet created by the metachronal stroking of the neighboring krill's pleopods. The hydrodynamic communication channel therefore plays a large role in structuring the school. Further, Antarctic krill avoid having a nearest neighbor directly overhead, possibly to avoid blockage of overhead light needed for orientation. Other factors, including the elongated body shape of Antarctic krill and potential energy savings, also may help determine the three dimensional spatial structure of tightly packed krill schools.</t>
  </si>
  <si>
    <t>[Murphy, David W.; Kanagawa, Marleen; Webster, Donald R.] Georgia Inst Technol, Sch Civil &amp; Environm Engn, Atlanta, GA 30332 USA; [Murphy, David W.; Olsen, Daniel] Univ S Florida, Dept Mech Engn, Tampa, FL 33620 USA; [King, Rob; Kawaguchi, So] Australian Antarctic Div, Kingston, Tas 7050, Australia; [Osborn, Jon] Univ Tasmania, Sch Technol Environm &amp; Design, Discipline Geog &amp; Spatial Sci, Hobart, Tas, Australia; [Yen, Jeannette] Georgia Inst Technol, Sch Biol Sci, Atlanta, GA 30332 USA</t>
  </si>
  <si>
    <t>University System of Georgia; Georgia Institute of Technology; State University System of Florida; University of South Florida; Australian Antarctic Division; University of Tasmania; University System of Georgia; Georgia Institute of Technology</t>
  </si>
  <si>
    <t>Murphy, DW (corresponding author), Georgia Inst Technol, Sch Civil &amp; Environm Engn, Atlanta, GA 30332 USA.;Murphy, DW (corresponding author), Univ S Florida, Dept Mech Engn, Tampa, FL 33620 USA.</t>
  </si>
  <si>
    <t>Kawaguchi, So/N-1795-2017</t>
  </si>
  <si>
    <t>Kawaguchi, So/0000-0002-2042-5095; King, Robert/0000-0002-4650-2335; Osborn, Jon/0000-0003-2278-3766</t>
  </si>
  <si>
    <t>NSF East Asia-Pacific Summer Institute Fellowship</t>
  </si>
  <si>
    <t>Funding was provided by an NSF East Asia-Pacific Summer Institute Fellowship to DWM.</t>
  </si>
  <si>
    <t>10.1038/s41598-018-37379-9</t>
  </si>
  <si>
    <t>HI4AE</t>
  </si>
  <si>
    <t>WOS:000456392400062</t>
  </si>
  <si>
    <t>Geyer, A; Alvarez-Valero, AM; Gisbert, G; Aulinas, M; Hernández-Barreña, D; Lobo, A; Marti, J</t>
  </si>
  <si>
    <t>Geyer, A.; Alvarez-Valero, A. M.; Gisbert, G.; Aulinas, M.; Hernandez-Barrena, D.; Lobo, A.; Marti, J.</t>
  </si>
  <si>
    <t>Deciphering the evolution of Deception Island's magmatic system</t>
  </si>
  <si>
    <t>SOUTH SHETLAND ISLANDS; UPPER CRUSTAL STRUCTURE; BRANSFIELD STRAIT; CHEMICAL CLASSIFICATION; ANTARCTIC PENINSULA; VOLCANIC ACTIVITY; CALDERA; BASIN; BENEATH; GEOCHEMISTRY</t>
  </si>
  <si>
    <t>Deception Island (South Shetland Islands) is one of the most active volcanoes in Antarctica, with more than 20 explosive eruptive events registered over the past two centuries. Recent eruptions (1967, 1969, and 1970) and the volcanic unrest episodes that happened in 1992, 1999, and 2014-2015 demonstrate that the occurrence of future volcanic activity is a valid and pressing concern for scientists, technical and logistic personnel, and tourists, that are visiting or working on or near the island. We present a unifying evolutionary model of the magmatic system beneath Deception Island by integrating new petrologic and geochemical results with an exhaustive database of previous studies in the region. Our results reveal the existence of a complex plumbing system composed of several shallow magma chambers (&lt;= 10 km depth) fed by magmas raised directly from the mantle, or from a magma accumulation zone located at the crust-mantle boundary (15-20 km depth). Understanding the current state of the island's magmatic system, and its potential evolution in the future, is fundamental to increase the effectiveness of interpreting monitoring data during volcanic unrest periods and hence, for future eruption forecasting.</t>
  </si>
  <si>
    <t>[Geyer, A.; Lobo, A.; Marti, J.] CSIC, Inst Earth Sci Jaume Almera, ICTJA, Lluis Sole &amp; Sabaris S-N, E-08028 Barcelona, Spain; [Alvarez-Valero, A. M.; Hernandez-Barrena, D.] Univ Salamanca, Dept Geol, E-37008 Salamanca, Spain; [Gisbert, G.] UCM, CSIC, Inst Geociencias, Severo Ochoa 7, Madrid 28040, Spain; [Aulinas, M.] Univ Barcelona, Dept Mineral Petrol &amp; Geol Aplicada, Marti Franques S-N, E-08028 Barcelona, Spain</t>
  </si>
  <si>
    <t>Consejo Superior de Investigaciones Cientificas (CSIC); CSIC - Geociencias Barcelona (GEO3BCN); University of Salamanca; Complutense University of Madrid; Consejo Superior de Investigaciones Cientificas (CSIC); CSIC-UCM - Instituto de Geociencias (IGEO); University of Barcelona</t>
  </si>
  <si>
    <t>Geyer, A (corresponding author), CSIC, Inst Earth Sci Jaume Almera, ICTJA, Lluis Sole &amp; Sabaris S-N, E-08028 Barcelona, Spain.</t>
  </si>
  <si>
    <t>ageyer@ictja.csic.es</t>
  </si>
  <si>
    <t>Gisbert, Guillem/HKW-0585-2023; Geyer, Adelina/C-9490-2011; Lobo, Agustin/C-8979-2013; Marti, Joan/L-4203-2014; Alvarez-Valero, Antonio M./B-2732-2015; Geyer, Adelina/A-6624-2012</t>
  </si>
  <si>
    <t>Lobo, Agustin/0000-0002-6689-2908; Marti, Joan/0000-0003-3930-8603; Alvarez-Valero, Antonio M./0000-0001-9707-0168; Geyer, Adelina/0000-0002-8803-6504; Aulinas, Meritxell/0000-0003-3795-3537; Gisbert, Guillem/0000-0001-7737-8376</t>
  </si>
  <si>
    <t>MICINN [CTM2009-05919-E/ANT, CTM2011-13578-E/ANT, CTM2016-79617-P, CGL2015-72629-EXP]; Ramon y Cajal contract [RYC-2012-11024]; grant Programa Propio I (Usal-2014)</t>
  </si>
  <si>
    <t>MICINN(Spanish Government); Ramon y Cajal contract(Spanish Government); grant Programa Propio I (Usal-2014)</t>
  </si>
  <si>
    <t>This research was supported by the MICINN grants RECALDEC (CTM2009-05919-E/ANT) and PEVOLDEC (CTM2011-13578-E/ANT), and the POSVOLDEC(CTM2016-79617-P) (AEI/FEDER, UE) and VOLCLIMA (CGL2015-72629-EXP)(AEI) projects. A.G. is grateful for her Ramon y Cajal contract (RYC-2012-11024). Analyses of stable isotopes were funded by the grant Programa Propio I (Usal-2014) through A.M.A-V. We thank all the military staff of the Spanish Antarctic Base Gabriel de Castilla for their constant help and logistic support, without which this research would not have been possible.</t>
  </si>
  <si>
    <t>10.1038/s41598-018-36188-4</t>
  </si>
  <si>
    <t>WOS:000456392400054</t>
  </si>
  <si>
    <t>Quillfeldt, P; Weimerskirch, H; Masello, JF; Delord, K; McGill, RAR; Furness, RW; Cherel, Y</t>
  </si>
  <si>
    <t>Quillfeldt, Petra; Weimerskirch, Henri; Masello, Juan F.; Delord, Karine; McGill, Rona A. R.; Furness, Robert W.; Cherel, Yves</t>
  </si>
  <si>
    <t>Behavioural plasticity in the early breeding season of pelagic seabirds - a case study of thin-billed prions from two oceans</t>
  </si>
  <si>
    <t>MOVEMENT ECOLOGY</t>
  </si>
  <si>
    <t>Pachyptila belcheri; Breeding schedule; Central-place forager; Foraging ecology; Geolocation; Stable isotopes; Tracking</t>
  </si>
  <si>
    <t>STABLE-ISOTOPES; PACHYPTILA-BELCHERI; ROUND DISTRIBUTION; DELTA-N-15 VALUES; FEEDING ECOLOGY; FORAGING AREAS; SMALL PETREL; PREDATORS; DELTA-C-13; BLOOD</t>
  </si>
  <si>
    <t>Background: In long-lived seabirds that migrate large distances independently of each other, the early part of the breeding season is crucially important for a successful reproductive attempt. During this phase, pair bonds are re-established and partners coordinate their breeding duties. We studied the early breeding season in Thinbilled prions Pachyptila belcheri breeding in the Atlantic Ocean (Falkland/Malvinas Islands) and Indian Ocean (Kerguelen). Despite overlap in the wintering areas, these two populations exhibit differences in their timing and direction of migration. We hypothesised that these differences would influence behaviour during the early breeding season. Results: In line with our hypothesis, we found very strong differences in colony attendance patterns. Thin-billed prions of the Falkland population spent the late winter period over shelf waters close to the colony, first arrived back at the colony in September, and attended the nests interruptedly for one month, before departing on a pre-laying exodus. In contrast Kerguelen birds remained in the non-breeding areas until mid-October and spent much less time attending the burrow before their pre-laying exodus. Despite this asynchronous arrival to the two colonies, the subsequent patterns resulted in remarkably synchronous incubation in both populations, with males taking on the first long incubation shift in late November, whereas females returned to sea soon after egg laying. During the pre-laying exodus and incubation, Thinbilled prions from the Falklands spread north over the Patagonian Shelf, while prions from Kerguelen travelled much further, reaching southern oceanic waters and moved at faster speeds (&gt;400 km per day). Although prions from Kerguelen moved much further, their isotopic niches were considerably narrower, suggesting a stronger dependence on Antarctic waters. Conclusions: The study thus suggests that Thin-billed prions show a high intraspecific plasticity in their use of either neritic or oceanic waters during the early breeding season. Breeding birds from the Falkland Islands can exploit an extensive shelf area, while Kerguelen birds have adapted to the need to forage in distant southern open waters. This difference in foraging ecology may thus have shaped the phenology of the early breeding phase.</t>
  </si>
  <si>
    <t>[Quillfeldt, Petra; Masello, Juan F.] Justus Liebig Univ Giessen, Dept Anim Ecol &amp; Systemat, Heinrich Buff Ring 26, D-35392 Giessen, Germany; [Weimerskirch, Henri; Delord, Karine; Cherel, Yves] CNRS, UMR 7372, F-79360 Villiers En Bois, France; [Weimerskirch, Henri; Delord, Karine; Cherel, Yves] Univ La Rochelle, Ctr Etud Biol Chize, F-79360 Villiers En Bois, France; [McGill, Rona A. R.] Scottish Univ Environm Res Ctr, NERC Life Sci Mass Spectrometry Facil, Glasgow G75 0QF, Lanark, Scotland; [Furness, Robert W.] Univ Glasgow, Coll Med Vet &amp; Life Sci, Glasgow G12 8QQ, Lanark, Scotland</t>
  </si>
  <si>
    <t>Justus Liebig University Giessen; Centre National de la Recherche Scientifique (CNRS); CNRS - Institute of Ecology &amp; Environment (INEE); La Rochelle Universite; UK Research &amp; Innovation (UKRI); Natural Environment Research Council (NERC); Scottish Universities Research &amp; Reactor Center; University of Glasgow</t>
  </si>
  <si>
    <t>Quillfeldt, P (corresponding author), Justus Liebig Univ Giessen, Dept Anim Ecol &amp; Systemat, Heinrich Buff Ring 26, D-35392 Giessen, Germany.</t>
  </si>
  <si>
    <t>Petra.Quillfeldt@bio.uni-giessen.de</t>
  </si>
  <si>
    <t>Weimerskirch, Henri/F-5562-2013; McGill, Rona/JAC-6969-2023; McGill, Rona/F-1793-2010; Masello, Juan Francisco/C-7133-2009; Quillfeldt, Petra/A-9549-2009</t>
  </si>
  <si>
    <t>McGill, Rona/0000-0003-0400-7288; Masello, Juan Francisco/0000-0002-6826-4016; Cherel, Yves/0000-0001-9469-9489; Quillfeldt, Petra/0000-0002-4450-8688</t>
  </si>
  <si>
    <t>German Science Foundation DFG [Qu 148/1ff]; Institut Polaire Francais Paul Emile Victor [109]; NERC [lsmsf010002] Funding Source: UKRI</t>
  </si>
  <si>
    <t>German Science Foundation DFG(German Research Foundation (DFG)); Institut Polaire Francais Paul Emile Victor; NERC(UK Research &amp; Innovation (UKRI)Natural Environment Research Council (NERC))</t>
  </si>
  <si>
    <t>This work was funded by grants provided by the German Science Foundation DFG (Qu 148/1ff). Fieldwork at Kerguelen was supported by the Institut Polaire Francais Paul Emile Victor (Programme No 109, HW).</t>
  </si>
  <si>
    <t>2051-3933</t>
  </si>
  <si>
    <t>MOV ECOL</t>
  </si>
  <si>
    <t>Mov. Ecol.</t>
  </si>
  <si>
    <t>JAN 22</t>
  </si>
  <si>
    <t>10.1186/s40462-019-0147-7</t>
  </si>
  <si>
    <t>HQ4NM</t>
  </si>
  <si>
    <t>WOS:000462388100001</t>
  </si>
  <si>
    <t>Vendrami, DLJ; Forcada, J; Hoffman, JI</t>
  </si>
  <si>
    <t>Vendrami, David L. J.; Forcada, Jaume; Hoffman, Joseph I.</t>
  </si>
  <si>
    <t>Experimental validation of in silico predicted RAD locus frequencies using genomic resources and short read data from a model marine mammal</t>
  </si>
  <si>
    <t>BMC GENOMICS</t>
  </si>
  <si>
    <t>Restriction site associated DNA sequencing (RADseq); Restriction enzyme; Reference genome; Transcriptome assembly; PredRAD; Antarctic fur seal; Pinniped</t>
  </si>
  <si>
    <t>SEAL ARCTOCEPHALUS-GAZELLA; ANTARCTIC FUR SEALS; POPULATION-STRUCTURE; DISCOVERY; HETEROZYGOSITY; ELEMENTS; IMPACTS; DNA</t>
  </si>
  <si>
    <t>BackgroundRestriction site-associated DNA sequencing (RADseq) has revolutionized the study of wild organisms by allowing cost-effective genotyping of thousands of loci. However, for species lacking reference genomes, it can be challenging to select the restriction enzyme that offers the best balance between the number of obtained RAD loci and depth of coverage, which is crucial for a successful outcome. To address this issue, PredRAD was recently developed, which uses probabilistic models to predict restriction site frequencies from a transcriptome assembly or other sequence resource based on either GC content or mono-, di- or trinucleotide composition. This program generates predictions that are broadly consistent with estimates of the true number of restriction sites obtained through in silico digestion of available reference genome assemblies. However, in practice the actual number of loci obtained could potentially differ as incomplete enzymatic digestion or patchy sequence coverage across the genome might lead to some loci not being represented in a RAD dataset, while erroneous assembly could potentially inflate the number of loci. To investigate this, we used genome and transcriptome assemblies together with RADseq data from the Antarctic fur seal (Arctocephalus gazella) to compare PredRAD predictions with empirical estimates of the number of loci obtained via in silico digestion and from de novo assemblies.ResultsPredRAD yielded consistently higher predicted numbers of restriction sites for the transcriptome assembly relative to the genome assembly. The trinucleotide and dinucleotide models also predicted higher frequencies than the mononucleotide or GC content models. Overall, the dinucleotide and trinucleotide models applied to the transcriptome and the genome assemblies respectively generated predictions that were closest to the number of restriction sites estimated by in silico digestion. Furthermore, the number of de novo assembled RAD loci mapping to restriction sites was similar to the expectation based on in silico digestion.ConclusionsOur study reveals generally high concordance between PredRAD predictions and empirical estimates of the number of RAD loci. This further supports the utility of PredRAD, while also suggesting that it may be feasible to sequence and assemble the majority of RAD loci present in an organism's genome.</t>
  </si>
  <si>
    <t>[Vendrami, David L. J.; Hoffman, Joseph I.] Univ Bielefeld, Dept Anim Behav, Postfach 100131, D-33615 Bielefeld, Germany; [Forcada, Jaume] British Antarctic Survey, Madingley Rd, Cambridge CB3 OET, England</t>
  </si>
  <si>
    <t>University of Bielefeld; UK Research &amp; Innovation (UKRI); Natural Environment Research Council (NERC); NERC British Antarctic Survey</t>
  </si>
  <si>
    <t>Vendrami, DLJ (corresponding author), Univ Bielefeld, Dept Anim Behav, Postfach 100131, D-33615 Bielefeld, Germany.</t>
  </si>
  <si>
    <t>Vendrami, David/AAH-1912-2021; Forcada, Jaume/GYU-0677-2022; Hoffman, Joseph/K-7725-2012</t>
  </si>
  <si>
    <t>Vendrami, David/0000-0001-9409-4084; Hoffman, Joseph/0000-0001-5895-8949</t>
  </si>
  <si>
    <t>European Union Marie Curie Seventh Framework Programme [605051]; Deutsche Forschungsgemeinschaft [HO 5122/3-1]; NERC [bas0100035] Funding Source: UKRI</t>
  </si>
  <si>
    <t>European Union Marie Curie Seventh Framework Programme(European Union (EU)); Deutsche Forschungsgemeinschaft(German Research Foundation (DFG)); NERC(UK Research &amp; Innovation (UKRI)Natural Environment Research Council (NERC))</t>
  </si>
  <si>
    <t>The research leading to these results has received funding from the European Union Marie Curie Seventh Framework Programme under grant agreement no. 605051. This project was also funded by a Deutsche Forschungsgemeinschaft standard grant (HO 5122/3-1).</t>
  </si>
  <si>
    <t>1471-2164</t>
  </si>
  <si>
    <t>BMC Genomics</t>
  </si>
  <si>
    <t>10.1186/s12864-019-5440-8</t>
  </si>
  <si>
    <t>Biotechnology &amp; Applied Microbiology; Genetics &amp; Heredity</t>
  </si>
  <si>
    <t>HI4BP</t>
  </si>
  <si>
    <t>WOS:000456396300003</t>
  </si>
  <si>
    <t>Brondex, J; Gillet-Chaulet, F; Gagliardini, O</t>
  </si>
  <si>
    <t>Brondex, Julien; Gillet-Chaulet, Fabien; Gagliardini, Olivier</t>
  </si>
  <si>
    <t>Sensitivity of centennial mass loss projections of the Amundsen basin to the friction law</t>
  </si>
  <si>
    <t>PINE ISLAND GLACIER; ANTARCTIC ICE-SHEET; SEA-LEVEL RISE; WEST ANTARCTICA; THWAITES GLACIER; STREAM-B; MODEL; FLOW; RETREAT; BENEATH</t>
  </si>
  <si>
    <t>Reliable projections of ice sheets' future contributions to sea-level rise require models that are able to accurately simulate grounding-line dynamics, starting from initial states consistent with observations. Here, we simulate the centennial evolution of the Amundsen Sea Embayment in response to a prescribed perturbation in order to assess the sensitivity of mass loss projections to the chosen friction law, depending on the initialisation strategy. To this end, three different model states are constructed by inferring both the initial basal shear stress and viscosity fields with various relative weights. Then, starting from each of these model states, prognostic simulations are carried out using a Weertman, a Schoof and a Budd friction law, with different parameter values. Although the sensitivity of projections to the chosen friction law tends to decrease when more weight is put on viscosity during initialisation, it remains significant for the most physically acceptable of the constructed model states. Independently of the considered model state, the Weertman law systematically predicts the lowest mass losses. In addition, because of its particular dependence on effective pressure, the Budd friction law induces significantly different grounding-line retreat patterns than the other laws and predicts significantly higher mass losses.</t>
  </si>
  <si>
    <t>[Brondex, Julien; Gillet-Chaulet, Fabien; Gagliardini, Olivier] Univ Grenoble Alpes, CNRS, IRD, IGE, F-38000 Grenoble, France</t>
  </si>
  <si>
    <t>Communaute Universite Grenoble Alpes; Universite Grenoble Alpes (UGA); Institut de Recherche pour le Developpement (IRD); Centre National de la Recherche Scientifique (CNRS)</t>
  </si>
  <si>
    <t>Brondex, J (corresponding author), Univ Grenoble Alpes, CNRS, IRD, IGE, F-38000 Grenoble, France.</t>
  </si>
  <si>
    <t>julien.brondex@gadz.org</t>
  </si>
  <si>
    <t>Gagliardini, Olivier/GQQ-1222-2022</t>
  </si>
  <si>
    <t>Gagliardini, Olivier/0000-0001-9162-3518</t>
  </si>
  <si>
    <t>French National Research Agency (ANR) [ANR-15-CE01-0005-01]; Labex OSUG@2020 [ANR10 LABX56]; Rhone-Alpes region [CPER07-13 CIRA]; OSUG@2020 labex [ANR10 LABX56]; Equip@Meso project of the programme Investissements d'Avenir [ANR-10-EQPX-29-01]</t>
  </si>
  <si>
    <t>French National Research Agency (ANR)(Agence Nationale de la Recherche (ANR)Norwegian Agency for Development Cooperation - NORAD); Labex OSUG@2020; Rhone-Alpes region(Region Auvergne-Rhone-Alpes); OSUG@2020 labex; Equip@Meso project of the programme Investissements d'Avenir(Agence Nationale de la Recherche (ANR))</t>
  </si>
  <si>
    <t>We would like to thank the editor, Carlos Martin, as well as the two referees, Mathieu Morlighem and Thomas Kleiner, for their insightful and helpful comments. This work was funded by the French National Research Agency (ANR) through the TROIS-AS (ANR-15-CE01-0005-01) project. Julien Brondex, Fabien Gillet-Chaulet and Olivier Gagliardini are part of Labex OSUG@2020 (ANR10 LABX56). Most of the computational resources were provided by CINES through the gge6066 project. Some of the computations were performed using the Froggy platform of the CIMENT infrastructure (https://ciment.ujf-grenoble.fr, last access: 17 January 2019), which is supported by the Rhone-Alpes region (GRANT CPER07-13 CIRA), the OSUG@2020 labex (reference ANR10 LABX56), and the Equip@Meso project (reference ANR-10-EQPX-29-01) of the programme Investissements d'Avenir supervised by the ANR.</t>
  </si>
  <si>
    <t>10.5194/tc-13-177-2019</t>
  </si>
  <si>
    <t>HI3BT</t>
  </si>
  <si>
    <t>WOS:000456322100002</t>
  </si>
  <si>
    <t>Rignot, E; Mouginot, J; Scheuchl, B; van den Broeke, M; van Wessem, MJ; Morlighem, M</t>
  </si>
  <si>
    <t>Rignot, Eric; Mouginot, Jeremie; Scheuchl, Bernd; van den Broeke, Michiel; van Wessem, Melchior J.; Morlighem, Mathieu</t>
  </si>
  <si>
    <t>Four decades of Antarctic Ice Sheet mass balance from 1979-2017</t>
  </si>
  <si>
    <t>glaciology; Antarctica; remote sensing; climate change; sea-level rise</t>
  </si>
  <si>
    <t>CIRCUMPOLAR DEEP-WATER; AMUNDSEN SEA EMBAYMENT; EAST ANTARCTICA; SHELF THICKNESS; WEST ANTARCTICA; OUTLET GLACIERS; VICTORIA-LAND; FLOW; PENINSULA; DYNAMICS</t>
  </si>
  <si>
    <t>We use updated drainage inventory, ice thickness, and ice velocity data to calculate the grounding line ice discharge of 176 basins draining the Antarctic Ice Sheet from 1979 to 2017. We compare the results with a surface mass balance model to deduce the ice sheet mass balance. The total mass loss increased from 40 +/- 9 Gt/y in 1979-1990 to 50 +/- 14 Gt/y in 1989-2000, 166 +/- 18 Gt/y in 1999-2009, and 252 +/- 26 Gt/y in 2009-2017. In 2009-2017, the mass loss was dominated by the Amundsen/Bellingshausen Sea sectors, in West Antarctica (159 +/- 8 Gt/y), Wilkes Land, in East Antarctica (51 +/- 13 Gt/y), and West and Northeast Peninsula (42 +/- 5 Gt/y). The contribution to sea-level rise from Antarctica averaged 3.6 +/- 0.5 mm per decade with a cumulative 14.0 +/- 2.0 mm since 1979, including 6.9 +/- 0.6 mm from West Antarctica, 4.4 +/- 0.9 mm from East Antarctica, and 2.5 +/- 0.4 mm from the Peninsula (i.e., East Antarctica is a major participant in the mass loss). During the entire period, the mass loss concentrated in areas closest to warm, salty, subsurface, circumpolar deep water (CDW), that is, consistent with enhanced polar westerlies pushing CDW toward Antarctica to melt its floating ice shelves, destabilize the glaciers, and raise sea level.</t>
  </si>
  <si>
    <t>[Rignot, Eric; Mouginot, Jeremie; Scheuchl, Bernd; Morlighem, Mathieu] Univ Calif Irvine, Dept Earth Syst Sci, Irvine, CA 92697 USA; [Rignot, Eric] CALTECH, Jet Prop Lab, 4800 Oak Grove Dr, Pasadena, CA 91109 USA; [Mouginot, Jeremie] Univ Grenoble Alpes, CNRS, Inst Geosci Environm, F-38058 Grenoble, France; [van den Broeke, Michiel; van Wessem, Melchior J.] Univ Utrecht, Inst Marine &amp; Atmospher Res Utrecht, NL-3508 TA Utrecht, Netherlands</t>
  </si>
  <si>
    <t>University of California System; University of California Irvine; National Aeronautics &amp; Space Administration (NASA); NASA Jet Propulsion Laboratory (JPL); California Institute of Technology; Communaute Universite Grenoble Alpes; Universite Grenoble Alpes (UGA); Centre National de la Recherche Scientifique (CNRS); Utrecht University</t>
  </si>
  <si>
    <t>Rignot, E (corresponding author), Univ Calif Irvine, Dept Earth Syst Sci, Irvine, CA 92697 USA.;Rignot, E (corresponding author), CALTECH, Jet Prop Lab, 4800 Oak Grove Dr, Pasadena, CA 91109 USA.</t>
  </si>
  <si>
    <t>erignot@uci.edu</t>
  </si>
  <si>
    <t>Mouginot, Jeremie/G-7045-2015; Morlighem, Mathieu/O-9942-2014; Van den Broeke, Michiel R./F-7867-2011; Rignot, Eric/A-4560-2014</t>
  </si>
  <si>
    <t>Mouginot, Jeremie/0000-0001-9155-5455; Morlighem, Mathieu/0000-0001-5219-1310; Van den Broeke, Michiel R./0000-0003-4662-7565; Rignot, Eric/0000-0002-3366-0481; van Wessem, Melchior/0000-0003-3221-791X; Scheuchl, Bernd/0000-0001-5947-7709</t>
  </si>
  <si>
    <t>National Aeronautics and Space Administration [NNX13AI84A]; Netherlands Organization for Scientific Research; Netherlands Earth System Science Centre</t>
  </si>
  <si>
    <t>National Aeronautics and Space Administration(National Aeronautics &amp; Space Administration (NASA)); Netherlands Organization for Scientific Research(Netherlands Organization for Scientific Research (NWO)); Netherlands Earth System Science Centre</t>
  </si>
  <si>
    <t>We thank the Polar Space Task Group, European Space Agency, Canadian Space Agency, and Japan Aerospace Exploration Agency from the Synthetic Aperture Radar data and German Aerospace Center/Airbus for the TDX DEM used in this study. This work was performed at the University of California Irvine and at California Institute of Technology's Jet Propulsion Laboratory under a contract with the National Aeronautics and Space Administration Cryosphere Science (NNX13AI84A) and MEaSUREs (NNX13AI84A) program. M.v.d.B. acknowledges funding from the Polar Program of The Netherlands Organization for Scientific Research and The Netherlands Earth System Science Centre.</t>
  </si>
  <si>
    <t>10.1073/pnas.1812883116</t>
  </si>
  <si>
    <t>HI3GN</t>
  </si>
  <si>
    <t>WOS:000456336100007</t>
  </si>
  <si>
    <t>Beaumet, J; Krinner, G; Déqué, M; Haarsma, R; Li, L</t>
  </si>
  <si>
    <t>Beaumet, Julien; Krinner, Gerhard; Deque, Michel; Haarsma, Rein; Li, Laurent</t>
  </si>
  <si>
    <t>Assessing bias corrections of oceanic surface conditions for atmospheric models</t>
  </si>
  <si>
    <t>SEA-ICE; MASS-BALANCE; ANTARCTIC CLIMATE; CMIP5; TEMPERATURE; DISTRIBUTIONS; SIMULATIONS</t>
  </si>
  <si>
    <t>Future sea surface temperature and sea-ice concentration from coupled ocean-atmosphere general circulation models such as those from the CMIP5 experiment are often used as boundary forcings for the downscaling of future climate experiments. Yet, these models show some considerable biases when compared to the observations over present climate. In this paper, existing methods such as an absolute anomaly method and a quantile-quantile method for sea surface temperature (SST) as well as a look-up table and a relative anomaly method for sea-ice concentration (SIC) are presented. For SIC, we also propose a new analogue method. Each method is objectively evaluated with a perfect model test using CMIP5 model experiments and some real-case applications using observations. We find that with respect to other previously existing methods, the analogue method is a substantial improvement for the bias correction of future SIC. Consistency between the constructed SST and SIC fields is an important constraint to consider, as is consistency between the prescribed sea-ice concentration and thickness; we show that the latter can be ensured by using a simple parameterisation of sea-ice thickness as a function of instantaneous and annual minimum SIC.</t>
  </si>
  <si>
    <t>[Beaumet, Julien; Krinner, Gerhard] Univ Grenoble Alpes, CNRS, IRD, Inst Geosci Environm, F-38000 Grenoble, France; [Deque, Michel] Univ Toulouse, CNRS, CNRM, Meteo France, Toulouse, France; [Haarsma, Rein] Royal Netherlands Meteorol Inst KNMI, De Bilt, Netherlands; [Li, Laurent] Sorbonne Univ, CNRS, Lab Meteorol Dynam, Paris, France</t>
  </si>
  <si>
    <t>Institut de Recherche pour le Developpement (IRD); Centre National de la Recherche Scientifique (CNRS); Communaute Universite Grenoble Alpes; Universite Grenoble Alpes (UGA); Centre National de la Recherche Scientifique (CNRS); Royal Netherlands Meteorological Institute; Sorbonne Universite; Centre National de la Recherche Scientifique (CNRS)</t>
  </si>
  <si>
    <t>Beaumet, J (corresponding author), Univ Grenoble Alpes, CNRS, IRD, Inst Geosci Environm, F-38000 Grenoble, France.</t>
  </si>
  <si>
    <t>julien.beaumet@univ-grenoble-alpes.fr</t>
  </si>
  <si>
    <t>Li, Laurent/X-3278-2019; Krinner, Gerhard/AAB-8837-2022; Haarsma, Reindert J/D-1803-2013; Krinner, Gerhard/A-6450-2011</t>
  </si>
  <si>
    <t>Li, Laurent/0000-0002-3855-3976; Krinner, Gerhard/0000-0002-2959-5920; Haarsma, Rein/0000-0001-7171-2687</t>
  </si>
  <si>
    <t>Agence Nationale de la Recherche [ANR-14-CE01-0001-01, ANR-15-CE01-0003]; PRIMAVERA project in the European Commission's Horizon 2020 research programme [641727]; Agence Nationale de la Recherche (ANR) [ANR-15-CE01-0003] Funding Source: Agence Nationale de la Recherche (ANR)</t>
  </si>
  <si>
    <t>Agence Nationale de la Recherche(Agence Nationale de la Recherche (ANR)); PRIMAVERA project in the European Commission's Horizon 2020 research programme; Agence Nationale de la Recherche (ANR)(Agence Nationale de la Recherche (ANR))</t>
  </si>
  <si>
    <t>This study was funded by the Agence Nationale de la Recherche through contracts ANR-14-CE01-0001-01 (ASUMA) and ANR-15-CE01-0003 (APRES3). We acknowledge the World Climate Research Programme's Working Group on Coupled Modelling, which is responsible for CMIP, and we thank the climate modelling groups participating in CMIP5 for producing and making available their model output. For CMIP the U.S. Department of Energy's Program for Climate Model Diagnosis and Intercomparison provides coordinating support and led the development of software infrastructure in partnership with the Global Organization for Earth System Science Portals. Rein Haarsma was funded through the PRIMAVERA project under grant agreement 641727 in the European Commission's Horizon 2020 research programme. We thank Florian Gallo and two anonymous referees for constructive comments aiming to improve the quality of this paper.</t>
  </si>
  <si>
    <t>JAN 21</t>
  </si>
  <si>
    <t>10.5194/gmd-12-321-2019</t>
  </si>
  <si>
    <t>HI2UT</t>
  </si>
  <si>
    <t>WOS:000456302000001</t>
  </si>
  <si>
    <t>Siemon, T; Steinhauer, S; Christmann, M</t>
  </si>
  <si>
    <t>Siemon, Thomas; Steinhauer, Simon; Christmann, Mathias</t>
  </si>
  <si>
    <t>Synthesis of (+)-Darwinolide, a Biofilm-Penetrating Anti-MRSA Agent</t>
  </si>
  <si>
    <t>ANGEWANDTE CHEMIE-INTERNATIONAL EDITION</t>
  </si>
  <si>
    <t>antibiotics; darwinolide; marine natural products; terpenoids; total synthesis</t>
  </si>
  <si>
    <t>ENANTIOSELECTIVE TOTAL-SYNTHESIS; CLAISEN REARRANGEMENT; ASYMMETRIC ACYLATION; ALCOHOLS; ARYL; CONVERSION; OXIDATION; BACTERIAL; CLEAVAGE</t>
  </si>
  <si>
    <t>Darwinolide, a recently identified marine natural product from the Antarctic sponge Dendrilla membranosa, was previously shown to exhibit promising activity against the biofilm phase of methicillin-resistant Staphylococcus aureus. Its challenging tetracyclic rearranged spongian diterpenoid structure links a trimethylcyclohexyl subunit to a seven-membered core with two fused tetrahydrofuran units. Herein, we describe the first synthesis of (+)-darwinolide, which features a convergent aldol fragment coupling, an Ireland-Claisen rearrangement, and an organocatalytic desymmetrization as the key steps. Our results provide a foundation for the development of novel antibiofilm-specific antibiotics.</t>
  </si>
  <si>
    <t>[Siemon, Thomas; Steinhauer, Simon; Christmann, Mathias] Free Univ Berlin, Inst Chem &amp; Biochem, Takustr 3, D-14195 Berlin, Germany</t>
  </si>
  <si>
    <t>Free University of Berlin</t>
  </si>
  <si>
    <t>Christmann, M (corresponding author), Free Univ Berlin, Inst Chem &amp; Biochem, Takustr 3, D-14195 Berlin, Germany.</t>
  </si>
  <si>
    <t>mathias.christmann@fu-berlin.de</t>
  </si>
  <si>
    <t>Christmann, Mathias/C-9648-2010</t>
  </si>
  <si>
    <t>Christmann, Mathias/0000-0001-9313-2392</t>
  </si>
  <si>
    <t>WILEY-V C H VERLAG GMBH</t>
  </si>
  <si>
    <t>WEINHEIM</t>
  </si>
  <si>
    <t>POSTFACH 101161, 69451 WEINHEIM, GERMANY</t>
  </si>
  <si>
    <t>1433-7851</t>
  </si>
  <si>
    <t>1521-3773</t>
  </si>
  <si>
    <t>ANGEW CHEM INT EDIT</t>
  </si>
  <si>
    <t>Angew. Chem.-Int. Edit.</t>
  </si>
  <si>
    <t>10.1002/anie.201813142</t>
  </si>
  <si>
    <t>Science Citation Index Expanded (SCI-EXPANDED); Index Chemicus (IC); Current Chemical Reactions (CCR-EXPANDED)</t>
  </si>
  <si>
    <t>HI2FI</t>
  </si>
  <si>
    <t>WOS:000456260200028</t>
  </si>
  <si>
    <t>Stokstad, E</t>
  </si>
  <si>
    <t>Stokstad, Erik</t>
  </si>
  <si>
    <t>Flotilla launches large survey of Antarctic krill</t>
  </si>
  <si>
    <t>JAN 18</t>
  </si>
  <si>
    <t>10.1126/science.363.6424.217</t>
  </si>
  <si>
    <t>HI0OJ</t>
  </si>
  <si>
    <t>WOS:000456140700008</t>
  </si>
  <si>
    <t>Etourneau, J; Sgubin, G; Crosta, X; Swingedouw, D; Willmott, V; Barbara, L; Houssais, MN; Schouten, S; Damsté, JSS; Goosse, H; Escutia, C; Crespin, J; Massé, G; Kim, JH</t>
  </si>
  <si>
    <t>Etourneau, Johan; Sgubin, Giovanni; Crosta, Xavier; Swingedouw, Didier; Willmott, Veronica; Barbara, Loic; Houssais, Marie-Noelle; Schouten, Stefan; Damste, Jaap S. Sinninghe; Goosse, Hugues; Escutia, Carlota; Crespin, Julien; Masse, Guillaume; Kim, Jung-Hyun</t>
  </si>
  <si>
    <t>Ocean temperature impact on ice shelf extent in the eastern Antarctic Peninsula</t>
  </si>
  <si>
    <t>HOLOCENE CLIMATE; SOUTHERN-OCEAN; HISTORY; TEX86; DRIVEN; WEST; MELT; 20TH-CENTURY; INTENSITY; SEDIMENTS</t>
  </si>
  <si>
    <t>The recent thinning and retreat of Antarctic ice shelves has been attributed to both atmosphere and ocean warming. However, the lack of continuous, multi-year direct observations as well as limitations of climate and ice shelf models prevent a precise assessment on how the ocean forcing affects the fluctuations of a grounded and floating ice cap. Here we show that a +0.3-1.5 degrees C increase in subsurface ocean temperature (50-400 m) in the northeastern Antarctic Peninsula has driven to major collapse and recession of the regional ice shelf during both the instrumental period and the last 9000 years. Our projections following the representative concentration pathway 8.5 emission scenario from the Fifth Assessment Report of the Intergovernmental Panel on Climate Change reveal a +0.3 degrees C subsurface ocean temperature warming within the coming decades that will undoubtedly accelerate ice shelf melting, including the southernmost sector of the eastern Antarctic Peninsula.</t>
  </si>
  <si>
    <t>[Etourneau, Johan; Sgubin, Giovanni; Crosta, Xavier; Swingedouw, Didier; Crespin, Julien] Univ Granada, CSIC, Inst Andaluz Ciencias Tierra, Armilla 18100, Granada, Spain; [Etourneau, Johan; Escutia, Carlota] Univ Bordeaux, EPHE CNRS, UMR 5805 EPOC, F-33615 Pessac, France; [Willmott, Veronica; Schouten, Stefan; Damste, Jaap S. Sinninghe; Kim, Jung-Hyun] Univ Utrecht, NIOZ Royal Netherlands Inst Sea Res, NL-1790 Texel, Netherlands; [Willmott, Veronica] Alfred Wegener Inst, Int Cooperat Unit, D-27570 Bremerhaven, Germany; [Barbara, Loic] Univ Autonoma Baja California, Inst Invest Oceanol, Ensenada 22860, Baja California, Mexico; [Houssais, Marie-Noelle] Univ Paris 06, CNRS UPMC MHNH IRD, UMR 7159 LOCEAN, F-75252 Paris, France; [Schouten, Stefan; Damste, Jaap S. Sinninghe] Univ Utrecht, Fac Geosci, NL-3584 Utrecht, Netherlands; [Goosse, Hugues] Univ Louvain, Earth &amp; Life Inst, B-1348 Louvain La Neuve, Belgium; [Masse, Guillaume] Univ Laval, UMI CNRS Takuvik, Quebec City, PQ G1V 0A6, Canada; [Kim, Jung-Hyun] Korea Polar Res Inst, Incheon 21990, South Korea</t>
  </si>
  <si>
    <t>Consejo Superior de Investigaciones Cientificas (CSIC); CSIC - Instituto Andaluz de Ciencias de la Tierra (IACT); University of Granada; Universite de Bordeaux; Utrecht University; Royal Netherlands Institute for Sea Research (NIOZ); Helmholtz Association; Alfred Wegener Institute, Helmholtz Centre for Polar &amp; Marine Research; Universidad Autonoma de Baja California; Sorbonne Universite; Utrecht University; Universite Catholique Louvain; Laval University; Korea Polar Research Institute (KOPRI)</t>
  </si>
  <si>
    <t>Etourneau, J (corresponding author), Univ Granada, CSIC, Inst Andaluz Ciencias Tierra, Armilla 18100, Granada, Spain.;Etourneau, J (corresponding author), Univ Bordeaux, EPHE CNRS, UMR 5805 EPOC, F-33615 Pessac, France.</t>
  </si>
  <si>
    <t>johan.etourneau@iact.ugr-csic.es</t>
  </si>
  <si>
    <t>Swingedouw, Didier/D-1408-2010; Barbara, Loic JB/D-2607-2013; Damste, Jaap S Sinninghe/F-6128-2011; Willmott Puig, Veronica/AGN-3478-2022; Escutia, Carlota/B-8614-2015</t>
  </si>
  <si>
    <t>Swingedouw, Didier/0000-0002-0583-0850; Willmott Puig, Veronica/0000-0002-6552-8901; Escutia, Carlota/0000-0002-4932-8619; Barbara, Loic/0000-0003-1519-5835</t>
  </si>
  <si>
    <t>Spanish Ministerio de Economia y Competitividad [CTM2014-60451-C2-1-P]; European Union through FEDER funds; Korea Polar Research Institute (KOPRI) [NRF-2015M1A5A1037243, PE19010]; Netherlands Earth System Science Center - Dutch Ministry of Education and Science (OCW); EMBRACE project (European Union's FP7) [282672]; French ANR CLIMICE; ERC ICEPROXY [203441]; ESF PolarClimate; HOLOCLIP 625; FP7 Past4Future; Netherlands Organisation of Scientific Research (NWO) through a VICI grant; European Union [243908]</t>
  </si>
  <si>
    <t>Spanish Ministerio de Economia y Competitividad(Spanish Government); European Union through FEDER funds(European Union (EU)Marie Curie Actions); Korea Polar Research Institute (KOPRI)(Korea Polar Research Institute of Marine Research Placement (KOPRI)); Netherlands Earth System Science Center - Dutch Ministry of Education and Science (OCW); EMBRACE project (European Union's FP7); French ANR CLIMICE(Agence Nationale de la Recherche (ANR)); ERC ICEPROXY(European Research Council (ERC)); ESF PolarClimate; HOLOCLIP 625; FP7 Past4Future; Netherlands Organisation of Scientific Research (NWO) through a VICI grant(Netherlands Organization for Scientific Research (NWO)); European Union(European Union (EU))</t>
  </si>
  <si>
    <t>J.E. and C.E. are financially supported by the Spanish Ministerio de Economia y Competitividad (CTM2014-60451-C2-1-P) co-funded by the European Union through FEDER funds. J.-H.K. was supported by the grants funded by the Korea Polar Research Institute (KOPRI, NRF-2015M1A5A1037243 and PE19010). S.S. and J.S.S.D. are supported by the Netherlands Earth System Science Center funded by the Dutch Ministry of Education and Science (OCW). G.S. and D.S. were funded by the EMBRACE project (European Union's FP7, Grant Number: 282672). We also acknowledge funding from the French ANR CLIMICE, ERC ICEPROXY 203441, ESF PolarClimate, HOLOCLIP 625 and FP7 Past4Future as well as the Netherlands Organisation of Scientific Research (NWO) through a VICI grant to S. S. The HOLOCLIP Project, a joint research project of ESF PolarCLIMATE programme, is funded by national contributions from Italy, France, Germany, Spain, Netherlands, Belgium and the United Kingdom. The research leading to these results has also received support from the European Union's Seventh Framework programme (FP7/2007-2013) under Grant Agreement No. 243908, Past4Future, Climate change - Learning from the past climate. This is HOLOCLIP Contribution No. 32. We also thank J. Giraudeau for his constructive suggestions on the manuscript.</t>
  </si>
  <si>
    <t>10.1038/s41467-018-08195-6</t>
  </si>
  <si>
    <t>HH8VF</t>
  </si>
  <si>
    <t>WOS:000456010800001</t>
  </si>
  <si>
    <t>Labrousse, S; Orgeret, F; Solow, AR; Barbraud, C; Bost, CA; Sallée, JB; Weimerskirch, H; Jenouvrier, S</t>
  </si>
  <si>
    <t>Labrousse, Sara; Orgeret, Florian; Solow, Andrew R.; Barbraud, Christophe; Bost, Charles A.; Sallee, Jean-Baptiste; Weimerskirch, Henri; Jenouvrier, Stephanie</t>
  </si>
  <si>
    <t>First odyssey beneath the sea ice of juvenile emperor penguins in East Antarctica</t>
  </si>
  <si>
    <t>Emperor penguins; Aptenodytes forsteri; Juvenile behavior; Foraging ecology; Sea ice; Antarctic ecology; Oceanographic conditions; Thermocline; Diving behavior</t>
  </si>
  <si>
    <t>SOUTHERN ELEPHANT SEALS; WEDDELL SEALS; KING PENGUINS; DIVING BEHAVIOR; POINTE GEOLOGIE; PACK-ICE; FORAGING BEHAVIOR; FINITE MIXTURES; CLIMATE-CHANGE; SHELF WATERS</t>
  </si>
  <si>
    <t>Adult emperor penguins Aptenodytes forsteri breed on fast ice and forage within sea ice in winter. However, it remains unknown whether juveniles exhibit similar foraging behavior during their early life at-sea movements, and how it links with the oceanographic conditions. We investigated the first at-sea odyssey of 15 juvenile emperor penguins from Terre Adelie in 2013-2014. The average tracking duration was 167 +/- 110 d SD (range 86-344 d). After departing the colony in December/January, the juveniles traveled north up to 53.76 degrees S before heading south in April/May to forage within the sea ice. The juveniles spent 49 +/- 14 % of their total recorded trips (n = 12) in the sea ice, over both the continental slope and deep ocean regions. The penguins dived primarily during daylight. Within sea ice, the juveniles performed both shallow and deep dives, with the proportion of each varying seasonally. The switch to primarily deep dives in the autumn and winter within sea ice may be a consequence of (1) a seasonal change in the krill distribution from surface to deep waters and/or (2) the presence of macrozooplankton at depth due to a reduced/absent diel migration. Furthermore, we showed for the first time that the diving behavior of juveniles was associated with the mixed layer depth. We suggest they feed on mesopelagic prey aggregating near the thermocline. This study provides insight into an important, but poorly understood, part of the emperor penguin life cycle, essential to predict their response to future climate change.</t>
  </si>
  <si>
    <t>[Labrousse, Sara; Solow, Andrew R.; Jenouvrier, Stephanie] Woods Hole Oceanog Inst, Biol Dept MS 34, Woods Hole, MA 02543 USA; [Labrousse, Sara; Orgeret, Florian; Barbraud, Christophe; Bost, Charles A.; Weimerskirch, Henri; Jenouvrier, Stephanie] Univ Rochelle, CNRS, CEBC, UMR 7372, F-79360 Villiers En Bois, France; [Sallee, Jean-Baptiste] UPMC Univ, Sorbonne Univ, CNRS, IRD,MNHN,LOCEAN,IPSL,Paris 06,UMR 7159, F-75005 Paris, France</t>
  </si>
  <si>
    <t>Woods Hole Oceanographic Institution; Centre National de la Recherche Scientifique (CNRS); CNRS - Institute of Ecology &amp; Environment (INEE); Centre National de la Recherche Scientifique (CNRS); CNRS - National Institute for Earth Sciences &amp; Astronomy (INSU); Universite Paris Cite; Sorbonne Universite; Institut de Recherche pour le Developpement (IRD); Museum National d'Histoire Naturelle (MNHN)</t>
  </si>
  <si>
    <t>Labrousse, S (corresponding author), Woods Hole Oceanog Inst, Biol Dept MS 34, Woods Hole, MA 02543 USA.;Labrousse, S (corresponding author), Univ Rochelle, CNRS, CEBC, UMR 7372, F-79360 Villiers En Bois, France.</t>
  </si>
  <si>
    <t>sara.labrousse@gmail.com</t>
  </si>
  <si>
    <t>Barbraud, Christophe/A-5870-2012; SALLEE, Jean baptiste/HDO-5355-2022; Weimerskirch, Henri/F-5562-2013; SALLEE, Jean baptiste/A-5837-2010</t>
  </si>
  <si>
    <t>Barbraud, Christophe/0000-0003-0146-212X; SALLEE, Jean baptiste/0000-0002-6109-5176; Labrousse, Sara/0000-0002-8099-3254</t>
  </si>
  <si>
    <t>French Polar Institute (Institut Paul Emile Victor, IPEV) research project IPEV [394, 109]; Program EARLYLIFE - European Research Council Advanced Grant under the European Community's Seventh Framework [FP7/2007-2013/ERC-2012-ADG_20120314]; NSF [1643901]; Woods Hole Oceanographic Institution; Directorate For Geosciences; Office of Polar Programs (OPP) [1643901] Funding Source: National Science Foundation</t>
  </si>
  <si>
    <t>French Polar Institute (Institut Paul Emile Victor, IPEV) research project IPEV; Program EARLYLIFE - European Research Council Advanced Grant under the European Community's Seventh Framework; NSF(National Science Foundation (NSF)); Woods Hole Oceanographic Institution; Directorate For Geosciences; Office of Polar Programs (OPP)(National Science Foundation (NSF)NSF - Directorate for Geosciences (GEO))</t>
  </si>
  <si>
    <t>This study was supported financially and logistically by the French Polar Institute (Institut Paul Emile Victor, IPEV) research project IPEV nos. 394 (primary investigator: C.A.B.) and 109 (primary investigator: H.W.), the Program EARLYLIFE funded by a European Research Council Advanced Grant under the European Community's Seventh Framework (grant agreement FP7/2007-2013/ERC-2012-ADG_20120314 to H.W.) and a postdoctoral scholar award from Woods Hole Oceanographic Institution. S.J. acknowledges support from NSF award no. 1643901 for the PICA project. Special thanks go to M. Sumner for the R functions and packages developed and used in this study; to J.B. Thiebot for his previous work on juveniles; to C. Sauser, P. Blevin and D. Filippi for help in the deployment of SPLASH tags; to D. Iles for proofreading; and to all colleagues and volunteers involved in the research on emperor penguins in Terre Adelie. All animals in this study were treated in accordance with the IPEV ethical and Polar Environment Committees guidelines.</t>
  </si>
  <si>
    <t>JAN 17</t>
  </si>
  <si>
    <t>10.3354/meps12831</t>
  </si>
  <si>
    <t>HI1LQ</t>
  </si>
  <si>
    <t>WOS:000456207300001</t>
  </si>
  <si>
    <t>Morgan, EA; Hassall, C; Redfern, CPF; Bevan, RM; Hamer, KC</t>
  </si>
  <si>
    <t>Morgan, Elizabeth A.; Hassall, Christopher; Redfern, Chris P. F.; Bevan, Richard M.; Hamer, Keith C.</t>
  </si>
  <si>
    <t>Individuality of foraging behaviour in a short-ranging benthic marine predator: incidence and implications</t>
  </si>
  <si>
    <t>Individual foraging site fidelity; Individual difference; GPS tracking; Site familiarity; European shag; Phalacrocorax aristotelis; Benthic predator; Diving behaviour</t>
  </si>
  <si>
    <t>SHAG PHALACROCORAX-ARISTOTELIS; SITE FIDELITY; EUROPEAN SHAG; BODY CONDITION; GPS TRACKING; SPECIALIZATION; CONSISTENCY; SEABIRDS; REPEATABILITY; CONSEQUENCES</t>
  </si>
  <si>
    <t>Individual foraging site fidelity (IFSF) has been documented in a wide range of species, but few studies have examined the incidence or implications of variation among individuals in levels of fidelity, especially among short-ranging species where costs of travel place fewer constraints on exploring alternative foraging sites. Using combined GPS and dive data for 560 trips by 70 birds, we quantified the repeatability of foraging behaviour including IFSF in a short-ranging, mainly benthic predator, the European shag Phalacrocorax aristotelis, across 3 consecutive breeding seasons at a colony in NE England. There was significant repeatability in a wide range of foraging trip parameters, with highest consistency in those related to foraging location and maximum dive depth, and lowest consistency in those related to trip duration and time spent in different activities. Birds also had high IFSF overall but there was marked variation among individuals in this respect: some were highly consistent in the locations visited over multiple years whereas others frequently changed their foraging locations between successive trips. IFSF was typically higher from one year to the next than within a single year, with most birds retaining similar levels of consistency from year to year. Females with higher IFSF during chick-rearing were in better condition than birds with lower consistency and had earlier hatching dates. These data strongly suggest IFSF may be beneficial even in short-ranging species, at least in benthic feeders where prior knowledge and experience of particular habitat patches and associated prey capture techniques may be advantageous.</t>
  </si>
  <si>
    <t>[Morgan, Elizabeth A.; Hassall, Christopher; Hamer, Keith C.] Univ Leeds, Sch Biol, Fac Biol Sci, Irene Manton Bldg, Leeds LS2 9JT, W Yorkshire, England; [Redfern, Chris P. F.; Bevan, Richard M.] Newcastle Univ, Sch Biol, Newcastle Upon Tyne NE2 4HH, Tyne &amp; Wear, England; [Morgan, Elizabeth A.] British Antarctic Survey, Madingley Rd, Cambridge CB3 0ET, England</t>
  </si>
  <si>
    <t>University of Leeds; Newcastle University - UK; UK Research &amp; Innovation (UKRI); Natural Environment Research Council (NERC); NERC British Antarctic Survey</t>
  </si>
  <si>
    <t>Morgan, EA (corresponding author), Univ Leeds, Sch Biol, Fac Biol Sci, Irene Manton Bldg, Leeds LS2 9JT, W Yorkshire, England.;Morgan, EA (corresponding author), British Antarctic Survey, Madingley Rd, Cambridge CB3 0ET, England.</t>
  </si>
  <si>
    <t>elalmo@hotmail.com</t>
  </si>
  <si>
    <t>Hassall, Christopher/H-2469-2013</t>
  </si>
  <si>
    <t>Hassall, Christopher/0000-0002-3510-0728; Redfern, Christopher/0000-0002-1833-8048</t>
  </si>
  <si>
    <t>Natural Environment Research Council; Natural Environment Research Council [1368251] Funding Source: researchfish</t>
  </si>
  <si>
    <t>Natural Environment Research Council(UK Research &amp; Innovation (UKRI)Natural Environment Research Council (NERC)); Natural Environment Research Council(UK Research &amp; Innovation (UKRI)Natural Environment Research Council (NERC))</t>
  </si>
  <si>
    <t>We thank the National Trust for permission to conduct this study; David Steel for logistical support, assistance and advice; William Sheil and boat crew for transport; and the National trust rangers, especially Laura Shearer, Tom Hibbert and Jen Clark, for help in the field. This work was funded by the Natural Environment Research Council. Birds were ringed and loggers deployed with permits and ethical approval from the British Trust for Ornithology and Natural England. Telemetry data are available free of charge through the BirdLife International Seabird Tracking Database (www.seabirdtracking.org).</t>
  </si>
  <si>
    <t>10.3354/meps12819</t>
  </si>
  <si>
    <t>WOS:000456207300015</t>
  </si>
  <si>
    <t>Cleeland, JB; Alderman, R; Bindoff, A; Lea, MA; McMahon, CR; Phillips, RA; Raymond, B; Sumner, MD; Terauds, A; Wotherspoon, SJ; Hindell, MA</t>
  </si>
  <si>
    <t>Cleeland, Jaimie B.; Alderman, Rachael; Bindoff, Aidan; Lea, Mary-Anne; McMahon, Clive R.; Phillips, Richard A.; Raymond, Ben; Sumner, Michael D.; Terauds, Aleks; Wotherspoon, Simon J.; Hindell, Mark A.</t>
  </si>
  <si>
    <t>Factors influencing the habitat use of sympatric albatrosses from Macquarie Island, Australia</t>
  </si>
  <si>
    <t>Environmental models; Foraging ecology; Habitat overlap; Macquarie Island; Residence time; Seabirds; Southern Ocean; Tracking</t>
  </si>
  <si>
    <t>SOUTHERN BULLERS ALBATROSSES; WANDERING ALBATROSSES; FORAGING STRATEGIES; SATELLITE TRACKING; PROVISIONING STRATEGIES; ROUND DISTRIBUTION; ACTIVITY PATTERNS; OCEAN ECOSYSTEMS; MARINE PREDATOR; CLIMATE-CHANGE</t>
  </si>
  <si>
    <t>Differences in habitat use of sympatric species are influenced by variability in functional morphology and life history trade-offs and are expected to shape species resilience to environmental change. To determine differences in year-round habitat use and gain insight into how morphological and life history traits influence foraging of an albatross community from subantarctic Macquarie Island, Australia (54.6 degrees S, 158.9 degrees E), we quantified the physical features associated with high residence time for 10 black-browed Thalassarche melanophris; 10 grey-headed T. chrysostoma; 15 light-mantled Phoebetria palpebrata; and 12 wandering albatrosses Diomedea exulans tracked in 1994-2009. Overlap among the 4 species was greatest close to the island during the breeding season, extending north into the Tasman Sea. Nevertheless, black-browed albatrosses ranged more locally than the other species, perhaps because they have a shorter breeding cycle and morphological traits that result in less efficient flight and greater capacity to outcompete other species for prey. Nonbreeding albatrosses showed high variability in habitat use across wide ocean expanses, but all used productive frontal regions and mesoscale eddies. Increased residence times during the breeding and nonbreeding periods were associated with moderate wind speeds for all species (excluding breeding black-browed albatrosses), indicating that birds used areas where aerodynamic performance was enhanced. Given patterns in residence time at sea, and the functional and life history adaptations of each species, we suggest that black-browed albatrosses breeding on Macquarie Island will be more vulnerable to expected future climate-driven changes to wind patterns in the Southern Ocean, and potential latitudinal shifts in the Subantarctic Front.</t>
  </si>
  <si>
    <t>[Cleeland, Jaimie B.; Bindoff, Aidan; Lea, Mary-Anne; McMahon, Clive R.; Raymond, Ben; Wotherspoon, Simon J.; Hindell, Mark A.] Univ Tasmania, Inst Marine &amp; Antarctic Studies, Hobart, Tas 7004, Australia; [Alderman, Rachael] Dept Primary Ind Pk Water &amp; Environm, Hobart, Tas 7000, Australia; [Lea, Mary-Anne; Raymond, Ben; Hindell, Mark A.] Antarctic Climate &amp; Ecosyst CRC, Hobart, Tas 7001, Australia; [McMahon, Clive R.] Sydney Inst Marine Sci, Mosman, NSW 2088, Australia; [Phillips, Richard A.] British Antarctic Survey, Nat Environm Res Council, Cambridge CB3 0ET, England; [Raymond, Ben; Sumner, Michael D.; Terauds, Aleks; Wotherspoon, Simon J.] Australian Antarctic Div, Kingston, Tas 7050, Australia</t>
  </si>
  <si>
    <t>University of Tasmania; University of Tasmania; Sydney Institute of Marine Science; UK Research &amp; Innovation (UKRI); Natural Environment Research Council (NERC); NERC British Antarctic Survey; Australian Antarctic Division</t>
  </si>
  <si>
    <t>Cleeland, JB (corresponding author), Univ Tasmania, Inst Marine &amp; Antarctic Studies, Hobart, Tas 7004, Australia.</t>
  </si>
  <si>
    <t>jaimie.cleeland@gmail.com</t>
  </si>
  <si>
    <t>Sumner, Michael D/J-3478-2013; Hindell, Mark A/K-1131-2013; McMahon, Clive R/D-5713-2013; Wotherspoon, Simon J/B-2390-2013; Terauds, Aleks/A-4991-2010; Lea, Mary-Anne/E-9054-2013</t>
  </si>
  <si>
    <t>McMahon, Clive R/0000-0001-5241-8917; Wotherspoon, Simon J/0000-0002-6947-4445; Lea, Mary-Anne/0000-0001-8318-9299; Bindoff, Aidan/0000-0002-0943-2702; Sumner, Michael/0000-0002-2471-7511; Terauds, Aleks/0000-0001-7804-6648; Cleeland, Jaimie/0000-0003-2196-3968; Hindell, Mark/0000-0002-7823-7185</t>
  </si>
  <si>
    <t>NERC [bas0100035] Funding Source: UKRI</t>
  </si>
  <si>
    <t>10.3354/meps12811</t>
  </si>
  <si>
    <t>WOS:000456207300016</t>
  </si>
  <si>
    <t>Blasco, J; Tabone, I; Alvarez-Solas, J; Robinson, A; Montoya, M</t>
  </si>
  <si>
    <t>Blasco, Javier; Tabone, Ilaria; Alvarez-Solas, Jorge; Robinson, Alexander; Montoya, Marisa</t>
  </si>
  <si>
    <t>The Antarctic Ice Sheet response to glacial millennial-scale variability</t>
  </si>
  <si>
    <t>ABRUPT CLIMATE-CHANGE; SEA-LEVEL RISE; NORTH-ATLANTIC; OCEAN CIRCULATION; COUPLED CLIMATE; HEINRICH EVENTS; BIPOLAR SEESAW; SOUTHERN-OCEAN; TEMPERATURE; COLLAPSE</t>
  </si>
  <si>
    <t>The Antarctic Ice Sheet (AIS) is the largest ice sheet on Earth and hence a major potential contributor to future global sea-level rise. A wealth of studies suggest that increasing oceanic temperatures could cause a collapse of its marine-based western sector, the West Antarctic Ice Sheet, through the mechanism of marine ice-sheet instability, leading to a sea-level increase of 3-5 m. Thus, it is crucial to constrain the sensitivity of the AIS to rapid climate changes. The last glacial period is an ideal benchmark period for this purpose as it was punctuated by abrupt Dansgaard-Oeschger events at millennial timescales. Because their center of action was in the North Atlantic, where their climate impacts were largest, modeling studies have mainly focused on the millennial-scale evolution of Northern Hemisphere (NH) paleo ice sheets. Sea-level reconstructions attribute the origin of millennial-scale sea-level variations mainly to NH paleo ice sheets, with a minor but not negligible role of the AIS. Here we investigate the AIS response to millennialscale climate variability for the first time. To this end we use a three-dimensional, thermomechanical hybrid, ice sheet-shelf model. Different oceanic sensitivities are tested and the sea-level equivalent (SLE) contributions computed. We find that whereas atmospheric variability has no appreciable effect on the AIS, changes in submarine melting rates can have a strong impact on it. We show that in contrast to the widespread assumption that the AIS is a slow reactive and static ice sheet that responds at orbital timescales only, it can lead to ice discharges of around 6m SLE, involving substantial grounding line migrations at millennial timescales.</t>
  </si>
  <si>
    <t>[Blasco, Javier; Tabone, Ilaria; Alvarez-Solas, Jorge; Robinson, Alexander; Montoya, Marisa] Univ Complutense Madrid, Fac Ciencias Fis, Dept Fis Tierra &amp; Astrofis, E-28040 Madrid, Spain; [Blasco, Javier; Tabone, Ilaria; Alvarez-Solas, Jorge; Robinson, Alexander; Montoya, Marisa] Univ Complutense Madrid, CSIC, Inst Geociencias, E-28040 Madrid, Spain</t>
  </si>
  <si>
    <t>Complutense University of Madrid; Complutense University of Madrid; Consejo Superior de Investigaciones Cientificas (CSIC); CSIC-UCM - Instituto de Geociencias (IGEO)</t>
  </si>
  <si>
    <t>Blasco, J (corresponding author), Univ Complutense Madrid, Fac Ciencias Fis, Dept Fis Tierra &amp; Astrofis, E-28040 Madrid, Spain.;Blasco, J (corresponding author), Univ Complutense Madrid, CSIC, Inst Geociencias, E-28040 Madrid, Spain.</t>
  </si>
  <si>
    <t>jablasco@ucm.es</t>
  </si>
  <si>
    <t>Blasco, Javier/JAC-4594-2023; Blasco, Javier/CAG-6315-2022</t>
  </si>
  <si>
    <t>Blasco, Javier/0000-0001-5898-5904; Robinson, Alexander/0000-0003-3519-5293; Tabone, Ilaria/0000-0002-2236-1793</t>
  </si>
  <si>
    <t>Spanish Ministry of Science and Innovation [CGL2014-59384-R]; Spanish National Programme for the Promotion of Talent and its Employability [BES-2015-074097]; Spanish Ministry for Science, Innovation and Universities; MECD; MICINN</t>
  </si>
  <si>
    <t>Spanish Ministry of Science and Innovation(Spanish Government); Spanish National Programme for the Promotion of Talent and its Employability; Spanish Ministry for Science, Innovation and Universities(Spanish Government); MECD; MICINN(Spanish Government)</t>
  </si>
  <si>
    <t>We are grateful to Catherine Ritz for providing the original model GRISLI and to Ruben Banderas for helping initially with the model. This work was funded by the Spanish Ministry of Science and Innovation under the project MOCCA (Modelling Abrupt Climate Change, grant no. CGL2014-59384-R). Ilaria Tabone is funded by the Spanish National Programme for the Promotion of Talent and its Employability (grant no. BES-2015-074097). Alexander Robinson is funded by the Ramon y Cajal Programme of the Spanish Ministry for Science, Innovation and Universities. All of these simulations were performed in EOLO, the HPC of Climate Change of the International Campus of Excellence of Moncloa, funded by MECD and MICINN.</t>
  </si>
  <si>
    <t>10.5194/cp-15-121-2019</t>
  </si>
  <si>
    <t>HH9LG</t>
  </si>
  <si>
    <t>WOS:000456059300001</t>
  </si>
  <si>
    <t>Oliver, MJ; Kohut, JT; Bernard, K; Fraser, W; Winsor, P; Statscewich, H; Fredj, E; Cimino, M; Patterson-Fraser, D; Carvalho, F</t>
  </si>
  <si>
    <t>Oliver, Matthew J.; Kohut, Josh T.; Bernard, Kim; Fraser, William; Winsor, Peter; Statscewich, Hank; Fredj, Erick; Cimino, Megan; Patterson-Fraser, Donna; Carvalho, Filipa</t>
  </si>
  <si>
    <t>Central place foragers select ocean surface convergent features despite differing foraging strategies</t>
  </si>
  <si>
    <t>ANTARCTIC KRILL; DIMETHYL SULFIDE; TRANSPORT; PARADIGM; CLIMATE; SEARCH</t>
  </si>
  <si>
    <t>Discovering the predictors of foraging locations can be challenging, and is often the critical missing piece for interpreting the ecological significance of observed movement patterns of predators. This is especially true in dynamic coastal marine systems, where planktonic food resources are diffuse and must be either physically or biologically concentrated to support upper trophic levels. In the Western Antarctic Peninsula, recent climate change has created new foraging sympatry between Adelie (Pygoscelis adeliae) and gentoo (P. papua) penguins in a known biological hotspot near Palmer Deep canyon. We used this recent sympatry as an opportunity to investigate how dynamic local oceanographic features affect aspects of the foraging ecology of these two species. Simulated particle trajectories from measured surface currents were used to investigate the co-occurrence of convergent ocean features and penguin foraging locations. Adelie penguin diving activity was restricted to the upper mixed layer, while gentoo penguins often foraged much deeper than the mixed layer, suggesting that Adelie penguins may be more responsive to dynamic surface convergent features compared to gentoo penguins. We found that, despite large differences in diving and foraging behavior, both shallow-diving Adelie and deeper-diving gentoo penguins strongly selected for surface convergent features. Furthermore, there was no difference in selectivity for shallow-versus deep-diving gentoo penguins. Our results suggest that these two mesopredators are selecting surface convergent features, however, how these surface signals are related to subsurface prey fields is unknown.</t>
  </si>
  <si>
    <t>[Oliver, Matthew J.] Univ Delaware, Coll Earth Ocean &amp; Environm, 700 Pilottown Rd, Lewes, DE 19958 USA; [Kohut, Josh T.] Rutgers State Univ, Dept Marine &amp; Coastal Sci, 71 Dudley Rd, New Brunswick, NJ 08901 USA; [Bernard, Kim] Oregon State Univ, Coll Earth Ocean &amp; Atmospher Sci, 104 CEOAS Admin Bldg, Corvallis, OR 97330 USA; [Fraser, William; Patterson-Fraser, Donna] Polar Oceans Res Grp, POB 368, Sheridan, MT 59749 USA; [Winsor, Peter; Statscewich, Hank] Univ Alaska, Coll Fisheries &amp; Ocean Sci, 905 Koyukuk Dr Suite 245 ONeill Bldg, Fairbanks, AK 99775 USA; [Fredj, Erick] Jerusalem Coll Technol, Dept Comp Sci, 21 Havaad Haleumi St,POB 16031, IL-91160 Jerusalem, Israel; [Cimino, Megan] Univ Calif San Diego, Scripps Inst Oceanog, Coastal Observing R&amp;D Ctr, 9500 Gilman Dr 0214, La Jolla, CA 92093 USA; [Carvalho, Filipa] Natl Oceanog Ctr, European Way, Southampton SO14 3ZH, Hants, England</t>
  </si>
  <si>
    <t>University of Delaware; Rutgers University System; Rutgers University New Brunswick; Oregon State University; University of Alaska System; University of Alaska Fairbanks; University of California System; University of California San Diego; Scripps Institution of Oceanography; University of Southampton; NERC National Oceanography Centre</t>
  </si>
  <si>
    <t>Kohut, JT (corresponding author), Rutgers State Univ, Dept Marine &amp; Coastal Sci, 71 Dudley Rd, New Brunswick, NJ 08901 USA.</t>
  </si>
  <si>
    <t>kohut@marine.rutgers.edu</t>
  </si>
  <si>
    <t>Fredj, Erick/AAR-7369-2021; Bernard, Kim/J-2703-2013; Carvalho, Filipa/B-7223-2017</t>
  </si>
  <si>
    <t>Fredj, Erick/0000-0002-7991-4942; Bernard, Kim/0000-0003-0509-2744; Carvalho, Filipa/0000-0002-8355-4329</t>
  </si>
  <si>
    <t>National Science Foundation [ANT 1327248, OPP-1440435]; NERC [noc010009] Funding Source: UKRI</t>
  </si>
  <si>
    <t>National Science Foundation(National Science Foundation (NSF)); NERC(UK Research &amp; Innovation (UKRI)Natural Environment Research Council (NERC))</t>
  </si>
  <si>
    <t>This project was funded through the National Science Foundation, award #ANT 1327248, with additional support provided by award #OPP-1440435 to WRF. We are grateful to the Antarctic Support Contractor and their teams, both in Denver, CO, aboard the ARSV Laurence M. Gould, and at Palmer Station, without whom a project such as ours would be impossible. We also thank the students and field assistants for their valued involvement in the CONVERGE project. Finally, we thank the Palmer Antarctica Long-Term Ecological Research team, for their advice, suggestions and collaboration.</t>
  </si>
  <si>
    <t>10.1038/s41598-018-35901-7</t>
  </si>
  <si>
    <t>HH7ZS</t>
  </si>
  <si>
    <t>WOS:000455951300005</t>
  </si>
  <si>
    <t>Morley, SA; Barnes, DKA; Dunn, MJ</t>
  </si>
  <si>
    <t>Morley, Simon A.; Barnes, David K. A.; Dunn, Michael J.</t>
  </si>
  <si>
    <t>Predicting Which Species Succeed in Climate-Forced Polar Seas</t>
  </si>
  <si>
    <t>climate change; ecological risk assessment; vulnerability; physiological niche; sea ice; food webs</t>
  </si>
  <si>
    <t>SOUTHERN-OCEAN; LATERNULA-ELLIPTICA; ANTARCTIC PENINSULA; THERMAL TOLERANCE; ICE LOSSES; ACIDIFICATION; GROWTH; SHELF; TEMPERATURE; RESPONSES</t>
  </si>
  <si>
    <t>Understanding the mechanisms which determine the capacity of any species to adapt to changing environmental conditions is one of the foremost requirements in accurately predicting which populations, species and clades are likely to survive ongoing, rapid climate change. The polar oceans are amongst the most rapidly changing environments on Earth with reduced regional sea ice duration and extent, and their fauna's expected sensitivity to warming and acidification. These changes potentially pose a significant threat to a number of polar fauna. There is, therefore, a critical need to assess the vulnerability of a wide range of species to determine the tipping points or weak links in marine assemblages. Knowledge of the effect of multiple stressors on polar marine fauna has advanced over the last 40 years, but there are still many data gaps. This study applies ecological risk assessment techniques to the increasing knowledge of polar species' physiological capacities to identify their exposure to climate change and their vulnerability to this exposure. This relatively rapid, semi-quantitative assessment provides a layer of vulnerability on top of climate envelope models, until such times as more extensive physiological data sets can be produced. The risk assessment identified more species that are likely to benefit from the near-future predicted change (the winners), especially predators and deposit feeders. Fewer species were scored at risk (the losers), although animals that feed on krill scored consistently as under the highest risk.</t>
  </si>
  <si>
    <t>[Morley, Simon A.; Barnes, David K. A.; Dunn, Michael J.] British Antarctic Survey, Nat Environm Res Council, Cambridge, England</t>
  </si>
  <si>
    <t>Morley, SA (corresponding author), British Antarctic Survey, Nat Environm Res Council, Cambridge, England.</t>
  </si>
  <si>
    <t>smor@bas.ac.uk</t>
  </si>
  <si>
    <t>Dunn, Michael/0000-0003-4633-5466</t>
  </si>
  <si>
    <t>Natural Environment Research Council; NERC [NE/J007501/1, bas0100035, bas0100036, NE/R000107/1] Funding Source: UKRI</t>
  </si>
  <si>
    <t>All authors were supported through core funding from the Natural Environment Research Council to the British Antarctic Survey's Biodiversity Adaptation and Evolution and Ecosystem Teams.</t>
  </si>
  <si>
    <t>10.3389/fmars.2018.00507</t>
  </si>
  <si>
    <t>MD9EQ</t>
  </si>
  <si>
    <t>WOS:000544270100001</t>
  </si>
  <si>
    <t>Sun, Y; Riva, R; Ditmar, P; Rietbroek, R</t>
  </si>
  <si>
    <t>Sun, Yu; Riva, Riccardo; Ditmar, Pavel; Rietbroek, Roelof</t>
  </si>
  <si>
    <t>Using GRACE to Explain Variations in the Earth's Oblateness</t>
  </si>
  <si>
    <t>Earth's dynamic oblateness; J(2); GRACE; C-20; geoid fingerprints; mass redistribution</t>
  </si>
  <si>
    <t>EMPIRICAL ORTHOGONAL FUNCTIONS; ICE MASS CHANGE; GRAVITATIONAL CHANGES; GEOCENTER MOTION; SOIL-MOISTURE; SEA-LEVEL; CLIMATE; J(2); VARIABILITY; PERFORMANCE</t>
  </si>
  <si>
    <t>We present a new approach to estimate time variations in J(2). Those variations are represented as the sum of contributions from individual sources. This approach uses solely Gravity Recovery And Climate Experiment (GRACE) data and the geoid fingerprints of mass redistributions that take place both at the surface and in the interior of the solid Earth. The results agree remarkably well with those based on satellite laser ranging, while estimates of the sources explain the observed variations in J(2). Seasonal variations are dominated by terrestrial water storage and by mass redistribution in the atmosphere and ocean. Trends, however, are primarily controlled by the Greenland and Antarctic ice sheets and by glacial isostatic adjustment. The positive trend from surface mass variations is larger than the negative trend due to glacial isostatic adjustment and leads to an overall rising trend during the GRACE period (2002-2017). Plain Language SummaryJ(2) variations indicate changes in the flattening of the Earth, which are mainly due to the Earth's response to large-scale mass redistribution at its surface and related to ongoing climate change. Though monitored over four decades by Earth observations satellites, the contributing sources to J(2) variations have not yet been accurately constrained, mostly due to deficiencies in geophysical models. In this study, we propose an approach to simultaneously estimate and interpret J(2) temporal variations based on gravity observations from the Gravity Recovery And Climate Experiment satellite mission. We reconstruct the observed gravity changes by a superimposition of spatial patterns characteristic of individual sources. We find that the seasonal and interannual variations are well explained by mass changes in atmosphere, oceans, and land water storage. The secular trend, on the other hand, is mainly caused by ice sheet melt, which has a positive effect (causing the Earth to be flatter), and by the ongoing solid Earth response to past glaciations, which has a negative trend (causing the Earth to be rounder). The trend due to ice sheet melting during 2002-2017 has a larger absolute value, so that the overall trend is rising, and the Earth is currently becoming flatter.</t>
  </si>
  <si>
    <t>[Sun, Yu] Fuzhou Univ, Key Lab Data Min &amp; Sharing, Ministrat Educ, Fuzhou, Fujian, Peoples R China; [Sun, Yu; Riva, Riccardo; Ditmar, Pavel] Delft Univ Technol, Dept Geosci &amp; Remote Sensing, Delft, Netherlands; [Rietbroek, Roelof] Univ Bonn, Inst Geodesy &amp; Geoinformat, Bonn, Germany</t>
  </si>
  <si>
    <t>Fuzhou University; Delft University of Technology; University of Bonn</t>
  </si>
  <si>
    <t>Sun, Y (corresponding author), Fuzhou Univ, Key Lab Data Min &amp; Sharing, Ministrat Educ, Fuzhou, Fujian, Peoples R China.;Sun, Y (corresponding author), Delft Univ Technol, Dept Geosci &amp; Remote Sensing, Delft, Netherlands.</t>
  </si>
  <si>
    <t>yusun@fzu.edu.cn</t>
  </si>
  <si>
    <t>Rietbroek, Roelof/AAE-8820-2020</t>
  </si>
  <si>
    <t>Rietbroek, Roelof/0000-0001-5276-5943; Riva, Riccardo/0000-0002-2042-5669; Ditmar, Pavel/0000-0002-8188-7680; sun, yu/0000-0002-8631-5155</t>
  </si>
  <si>
    <t>National Natural Science Foundation of China [41801393]; Education Department of Fujian Province [JT180031]; Central Guide Local Science and Technology Development Project [2017L3012]; QiShan program of Fuzhou University; Netherlands Organization for Scientific Research (NWO), through VIDI grant [864.12.012]</t>
  </si>
  <si>
    <t>National Natural Science Foundation of China(National Natural Science Foundation of China (NSFC)); Education Department of Fujian Province; Central Guide Local Science and Technology Development Project; QiShan program of Fuzhou University; Netherlands Organization for Scientific Research (NWO), through VIDI grant(Netherlands Organization for Scientific Research (NWO))</t>
  </si>
  <si>
    <t>We thank the anonymous reviewers for their constructive comments. We thank Hannes Muller Schmied for providing us with the WGHM model. An older version is available from http://www.uni-frankfurt.de/49903932/7_GWdepletion. Fingerprints created by Rietbroek are deposited in http://www.pangaea.de (doi:10.1594/PANGAEA.855539). GRACE data were taken from the CSR website (http://www2.csr.utexas.edu/grace/) and the ICGEM website (http://icgem.gfz-potsdam.de/home).J2 time series based on SLR analysis is downloaded from GRACE TELLUS (https://grace.jpl.nasa.gov/data/get-data/). CPC and GLDAS are publicly available (https://www.esrl.noaa.gov/psd/data/gridded/data.cpcsoil.html and https://disc.gsfc.nasa.gov/datasets?keywords=GLDAS). Fingerprints used in this study as well as their corresponding scaling factors for each months are submitted as data set in the supporting information. All results from this study will be made publicly available upon publication through the 4TU. Centre for Research Data (https://researchdata.4tu.nl/en/home/). Y.S.is supported by the National Natural Science Foundation of China (grant 41801393), the Education Department of Fujian Province (grant JT180031), and Central Guide Local Science and Technology Development Project (grant 2017L3012). He is also partially supported by the QiShan program of Fuzhou University. REMR acknowledges support by the Netherlands Organization for Scientific Research (NWO), through VIDI grant 864.12.012.</t>
  </si>
  <si>
    <t>JAN 16</t>
  </si>
  <si>
    <t>10.1029/2018GL080607</t>
  </si>
  <si>
    <t>HJ1QJ</t>
  </si>
  <si>
    <t>WOS:000456938600018</t>
  </si>
  <si>
    <t>Goldberg, DN; Gourmelen, N; Kimura, S; Millan, R; Snow, K</t>
  </si>
  <si>
    <t>Goldberg, D. N.; Gourmelen, N.; Kimura, S.; Millan, R.; Snow, K.</t>
  </si>
  <si>
    <t>How Accurately Should We Model Ice Shelf Melt Rates?</t>
  </si>
  <si>
    <t>PINE ISLAND GLACIER; AMUNDSEN SEA EMBAYMENT; GROUNDING LINE RETREAT; WEST ANTARCTICA; THWAITES GLACIER; KOHLER GLACIERS; MASS-BALANCE; FLOW; CIRCULATION; SMITH</t>
  </si>
  <si>
    <t>Assessment of ocean-forced ice sheet loss requires that ocean models be able to represent sub-ice shelf melt rates. However, spatial accuracy of modeled melt is not well investigated, and neither is the level of accuracy required to assess ice sheet loss. Focusing on a fast-thinning region of West Antarctica, we calculate spatially resolved ice-shelf melt from satellite altimetry and compare against results from an ocean model with varying representations of cavity geometry and ocean physics. Then, we use an ice-flow model to assess the impact of the results on grounded ice. We find that a number of factors influence model-data agreement of melt rates, with bathymetry being the leading factor; but this agreement is only important in isolated regions under the ice shelves, such as shear margins and grounding lines. To improve ice sheet forecasts, both modeling and observations of ice-ocean interactions must be improved in these critical regions. Plain Language Summary The Antarctic coastline is fringed by large floating ice shelves, often the size of cities or larger. They play a crucial role as a stopgap against acceleration of the ice sheet, and their loss could lead to considerable sea level rise. Many of these ice shelves are exposed to warm waters from farther north, leading to considerable melting underneath. Scientists use models of the ice sheet and the ocean in order to understand the link between warming oceans and sea levels, and how this might change in the future. In our study we focus on one of these fast-thinning ice shelves and determine through satellite imagery that melting is not uniform across the ice shelf but is highly focused in certain areas due to ocean currents. Using state-of-the-art ice and ocean models, we investigate what information will be needed in order to predict how the Antarctic Ice Sheet will respond to climate change. Our findings suggest that improved knowledge of ocean depth under ice shelves, as well as improved understanding of ocean flow just below the ice bottom, will be vital in determining the effects of climate change on ice shelves and ice sheets.</t>
  </si>
  <si>
    <t>[Goldberg, D. N.; Gourmelen, N.] Univ Edinburgh, Sch Geosci, Edinburgh, Midlothian, Scotland; [Kimura, S.] JAMSTEC, Yokosuka, Kanagawa, Japan; [Millan, R.] Univ Calif Irvine, Irvine, CA USA; [Snow, K.] Australia Natl Univ, Canberra, ACT, Australia</t>
  </si>
  <si>
    <t>University of Edinburgh; Japan Agency for Marine-Earth Science &amp; Technology (JAMSTEC); University of California System; University of California Irvine; Australian National University</t>
  </si>
  <si>
    <t>Goldberg, DN (corresponding author), Univ Edinburgh, Sch Geosci, Edinburgh, Midlothian, Scotland.</t>
  </si>
  <si>
    <t>dan.goldberg@ed.ac.uk</t>
  </si>
  <si>
    <t>Kimura, Satoshi/AAT-3036-2021</t>
  </si>
  <si>
    <t>Kimura, Satoshi/0000-0003-1689-1605</t>
  </si>
  <si>
    <t>Natural Environment Resources Council [NE/M003590/1]; European Space Agency [CryoTop4000107394/12/I-NB, 4000116874/16/I-NB]; NERC [NE/M003590/1, NE/S006796/1] Funding Source: UKRI</t>
  </si>
  <si>
    <t>Natural Environment Resources Council; European Space Agency(European Space Agency); NERC(UK Research &amp; Innovation (UKRI)Natural Environment Research Council (NERC))</t>
  </si>
  <si>
    <t>This work was supported by Natural Environment Resources Council grant NE/M003590/1, and European Space Agency contracts CryoTop4000107394/12/I-NB and CryoTop Evolution 4000116874/16/I-NB. The code used to generate all results, as well as documentation of the models used, is available at mitgcm.org. All CryoSat data are available from ftp://sciencepds. cryosat. esa. int. Ice and ocean modeling output used to produce figures are available as supporting information. Additionally, D. N. G. is grateful to J DeRydt for helpful conversations in the development of this work.</t>
  </si>
  <si>
    <t>10.1029/2018GL080383</t>
  </si>
  <si>
    <t>WOS:000456938600021</t>
  </si>
  <si>
    <t>Salvatteci, R; Schneider, RR; Blanz, T; Mollier-Vogel, E</t>
  </si>
  <si>
    <t>Salvatteci, Renato; Schneider, Ralph R.; Blanz, Thomas; Mollier-Vogel, Elfi</t>
  </si>
  <si>
    <t>Deglacial to Holocene Ocean Temperatures in the Humboldt Current System as Indicated by Alkenone Paleothermometry</t>
  </si>
  <si>
    <t>Humboldt Current; upwelling; alkenones; Peru</t>
  </si>
  <si>
    <t>EL-NINO; EQUATORIAL PACIFIC; CONTINENTAL-SHELF; TROPICAL PACIFIC; EASTERN PACIFIC; PERU; MIDHOLOCENE; VARIABILITY; CLIMATE; RECORD</t>
  </si>
  <si>
    <t>The response of the Humboldt Current System to future global warming is uncertain. Here we reconstruct alkenone-derived near-surface temperatures from multiple cores along the Peruvian coast to infer the driving mechanisms of upwelling changes for the last 20kyr. Our records show a deglacial warming consistent with Antarctic ice-core temperatures and a Mid-Holocene cooling, which, in combination with other paleoceanographic records, suggest a strengthening of upwelling conditions. This cooling, during the globally warm Mid-Holocene, is consistent with an intensification of the Walker Circulation and the South Eastern Pacific Subtropical Anticyclone, indicative of La Nina-like conditions in the Tropical Pacific. Surprisingly, oxygen contents in the subsurface increased and productivity was low during the Mid-Holocene, which are at odds with La Nina-like conditions. This suggests that the Humboldt Current System reacts in multiple ways to a warmer world and may even include a reversal in the present day subsurface deoxygenation. Plain Language Summary The Humboldt Current System (HCS) located off Peru produces almost 10% of the global fish catch. This high productivity is promoted by the upwelling of subsurface nutrient-rich water driven by the effect of the winds over the ocean surface. However, the HCS is highly sensitive to climate change, and the effect of continued warming on upwelling dynamics and in consequence for fishery productivity is not known. In the present work we reconstruct changes in upwelling during the last 20 thousand years to understand the mechanisms that drove upwelling changes in the past. For this purpose we use organic molecules preserved in marine sediments that are sensitive to water temperatures. We found cool temperatures during the mid-Holocene (8 to 4 thousand years ago), a period characterized by global warm conditions, that we infer as an increase in upwelling intensity. Surprisingly, the productivity was low, and the oxygen contents in the subsurface waters were high which is at odds with increased upwelling off Peru. These results indicate that the HCS responds in multiple and unexpected ways to global warming, suggesting that any impact of future global warming on the biological productivity in the HCS remains uncertain.</t>
  </si>
  <si>
    <t>[Salvatteci, Renato; Schneider, Ralph R.; Blanz, Thomas; Mollier-Vogel, Elfi] Univ Kiel, Inst Geosci, Kiel, Germany</t>
  </si>
  <si>
    <t>University of Kiel</t>
  </si>
  <si>
    <t>Salvatteci, R (corresponding author), Univ Kiel, Inst Geosci, Kiel, Germany.</t>
  </si>
  <si>
    <t>renatosalvatteci@gmail.com</t>
  </si>
  <si>
    <t>Salvatteci, Renato/HZK-3205-2023</t>
  </si>
  <si>
    <t>Salvatteci, Renato/0000-0002-7399-6465</t>
  </si>
  <si>
    <t>Deutsche Forschungsgemeinschaft (DFG) [754]</t>
  </si>
  <si>
    <t>The data associated with this manuscript are available at www.pangaea.de. This work is a contribution of the Collaborative Research Project 754 Climate-Biogeochemistry interactions in the Tropical Ocean (www.sfb754.de), which is supported by the Deutsche Forschungsgemeinschaft (DFG). We are grateful to A. Koutavas and an anonymous reviewer for their thorough and constructive comments that significantly helped to improve the first manuscript. We acknowledge the time given for coring off Peru by Martin Visbeck, chief scientist of cruise M135. We also thank Federico Velazco, Felix Gross, and Sumeyya Eroglu, members of the geological team during this cruise for their invaluable help during sediment sampling. We sincerely thank Silvia Koch for her most appreciated help with the alkenone analyses and Samuel Muller for his help with the XRF measurements. Guillaume Leduc is acknowledged for a very valuable discussion on the first draft.</t>
  </si>
  <si>
    <t>10.1029/2018GL080634</t>
  </si>
  <si>
    <t>WOS:000456938600031</t>
  </si>
  <si>
    <t>Nash, M; Nielsen, HEF; Shaw, J; King, M; Lea, MA; Bax, N</t>
  </si>
  <si>
    <t>Nash, Meredith; Nielsen, Hanne E. F.; Shaw, Justine; King, Matt; Lea, Mary-Anne; Bax, Narissa</t>
  </si>
  <si>
    <t>Antarctica just has this hero factor ... : Gendered barriers to Australian Antarctic research and remote fieldwork</t>
  </si>
  <si>
    <t>SEXUAL-HARASSMENT; WOMEN; SCIENCE; EXPERIENCES; CONSTRUCTION; WORKING; FEMALE; QUEER</t>
  </si>
  <si>
    <t>Antarctica is often associated with images of masculine figures battling against the blizzard. The pervasiveness of heroic white masculine leadership and exploration in Antarctica and, more broadly, in Science, Technology, Engineering, Mathematics, and Medicine (STEMM) research cultures, has meant women have had lesser access to Antarctic research and fieldwork opportunities, with a marked increase since the 1980s. This article presents findings from an exploratory online survey examining how 95 women experienced research and remote Antarctic fieldwork with the Australian Antarctic Program. Although women are entering polar science in greater numbers, a key theme of the qualitative findings of this survey is that gendered barriers to participation in research and fieldwork persist. We discuss five key gendered barriers including: 1) Physical barriers, 2) Caring responsibilities/unpaid work, 3) Cultural sexism/gender bias, 4) Lack of opportunities/recognition, and 5) Unwanted male attention/sexual harassment. We argue that the lack of attention paid to gender and sexuality in polar fieldwork contributes to the invisibility and exclusion of women and other marginalized identities broadly. To conclude, we point to the importance of targeted inclusivity, diversity and equity initiatives through Antarctic research globally and specifically by National Antarctic Programs.</t>
  </si>
  <si>
    <t>[Nash, Meredith] Univ Tasmania, Sch Social Sci, Hobart, Tas, Australia; [Nielsen, Hanne E. F.] Univ Tasmania, Sch Humanities, Hobart, Tas, Australia; [Nielsen, Hanne E. F.; Lea, Mary-Anne; Bax, Narissa] Univ Tasmania, Inst Marine &amp; Antarctic Studies, Hobart, Tas, Australia; [Shaw, Justine] Univ Queensland, Sch Biol Sci, ARC Ctr Excellence Environm Decis, St Lucia, Qld, Australia; [King, Matt] Univ Tasmania, Sch Technol Environm &amp; Design, Hobart, Tas, Australia</t>
  </si>
  <si>
    <t>University of Tasmania; University of Tasmania; University of Tasmania; ARC Centre of Excellence for Environmental Decisions; University of Queensland; University of Tasmania</t>
  </si>
  <si>
    <t>Nash, M (corresponding author), Univ Tasmania, Sch Social Sci, Hobart, Tas, Australia.</t>
  </si>
  <si>
    <t>Meredith.Nash@utas.edu.au</t>
  </si>
  <si>
    <t>King, Matt/B-4622-2008; Nash, Meredith/O-6178-2019; Bax, Narissa/L-5771-2019; Lea, Mary-Anne/E-9054-2013; Nielsen, Hanne E F/I-4472-2014</t>
  </si>
  <si>
    <t>King, Matt/0000-0001-5611-9498; Nash, Meredith/0000-0002-7429-4924; Bax, Narissa/0000-0002-4338-1080; Shaw, Justine/0000-0002-9603-2271; Lea, Mary-Anne/0000-0001-8318-9299; Nielsen, Hanne E F/0000-0002-2761-7727</t>
  </si>
  <si>
    <t>University of Tasmania, Antarctic and Maritime Research Theme grant; University of Tasmania Marine, Antarctic and Maritime Research Theme grant</t>
  </si>
  <si>
    <t>This research was funded by a University of Tasmania, Antarctic and Maritime Research Theme grant to MN. The funders had no role in study design, data collection and analysis, decision to publish, or preparation of the manuscript.; We wish to thank our survey respondents for generously sharing their experiences. This work was supported by a University of Tasmania Marine, Antarctic and Maritime Research Theme grant.</t>
  </si>
  <si>
    <t>e0209983</t>
  </si>
  <si>
    <t>10.1371/journal.pone.0209983</t>
  </si>
  <si>
    <t>HH6BK</t>
  </si>
  <si>
    <t>WOS:000455813300037</t>
  </si>
  <si>
    <t>Miyake, F; Horiuchi, K; Motizuki, Y; Nakai, Y; Takahashi, K; Masuda, K; Motoyama, H; Matsuzaki, H</t>
  </si>
  <si>
    <t>Miyake, F.; Horiuchi, K.; Motizuki, Y.; Nakai, Y.; Takahashi, K.; Masuda, K.; Motoyama, H.; Matsuzaki, H.</t>
  </si>
  <si>
    <t>10Be Signature of the Cosmic Ray Event in the 10th Century CE in Both Hemispheres, as Confirmed by Quasi-Annual 10Be Data From the Antarctic Dome Fuji Ice Core</t>
  </si>
  <si>
    <t>cosmogenic nuclides; beryllium-10; annual cosmic ray event; Dome Fuji; ice core</t>
  </si>
  <si>
    <t>SOLAR-ACTIVITY; VOLCANIC-ERUPTIONS; TREE-RINGS; AD 774-775; C-14; RECONSTRUCTION; RADIOCARBON; INCREASE; RECORD</t>
  </si>
  <si>
    <t>Cosmogenic nuclides are good indicators of past cosmic ray events and variations. To verify such phenomena, it is important to evaluate them using multiple nuclides from different archives. The cosmic ray event in 993-994Common Era (CE) has already been confirmed with C-14 and Be-10 data, which show rapid increases in the concentrations. However, the Be-10 data were obtained from the Greenland ice cores in the Northern Hemisphere. To investigate the extent of the Be-10 increase in the Southern Hemisphere, we measured quasi-annual Be-10 concentrations between 980 and 1,011CE in the Antarctic Dome Fuji ice core. We observed a 50% increase in Be-10 concentration around 994CE, consistent with the Greenland data. Increases in Be-10 concentrations in both hemispheres support a solar origin of the 994-CE event. In addition, we propose a method of evaluating the so-called system effect for Be-10 deposition by extracting common components from Be-10 and Na+ data. Plain Language Summary New quasi-annual beryllium-10 measurements were made with the Dome Fuji ice core from Antarctica over the period in which the 994 cosmic ray event would be expected. We observed an approximately 50% increase in beryllium-10 concentrations, which is consistent with the beryllium-10 increases observed in the Greenland ice cores. This lends support to a solar origin of the 994 event. We propose a phenomenological method for evaluating a common deposition component between quasi-annual beryllium-10 and sodium ion data.</t>
  </si>
  <si>
    <t>[Miyake, F.; Masuda, K.] Nagoya Univ, Inst Space Earth Environm Res, Nagoya, Aichi, Japan; [Horiuchi, K.] Hirosaki Univ, Grad Sch Sci &amp; Technol, Hirosaki, Aomori, Japan; [Motizuki, Y.; Nakai, Y.; Takahashi, K.] RIKEN Nishina Ctr, Wako, Saitama, Japan; [Motoyama, H.] Natl Inst Polar Res, Tokyo, Japan; [Matsuzaki, H.] Univ Tokyo, Univ Museum, MALT, Tokyo, Japan</t>
  </si>
  <si>
    <t>Nagoya University; Hirosaki University; RIKEN; Research Organization of Information &amp; Systems (ROIS); National Institute of Polar Research (NIPR) - Japan; University of Tokyo</t>
  </si>
  <si>
    <t>Miyake, F (corresponding author), Nagoya Univ, Inst Space Earth Environm Res, Nagoya, Aichi, Japan.</t>
  </si>
  <si>
    <t>fmiyake@isee.nagoya-u.ac.jp</t>
  </si>
  <si>
    <t>Miyake, Fusa/HLP-9694-2023; Motoyama, Hideaki/E-6103-2013; Nakai, Yoichi/D-6190-2017; Takahashi, kazuyat/U-3232-2018</t>
  </si>
  <si>
    <t>Miyake, Fusa/0000-0001-8002-9601; Motoyama, Hideaki/0000-0003-2533-320X; Takahashi, kazuyat/0000-0002-5104-2601; Horiuchi, Kazuho/0000-0003-3185-8766</t>
  </si>
  <si>
    <t>JSPS KAKENHI [JP16H06005, 25247082]; Grants-in-Aid for Scientific Research [25247082] Funding Source: KAKEN</t>
  </si>
  <si>
    <t>The authors thank Florian Mekhaldi for comments of the NGRIP and NEEM data and Asami Suzuki and Chihiro Mori for supporting a cutting work of ice core. This work was supported by JSPS KAKENHI grants JP16H06005 and 25247082. The DF 10Be data are listed in supporting information, and Na+ data can be downloaded at https://ads.nipr.ac.jp/dataset/A20181211-001.</t>
  </si>
  <si>
    <t>10.1029/2018GL080475</t>
  </si>
  <si>
    <t>WOS:000456938600002</t>
  </si>
  <si>
    <t>Biskaborn, BK; Smith, SL; Noetzli, J; Matthes, H; Vieira, G; Streletskiy, DA; Schoeneich, P; Romanovsky, VE; Lewkowicz, AG; Abramov, A; Allard, M; Boike, J; Cable, WL; Christiansen, HH; Delaloye, R; Diekmann, B; Drozdov, D; Etzelmüller, B; Grosse, G; Guglielmin, M; Ingeman-Nielsen, T; Isaksen, K; Ishikawa, M; Johansson, M; Johannsson, H; Joo, A; Kaverin, D; Kholodov, A; Konstantinov, P; Kröger, T; Lambiel, C; Lanckman, JP; Luo, DL; Malkova, G; Meiklejohn, I; Moskalenko, N; Oliva, M; Phillips, M; Ramos, M; Sannel, ABK; Sergeev, D; Seybold, C; Skryabin, P; Vasiliev, A; Wu, QB; Yoshikawa, K; Zheleznyak, M; Lantuit, H</t>
  </si>
  <si>
    <t>Biskaborn, Boris K.; Smith, Sharon L.; Noetzli, Jeannette; Matthes, Heidrun; Vieira, Goncalo; Streletskiy, Dmitry A.; Schoeneich, Philippe; Romanovsky, Vladimir E.; Lewkowicz, Antoni G.; Abramov, Andrey; Allard, Michel; Boike, Julia; Cable, William L.; Christiansen, Hanne H.; Delaloye, Reynald; Diekmann, Bernhard; Drozdov, Dmitry; Etzelmueller, Bernd; Grosse, Guido; Guglielmin, Mauro; Ingeman-Nielsen, Thomas; Isaksen, Ketil; Ishikawa, Mamoru; Johansson, Margareta; Johannsson, Halldor; Joo, Anseok; Kaverin, Dmitry; Kholodov, Alexander; Konstantinov, Pavel; Kroeger, Tim; Lambiel, Christophe; Lanckman, Jean-Pierre; Luo, Dongliang; Malkova, Galina; Meiklejohn, Ian; Moskalenko, Natalia; Oliva, Marc; Phillips, Marcia; Ramos, Miguel; Sannel, A. Britta K.; Sergeev, Dmitrii; Seybold, Cathy; Skryabin, Pavel; Vasiliev, Alexander; Wu, Qingbai; Yoshikawa, Kenji; Zheleznyak, Mikhail; Lantuit, Hugues</t>
  </si>
  <si>
    <t>Permafrost is warming at a global scale</t>
  </si>
  <si>
    <t>SEASONAL SNOW COVER; THERMAL STATE; CLIMATE-CHANGE; ACTIVE-LAYER; ANTARCTIC PENINSULA; STABILITY</t>
  </si>
  <si>
    <t>Permafrost warming has the potential to amplify global climate change, because when frozen sediments thaw it unlocks soil organic carbon. Yet to date, no globally consistent assessment of permafrost temperature change has been compiled. Here we use a global data set of permafrost temperature time series from the Global Terrestrial Network for Permafrost to evaluate temperature change across permafrost regions for the period since the International Polar Year (2007-2009). During the reference decade between 2007 and 2016, ground temperature near the depth of zero annual amplitude in the continuous permafrost zone increased by 0.39 +/- 0.15 degrees C. Over the same period, discontinuous permafrost warmed by 0.20 +/- 0.10 degrees C. Permafrost in mountains warmed by 0.19 +/- 0.05 degrees C and in Antarctica by 0.37 +/- 0.10 degrees C. Globally, permafrost temperature increased by 0.29 +/- 0.12 degrees C. The observed trend follows the Arctic amplification of air temperature increase in the Northern Hemisphere. In the discontinuous zone, however, ground warming occurred due to increased snow thickness while air temperature remained statistically unchanged.</t>
  </si>
  <si>
    <t>[Biskaborn, Boris K.; Matthes, Heidrun; Boike, Julia; Cable, William L.; Grosse, Guido; Lantuit, Hugues] Helmholtz Ctr Polar &amp; Marine Res, Alfred Wegener Inst, D-14473 Potsdam, Germany; [Smith, Sharon L.] Nat Resources Canada, Geol Survey Canada, Ottawa, ON K1A 0E8, Canada; [Noetzli, Jeannette; Phillips, Marcia] WSL Inst Snow &amp; Avalanche Res SLF, CH-7260 Davos, Switzerland; [Vieira, Goncalo] Univ Lisbon, CEG IGOT, P-1600276 Lisbon, Portugal; [Streletskiy, Dmitry A.] George Washington Univ, Washington, DC 20052 USA; [Schoeneich, Philippe] Inst Geog Alpine, F-38100 Grenoble, France; [Romanovsky, Vladimir E.; Kholodov, Alexander; Yoshikawa, Kenji] Univ Alaska Fairbanks, Fairbanks, AK 99775 USA; [Lewkowicz, Antoni G.] Univ Ottawa, Ottawa, ON K1N 6N5, Canada; [Abramov, Andrey; Kholodov, Alexander] RAS, Inst Physicochem &amp; Biol Problems Soil Sci, Moscow 142290, Russia; [Allard, Michel] Univ Laval, Ctr Etud Nord, Quebec City, PQ G1V 0A6, Canada; [Boike, Julia] Humboldt Univ, Geog Dept, D-10099 Berlin, Germany; [Christiansen, Hanne H.] Univ Ctr Svalbard, N-9171 Longyearbyen, Norway; [Delaloye, Reynald] Univ Fribourg, CH-1700 Fribourg, Switzerland; [Diekmann, Bernhard; Grosse, Guido; Lantuit, Hugues] Univ Potsdam, D-14469 Potsdam, Germany; [Drozdov, Dmitry; Malkova, Galina; Moskalenko, Natalia; Vasiliev, Alexander] SB RAS, Tyumen Sci Ctr, Earth Cryosphere Inst, Tyumen 625000, Russia; [Etzelmueller, Bernd] Univ Oslo, Dept Geosci, -0316 Oslo, Norway; [Guglielmin, Mauro] Insubria Univ, Dept Theoret &amp; Appl Sci, I-21100 Varese, Italy; [Ingeman-Nielsen, Thomas] Tech Univ Denmark, Dept Civil Engn, DK-2800 Lyngby, Denmark; [Isaksen, Ketil] Norwegian Meteorol Inst, N-0313 Oslo, Norway; [Ishikawa, Mamoru] Hokkaido Univ, Sapporo, Hokkaido 0600810, Japan; [Johansson, Margareta] Lund Univ, S-22362 Lund, Sweden; [Johannsson, Halldor; Joo, Anseok; Lanckman, Jean-Pierre] Arctic Portal, IS-600 Akureyri, Iceland; [Kaverin, Dmitry] RAS, Komi Sci Ctr, Syktyvkar 167972, Russia; [Konstantinov, Pavel; Skryabin, Pavel; Zheleznyak, Mikhail] RAS, Melnikov Permafrost Inst, Yakutsk 677010, Russia; [Kroeger, Tim] Free Univ Berlin, Geog Dept, D-12249 Berlin, Germany; [Lambiel, Christophe] Univ Lausanne, CH-1015 Lausanne, Switzerland; [Luo, Dongliang; Wu, Qingbai] Chinese Acad Sci, Northwest Inst Ecoenvironm &amp; Resource, Lanzhou 730000, Gansu, Peoples R China; [Meiklejohn, Ian] Rhodes Univ, ZA-6140 Grahamstown, South Africa; [Oliva, Marc] Univ Barcelona, Barcelona 08001, Spain; [Ramos, Miguel] Univ Alcala, Madrid 28801, Spain; [Sannel, A. Britta K.] Stockholm Univ, SE-10691 Stockholm, Sweden; [Sergeev, Dmitrii] RAS, Inst Environm Geosci, Moscow 101000, Russia; [Seybold, Cathy] Natl Soil Survey Ctr, Lincoln, NE 68508 USA; [Vasiliev, Alexander] Tyumen State Univ, Tyumen 625003, Russia</t>
  </si>
  <si>
    <t>Helmholtz Association; Alfred Wegener Institute, Helmholtz Centre for Polar &amp; Marine Research; Natural Resources Canada; Lands &amp; Minerals Sector - Natural Resources Canada; Geological Survey of Canada; Swiss Federal Institutes of Technology Domain; Swiss Federal Institute for Forest, Snow &amp; Landscape Research; Universidade de Lisboa; George Washington University; Communaute Universite Grenoble Alpes; Universite Grenoble Alpes (UGA); University of Alaska System; University of Alaska Fairbanks; University of Ottawa; Russian Academy of Sciences; Pushchino Scientific Center for Biological Research (PSCBI) of the Russian Academy of Sciences; Institute of Physicohemical &amp; Biological Problems of Soil Science; Laval University; Humboldt University of Berlin; University Centre Svalbard (UNIS); University of Fribourg; University of Potsdam; Tyumen Scientific Center of the Russian Academy of Sciences; Russian Academy of Sciences; University of Oslo; University of Insubria; Technical University of Denmark; Norwegian Meteorological Institute; Hokkaido University; Lund University; Russian Academy of Sciences; Komi Science Centre of the Ural Branch of the Russian Academy of Sciences; Russian Academy of Sciences; Melnikov Permafrost Institute, Siberian Branch of the RAS; Free University of Berlin; University of Lausanne; Chinese Academy of Sciences; Rhodes University; University of Barcelona; Universidad de Alcala; Stockholm University; Russian Academy of Sciences; Sergeev Institute of Environmental Geoscience; Tyumen State University</t>
  </si>
  <si>
    <t>Biskaborn, BK (corresponding author), Helmholtz Ctr Polar &amp; Marine Res, Alfred Wegener Inst, D-14473 Potsdam, Germany.</t>
  </si>
  <si>
    <t>boris.biskaborn@awi.de</t>
  </si>
  <si>
    <t>Vasiliev, Alexander/AAQ-4558-2020; Varlamov, Stepan/V-9370-2018; Ingeman-Nielsen, Thomas/AAS-7397-2020; Isaksen, Ketil/C-6493-2011; Matthes, Heidrun/N-1833-2018; Phillips, Marcia/AAJ-7502-2020; Grosse, Guido/F-5018-2011; Phillips, Marcia/HTR-3507-2023; Kaverin, Dmitry A/P-9737-2015; Vieira, Goncalo/G-5958-2010; Boike, Julia/JZT-8129-2024; Moskalenko, Natalia/AAU-1736-2021; Cable, William Lambert/KBC-8679-2024; Zheleznyak, Mikhail/J-2544-2018; Boike, Julia/R-4766-2016; Biskaborn, Boris K./D-2419-2011; Andrey, Abramov/AAL-5410-2020; Lantuit, Hugues/ABC-8692-2020; Luo, Dongliang/Q-9637-2016; Noetzli, Jeannette/ABA-4132-2020; Meiklejohn, Ian/F-3183-2012; Streletskiy, Dmitry/C-3333-2017; Abramov, Andrey/A-2705-2012; Oliva, Marc/K-5423-2014</t>
  </si>
  <si>
    <t>Varlamov, Stepan/0000-0003-2021-9686; Ingeman-Nielsen, Thomas/0000-0002-0776-4869; Isaksen, Ketil/0000-0003-2356-5330; Matthes, Heidrun/0000-0001-9913-7696; Grosse, Guido/0000-0001-5895-2141; Vieira, Goncalo/0000-0001-7611-3464; Boike, Julia/0000-0002-5875-2112; Moskalenko, Natalia/0000-0001-9162-5206; Cable, William Lambert/0000-0002-7951-3946; Boike, Julia/0000-0002-5875-2112; Biskaborn, Boris K./0000-0003-2378-0348; Lantuit, Hugues/0000-0003-1497-6760; Luo, Dongliang/0000-0001-5844-3638; Noetzli, Jeannette/0000-0001-9188-6318; Meiklejohn, Ian/0000-0001-8890-2938; Yoshikawa, Kenji/0000-0001-5935-2041; Lewkowicz, Antoni/0000-0002-9307-2147; Romanovsky, Vladimir/0000-0002-9515-2087; Delaloye, Reynald/0000-0002-2037-2018; Streletskiy, Dmitry/0000-0003-2563-2664; Kaverin, Dmitry/0000-0003-2559-2340; Diekmann, Bernhard/0000-0001-5129-3649; Abramov, Andrey/0000-0002-3602-1159; Oliva, Marc/0000-0001-6521-6388; Vasiliev, Alexander/0000-0001-5483-8456; Malkova, Galina/0000-0003-1049-9792</t>
  </si>
  <si>
    <t>International Permafrost Association; AGAUR ANTALP (Catalonia) [2017-SGR-1102]; BMBF PALMOD (Germany) [01LP1510D]; ERC PETA-CARB (EU) [338335]; FCT (Portugal) [PERMANTAR2017-18/PROPOLAR]; Formas (Sweden) [214-2014-562]; HGF COPER (Germany) [VH-NG-801]; Horizon 2020 Nunataryuk (EU) [773421]; JSPS KAKENHI (Japan) [25350416, 21310001]; MESC (Russia) [RFMEFI58718X0048, 14.587.21.0048-SODEEP]; MeteoSwiss (Switzerland); FOEN (Switzerland); SCNAT (Switzerland); Natural Resources Canada; NNSF (China) [41690144, 41671060]; NRC TSP (Norway) [176033/S30, 157837/V30, 185987/V30]; NSERC (Canada) [2014-04084, 2015-05411]; NSF OPP [1304271, 1304555, 1836377]; ICER (USA) [1558389, 1717770]; PNRA (Italy) [16_00194]; Ramon y Cajal (Spain) [RYC-2015-17597]; RAS PP (Russia) [15, 51, 55]; RAS GP (Russia) [AAAA-A18-118022190065-1, 18-218012490093-1]; RFBR (Russia) [18-05-60004, 18-55-11003, 16-05-00249, 16-45-890257-YaNAO, 18-55-11005 AF_t(ClimEco), 18-05-60222-Arctica]; RSCF (Russia) [16-17-00102]; National Research Foundation, SNA (South Africa) [14070874451]; Russian Science Foundation [16-17-00102, 19-17-11003] Funding Source: Russian Science Foundation; Office of Polar Programs (OPP); Directorate For Geosciences [1836377] Funding Source: National Science Foundation; Grants-in-Aid for Scientific Research [21310001] Funding Source: KAKEN</t>
  </si>
  <si>
    <t>International Permafrost Association; AGAUR ANTALP (Catalonia); BMBF PALMOD (Germany)(Federal Ministry of Education &amp; Research (BMBF)); ERC PETA-CARB (EU)(European Research Council (ERC)); FCT (Portugal)(Fundacao para a Ciencia e a Tecnologia (FCT)); Formas (Sweden)(Swedish Research Council Formas); HGF COPER (Germany); Horizon 2020 Nunataryuk (EU)(European Union (EU)); JSPS KAKENHI (Japan)(Ministry of Education, Culture, Sports, Science and Technology, Japan (MEXT)Japan Society for the Promotion of ScienceGrants-in-Aid for Scientific Research (KAKENHI)); MESC (Russia); MeteoSwiss (Switzerland); FOEN (Switzerland); SCNAT (Switzerland); Natural Resources Canada(Natural Resources CanadaCanadian Forest Service); NNSF (China)(National Natural Science Foundation of China (NSFC)); NRC TSP (Norway); NSERC (Canada)(Natural Sciences and Engineering Research Council of Canada (NSERC)); NSF OPP(National Science Foundation (NSF)NSF - Directorate for Geosciences (GEO)); ICER (USA); PNRA (Italy); Ramon y Cajal (Spain)(Spanish Government); RAS PP (Russia); RAS GP (Russia); RFBR (Russia)(Russian Foundation for Basic Research (RFBR)); RSCF (Russia); National Research Foundation, SNA (South Africa); Russian Science Foundation(Russian Science Foundation (RSF)); Office of Polar Programs (OPP);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</si>
  <si>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This research would not have been possible without the long-term commitment of all observers to site maintenance, data collection, and their willingness to share permafrost borehole data. All data were compiled by the Global Terrestrial Network for Permafrost (GTN-P). We thank the International Permafrost Association for financial support. We thank Jerry Brown for initiating the borehole metadata collection and Christina Roolfs for mathematical review. This research was supported by grants from (in alphabetical order) AGAUR ANTALP #2017-SGR-1102 (Catalonia); BMBF PALMOD #01LP1510D (Germany); ERC PETA-CARB #338335 (EU); FCT #PERMANTAR2017-18/PROPOLAR (Portugal); Formas #214-2014-562 (Sweden); HGF COPER #VH-NG-801 (Germany); Horizon 2020 Nunataryuk #773421 (EU); JSPS KAKENHI #25350416, #21310001 (Japan); MESC #RFMEFI58718X0048, #14.587.21.0048-SODEEP (Russia); MeteoSwiss in the framework of GCOS Switzerland, FOEN and SCNAT for the Swiss Permafrost Monitoring Network PERMOS (Switzerland); Natural Resources Canada; NNSF #41690144, #41671060 (China); NRC TSP #176033/S30, #157837/V30, #176033/S30, #185987/V30 (Norway); NSERC #2014-04084, #2015-05411 (Canada); NSF OPP #1304271, #1304555 #1836377; ICER #1558389, #1717770 (USA); PNRA #16_00194 (Italy); Ramon y Cajal #RYC-2015-17597 (Spain); RAS PP #15, #51, #55, GP #AAAA-A18-118022190065-1, #18-218012490093-1 (Russia); RFBR #18-05-60004, #18-55-11003, #16-05-00249, #16-45-890257-YaNAO, #18-55-11005 AF_t(ClimEco), #18-05-60222-Arctica (Russia); RSCF #16-17-00102 (Russia); National Research Foundation, SNA #14070874451 (South Africa).</t>
  </si>
  <si>
    <t>10.1038/s41467-018-08240-4</t>
  </si>
  <si>
    <t>HH5JR</t>
  </si>
  <si>
    <t>WOS:000455762900008</t>
  </si>
  <si>
    <t>Atake, OJ; Cooper, DML; Eames, BF</t>
  </si>
  <si>
    <t>Atake, Oghenevwogaga J.; Cooper, David M. L.; Eames, B. Frank</t>
  </si>
  <si>
    <t>Bone-like features in skate suggest a novel elasmobranch synapomorphy and deep homology of trabecular mineralization patterns</t>
  </si>
  <si>
    <t>ACTA BIOMATERIALIA</t>
  </si>
  <si>
    <t>Chondrichthyans; Endoskeleton; Vertebrae; Histology; Mineralization patterns; Areolar; Polygonal tesseral; Bone-like; Trabecular tesseral</t>
  </si>
  <si>
    <t>ALKALINE-PHOSPHATASE ACTIVITY; SCYLIORHINUS-CANICULA; SKELETAL TISSUES; EARLY EVOLUTION; CARTILAGE; CHONDRICHTHYES; SHARKS; LOCALIZATION; PARAMETERS; MORPHOLOGY</t>
  </si>
  <si>
    <t>Bone is a defining characteristic of the vertebrate skeleton, and while chondrichthyans (sharks, skates, and other cartilaginous fishes) are vertebrates, they are hypothesized to have lost the ability to make bone during their evolution. Multiple descriptions of a bone-like tissue in neural arches of vertebrae in various shark species (selachians), however, challenge this hypothesis. Here, we extend this argument by analyzing vertebrae of two members of the batoids (the little skate Leucoraja erinacea and Eaton's skate Bathyraja eatonii), the sister group to selachians within elasmobranchs. Micro-CT images showed a bone-like mineralization pattern in neural arches of each skate species, and histological analyses confirmed that this bone-like tissue surrounded a cartilage core, exactly as described in sharks. Another mineralization pattern identified in skate vertebrae was distinct from the polygonal tesseral and areolar patterns that classically are associated with the chondrichthyan endoskeleton. Many regions of the vertebrae, including the neural spine and transverse processes, showed this perichondral mineralization pattern, termed here trabecular tesseral. Other than the cartilage core of the neural arch, all mineralized tissues in skate vertebrae had flattened cells surrounded by matrix with bone-like histology. Analyses of quantitative microstructural parameters revealed that, compared to rat vertebrae, the bone-like mineralization pattern in the neural arches of skate vertebrae was more similar to compact bone than trabecular bone. In contrast, the thickness of the trabecular tesseral pattern was more similar to trabecular bone than compact bone of rat vertebrae. In conclusion, a bone-like tissue in neural arches of skate vertebrae appears to be a novel elasmobranch synapomorphy. We propose that the trabecular tesseral mineralization pattern in the skate might have deep homology to the mineralization pattern utilized in trabecular bone. Statement of Significance Mineralization patterns of skeletal tissues have not been investigated thoroughly in all vertebrate clades. Despite their designation as 'cartilaginous fish', chondrichthyans clearly evolved from ancestral vertebrates that made bone. The consensus that chondrichthyans lost the ability to make bone during their evolution, however, is challenged by reports of bone and bone-like tissues in the neural arches of vertebrae in extant sharks (selachians). Here, we provide evidence from micro-CT imaging and histological analyses to support our hypothesis that a bone-like tissue is present in the neural arches of batoids (the sister group to selachians within elasmobranchs). These results argue strongly that the neural arch bone-like tissue is a previously unknown synapomorphy of elasmobranchs. In addition to the bone-like mineralization pattern identified in the neural arches, micro-CT images also showed a novel mineralization pattern which we described as trabecular tesseral. Quantitative microstructural features shared between trabecular tesseral pattern and trabecular bone (from homologous rat vertebrae) suggest that both patterns might derive from an ancestral gene network driving trabecular mineralization (i.e., deep homology). (C) 2018 Acta Materialia Inc. Published by Elsevier Ltd. All rights reserved.</t>
  </si>
  <si>
    <t>[Atake, Oghenevwogaga J.; Cooper, David M. L.; Eames, B. Frank] Univ Saskatchewan, Dept Anat &amp; Cell Biol, Saskatoon, SK, Canada</t>
  </si>
  <si>
    <t>University of Saskatchewan</t>
  </si>
  <si>
    <t>Eames, BF (corresponding author), 3D01-107 Wiggins Rd, Saskatoon, SK S7N 5E5, Canada.</t>
  </si>
  <si>
    <t>b.frank@usask.ca</t>
  </si>
  <si>
    <t>Cooper, David/0000-0002-3175-9170</t>
  </si>
  <si>
    <t>Natural Sciences and Engineering Research Council (NSERC) [RGPIN 435655-201, RGPIN 2014-05563]; Canada Foundation for Innovation; Natural Sciences and Engineering Research Council of Canada; University of Saskatchewan; Government of Saskatchewan; Western Economic Diversification Canada; National Research Council Canada; Canadian Institutes of Health Research</t>
  </si>
  <si>
    <t>Natural Sciences and Engineering Research Council (NSERC)(Natural Sciences and Engineering Research Council of Canada (NSERC)); Canada Foundation for Innovation(Canada Foundation for InnovationCGIARSpanish Government); Natural Sciences and Engineering Research Council of Canada(Natural Sciences and Engineering Research Council of Canada (NSERC)CGIAR); University of Saskatchewan; Government of Saskatchewan; Western Economic Diversification Canada; National Research Council Canada; Canadian Institutes of Health Research(Canadian Institutes of Health Research (CIHR))</t>
  </si>
  <si>
    <t>This work was funded by Natural Sciences and Engineering Research Council (NSERC) grants RGPIN 435655-201 and RGPIN 2014-05563. The authors acknowledge John Postlethwait, Bill Dietrich, the National Science Foundation, and the US Antarctic Program for the opportunity to collect Antarctic samples. The authors are grateful to Karen Yuen and Ali Taherian for technical assistance. Research described in this paper was performed at the BMIT facility at the Canadian Light Source, which is supported by the Canada Foundation for Innovation, Natural Sciences and Engineering Research Council of Canada, the University of Saskatchewan, the Government of Saskatchewan, Western Economic Diversification Canada, the National Research Council Canada, and the Canadian Institutes of Health Research.</t>
  </si>
  <si>
    <t>1742-7061</t>
  </si>
  <si>
    <t>1878-7568</t>
  </si>
  <si>
    <t>ACTA BIOMATER</t>
  </si>
  <si>
    <t>Acta Biomater.</t>
  </si>
  <si>
    <t>JAN 15</t>
  </si>
  <si>
    <t>10.1016/j.actbio.2018.11.047</t>
  </si>
  <si>
    <t>Engineering, Biomedical; Materials Science, Biomaterials</t>
  </si>
  <si>
    <t>Engineering; Materials Science</t>
  </si>
  <si>
    <t>HJ1DS</t>
  </si>
  <si>
    <t>WOS:000456902700034</t>
  </si>
  <si>
    <t>Ovsepyan, EA; Ivanova, EV</t>
  </si>
  <si>
    <t>Ovsepyan, Ekaterina A.; Ivanova, Elena V.</t>
  </si>
  <si>
    <t>Glacial-interglacial interplay of southern- and northern-origin deep waters in the Sao Paulo Plateau - Vema Channel area of the western South Atlantic</t>
  </si>
  <si>
    <t>Paleoceanographic reconstructions; Deep-water circulation; AMOC; Carbon isotopes; Geostrophic balance</t>
  </si>
  <si>
    <t>MERIDIONAL OVERTURNING CIRCULATION; OCEAN CIRCULATION; CONTOURITE SYSTEMS; CARBON-ISOTOPE; CLIMATE; FORAMINIFERA; DELTA-C-13; OXYGEN; CYCLE</t>
  </si>
  <si>
    <t>The Atlantic Meridional Overturning Circulation (AMOC) is a key component of the global climate system due to its role in oceanic heat transport, CO2 exchange between the ocean and atmosphere, and carbon storage in the ocean interior. Previous studies have proposed dramatic changes in the global thermohaline circulation during glacial-interglacial cycles. Here, we present isotopic, geochemical and foraminiferal records from the core AI-3152 (water depth 3435 m). These data demonstrate shifts in the depth of northern- and southern-sourced deep water masses, as well as of foraminiferal lysocline in the Sao Paulo Plateau area, north-westward of the Vema Channel, in the western South Atlantic over the last 167 kyr. That the study area was bathed by southern-origin deep water masses during MIS 6, 4-2 and MIS 5.4-5.1, whereas a prevalence of northern-sourced waters is reconstructed for interglacials and MIS 5.5 and 1. Our data suggest that a carbonate saturation state associated with deep water ventilation, Antarctic air temperatures, ocean atmosphere gas exchange, Southern Ocean up-welling rates and likely productivity changes significantly affected the deep sea oceanographic conditions in the Sao Paulo Plateau area during glacials and MIS 5.4-5.1. A comparison of delta O-18(Cw) and delta C-13(Cw) recorded from core AI-3152 to other stable isotope records from the Rio Grande Rise, to the east of the Vema Channel clearly indicated the presence of a southern-derived analogue of dense Weddell Sea Deep Water at 3.4-4 km depth in the Vema Channel area during the MIS 3-2 interval. An approximately 500 m steeper W-E slope on the boundary of two southern-origin deep water masses was inferred on both sides of the Vema Channel during MIS 3-2. This boundary shift likely reflects a northward expansion of the densest water mass in the Atlantic, thereby impacting geostrophic balance.</t>
  </si>
  <si>
    <t>[Ovsepyan, Ekaterina A.; Ivanova, Elena V.] Russian Acad Sci, Shirshov Inst Oceanol, Moscow, Russia</t>
  </si>
  <si>
    <t>Ovsepyan, EA (corresponding author), Russian Acad Sci, PP Shirshov Inst Oceanol, 36 Nakhimovsky Prospekt, Moscow 117997, Russia.</t>
  </si>
  <si>
    <t>eovsepyan@ocean.ru; e_v_ivanova@oceansu.ru</t>
  </si>
  <si>
    <t>Ovsepyan, Ekaterina A./M-7743-2016; Ivanova, Elena/AAW-2881-2020; Ovsepyan, Ekaterina/ABD-5996-2021</t>
  </si>
  <si>
    <t>Ivanova, Elena/0000-0003-3926-0590; Ovsepyan, Ekaterina/0000-0002-2555-1883</t>
  </si>
  <si>
    <t>Russian Science Foundation [14-50-00095, 18-17-00227]; Russian Science Foundation [18-17-00227] Funding Source: Russian Science Foundation</t>
  </si>
  <si>
    <t>The authors are grateful to scientific party, master and crew of RN Akademik loffe cruise 43 for the assistance with core collection. We thank R. Tarakanov, W. Curry and G. Leduc for stimulating discussions, and N. Grechikhina for picking foraminifers to stable isotope measurements. We acknowledge three anonymous reviewers for valuable comments which greatly improved this manuscript. J. Studholme is warmly thanked for the English editing and very helpful suggestions. The English editing of the revised version was provided by N. Day (ServiceScape Incorporated). This work is supported by the Russian Science Foundation grants 14-50-00095 (for the core AI-3152 study and interpretations) and 18-17-00227 (for regional correlations).</t>
  </si>
  <si>
    <t>10.1016/j.palaeo.2018.10.031</t>
  </si>
  <si>
    <t>HI3NA</t>
  </si>
  <si>
    <t>WOS:000456355800026</t>
  </si>
  <si>
    <t>Mahesh, BS; Warrier, AK; Mohan, R; Tiwari, M</t>
  </si>
  <si>
    <t>Mahesh, Badanal Siddaiah; Warrier, Anish Kumar; Mohan, Rahul; Tiwari, Manish</t>
  </si>
  <si>
    <t>Impact of Antarctic climate during the Late Quaternary: Records from Zub Lake sedimentary archives from Schirmacher Hills, East Antarctica</t>
  </si>
  <si>
    <t>Carbon and nitrogen isotopes; C/N ratio; Particle size variation; Glacial-interglacial variations; Antarctic Isotope Maximum; Organic matter</t>
  </si>
  <si>
    <t>LUTZOW-HOLM BAY; ORGANIC GEOCHEMISTRY; LARSEMANN HILLS; LONG LAKE; ISOTOPE; HISTORY; CARBON; HOARE; DEPOSITION; DELTA-C-13</t>
  </si>
  <si>
    <t>The Antarctic continental margin is marked with ice-free areas which are host to numerous freshwater lakes. These lacustrine systems are rich in sedimentary deposits which archive in them the regional and general climatic variations. These lakes respond to the seasonal variations in climate over glacial-interglacial timescales and can be inferred from the sedimentary proxies. In this study, a 79-cm-long radiocarbon dated sediment core retrieved from a peri-glacial lake is analysed for elementary (C-org%, N-org%), isotopic (delta C-13(OM), delta N-15(OM)) and particle size (sand, silt, clay). The radiocarbon dated sections (0-65 cm) extends up to 43 kyr BP. The time-series of sedimentary organic matter (OM) proxies (C-org similar to 3.5 +/- 3%, C/N-atomic (ratio) similar to 11 +/- 3 and delta C-13(OM) similar to-14 +/- 4 parts per thousand) indicate that the OM in this lake sedimentary record is an admixture of terrestrial and lacustrine biomass. Distinctly higher (lower) values during the Holocene (LGM) suggests presence of terrestrial and aquatic (aquatic) biomass indicating ice-free (ice-cover) and warm (cold) Holocene (glacial) conditions which would result in an increased (decreased) lake-productivity and fluvial (wind) input of sand and clay (silt). Higher sand content (similar to 30, similar to 24 and similar to 15 kyr BP), silt content (similar to 24 kyr BP), C-org and N-org (similar to 24 kyr BP) within the Last Glacial Stage (LGS) indicates intermittent warming period in coherence with the Antarctic Isotope Maximum (AIM). The transition in values (C-org N-org, C/N ratio, delta C-13(OM), sand content) starting at 16.6 kyr BP closely following Antarctic deglaciation to reach Holocene optimum values at 11.3 kyr BP documents the influence of Antarctic climate on regional areas.</t>
  </si>
  <si>
    <t>[Mahesh, Badanal Siddaiah; Mohan, Rahul; Tiwari, Manish] Govt India, Minist Earth Sci, ESSO, Natl Ctr Antarctic &amp; Ocean Res, Vasco 403804, Goa, India; [Warrier, Anish Kumar] Manipal Acad Higher Educ, MIT, Dept Civil Engn, Ctr Climate Studies, Manipal 576104, Karnataka, India</t>
  </si>
  <si>
    <t>Ministry of Earth Sciences (MoES) - India; National Centre for Polar and Ocean Research (NCPOR); Earth System Science Organization (ESSO); Manipal Academy of Higher Education (MAHE)</t>
  </si>
  <si>
    <t>Mahesh, BS (corresponding author), Govt India, Minist Earth Sci, ESSO, Natl Ctr Antarctic &amp; Ocean Res, Vasco 403804, Goa, India.</t>
  </si>
  <si>
    <t>mahesh@ncaor.gov.in</t>
  </si>
  <si>
    <t>Warrier, Anish Kumar/AAW-8890-2020</t>
  </si>
  <si>
    <t>Warrier, Anish Kumar/0000-0003-0044-6224; Badnal, Mahesh/0000-0001-6593-4611; Tiwari, Manish/0000-0003-3143-1658</t>
  </si>
  <si>
    <t>10.1016/j.palaeo.2018.10.029</t>
  </si>
  <si>
    <t>WOS:000456355800030</t>
  </si>
  <si>
    <t>Grygar, TM; Mach, K; Schnabl, P; Martinez, M; Zeeden, C</t>
  </si>
  <si>
    <t>Grygar, T. Matys; Mach, K.; Schnabl, P.; Martinez, M.; Zeeden, C.</t>
  </si>
  <si>
    <t>Orbital forcing and abrupt events in a continental weathering proxy from central Europe (Most Basin, Czech Republic, 17.7-15.9 Ma) recorded beginning of the Miocene Climatic Optimum</t>
  </si>
  <si>
    <t>Geochemistry; Eccentricity; Precession; Polarity time scale; Miocene; Continental weathering</t>
  </si>
  <si>
    <t>ANTARCTIC ICE-SHEET; SOUTH CHINA SEA; MIDDLE MIOCENE; LACUSTRINE RECORD; 40AR/39AR AGES; LATE OLIGOCENE; CARBON-CYCLE; EGER GRABEN; EVOLUTION; MINERALS</t>
  </si>
  <si>
    <t>We describe orbital forcing in siliciclastic lacustrine sediments, deposited in central Europe (ca. 50.5 degrees N and 13.5 degrees E, the Most Basin, the Czech Republic) between similar to 17.7 and similar to 15.9 Ma, i.e., before the Miocene climatic optimum (MCO) and in its early stage. Chemical element analysis combined with magneto- and cyclostratigraphy produced a consistent stratigraphy for the studied basin fill. The palaeoenvironmental record is mainly based on variations of the chemical weathering intensity in the lake catchment (normalised potassium concentration K/Al or K/Ti). The Most Basin sedimentary profile is specific by relatively high deposition rates (typically 20 cm/kyr, sampling density corresponded to temporal resolution of 1-2 kyr) and sensitivity to a regional continental climate. For age control, we used the ATNTS2012 for younger sediments and an alternative age of the onset of C5Dn chron and the end of C5Dr.1r short chron. In the earliest studied interval, the chemical weathering intensity in the catchment was controlled by precession, while between 17.5 and 17.15 Ma, short eccentricity was mainly driving chemical weathering intensity. After 17.05 Ma, i.e., just before the onset of the MCO, and in the period of persistent high eccentricity between 16.95 and 16.7 Ma, chemical weathering intensity reached its precession-controlled maxima. In the subsequent period of the persistent low eccentricity at 16.65 Ma, the orbital signal nearly vanished in the Most Basin. Abrupt but temporary environmental change occurred in the interval between 16.5 and 16.35 Ma (polarity chron C5Cn.2n), within two cycles of high eccentricity. Its trigger is uncertain but it might have been local or regional. The obtained composite record was compared with marine delta C-13 and delta O-18 data, showing certain global control of the Most Basin deposits. The Most Basin record thus shows climatic events of the pre-MCO and early MCO period in terrestrial settings of Central Europe, with changes at 17.05, 16.65, and 16.5 Ma, possibly representing triggers of the MCO.</t>
  </si>
  <si>
    <t>[Grygar, T. Matys] AS CR, Inst Inorgan Chem, Vvi, Rez 25068, Czech Republic; [Mach, K.] North Bohemian Mines, Jsc, 5 Kvetna 2013, Bilina 41801, Czech Republic; [Schnabl, P.] Czech Acad Sci, Inst Geol, Prague, Czech Republic; [Martinez, M.] Univ Rennes, CNRS, Geosci Rennes, UMR 6118, F-35000 Rennes, France; [Zeeden, C.] Univ Lille, UPMC Univ Paris 06, Sorbonne Univ, PSL Res Univ,CNRS,Observ Paris,IMCCE, F-75014 Paris, France</t>
  </si>
  <si>
    <t>Czech Academy of Sciences; Institute of Inorganic Chemistry of the Czech Academy of Sciences; Czech Academy of Sciences; Institute of Geology of the Czech Academy of Sciences; Universite de Rennes; Centre National de la Recherche Scientifique (CNRS); CNRS - National Institute for Earth Sciences &amp; Astronomy (INSU); Universite de Lille; Centre National de la Recherche Scientifique (CNRS); Sorbonne Universite; Universite PSL; Observatoire de Paris</t>
  </si>
  <si>
    <t>Grygar, TM (corresponding author), AS CR, Inst Inorgan Chem, Vvi, Rez 25068, Czech Republic.</t>
  </si>
  <si>
    <t>grygar@iic.cas.cz</t>
  </si>
  <si>
    <t>Martinez, Mathieu/AAA-7127-2020; Zeeden, Christian/AFO-4070-2022; Schnabl, Petr/I-7125-2012</t>
  </si>
  <si>
    <t>Martinez, Mathieu/0000-0003-0741-2940; Zeeden, Christian/0000-0002-8617-0443; Schnabl, Petr/0000-0003-0654-0449; Matys Grygar, Tomas/0000-0003-0931-0390</t>
  </si>
  <si>
    <t>Czech Science Foundation [16-00800S]; Czech Academy of Sciences</t>
  </si>
  <si>
    <t>Czech Science Foundation(Grant Agency of the Czech Republic); Czech Academy of Sciences(Czech Academy of Sciences)</t>
  </si>
  <si>
    <t>This work would not be possible without the access to drill cores HD50 and OS17 provided generously by the VODAMIN project coordinated by Palivovy Kombinat Usti, s.p. Drill cores HJK772, HK591, and DO565 were kindly provided by North Bohemian Mines in Bilina. The laboratory work and data processing were performed under support from the Czech Science Foundation (project number 16-00800S). The research is a part of research plan of the Institute of Inorganic Chemistry in Rez funded by the Czech Academy of Sciences.</t>
  </si>
  <si>
    <t>10.1016/j.palaeo.2018.10.034</t>
  </si>
  <si>
    <t>WOS:000456355800032</t>
  </si>
  <si>
    <t>Lee, H; Jo, KN</t>
  </si>
  <si>
    <t>Lee, Hojun; Jo, Kyoung-nam</t>
  </si>
  <si>
    <t>Oligocene paleoceanographic changes based on an interbasinal comparison of Cibicidoides spp. δ18O records and a new compilation of data</t>
  </si>
  <si>
    <t>ACC; NCW; Tectonic evolution; Ocean circulation; Eocene-Oligocene transition; Late Oligocene Warming</t>
  </si>
  <si>
    <t>STABLE-ISOTOPE RECORDS; ANTARCTIC CIRCUMPOLAR CURRENT; DEEP-WATER CIRCULATION; DRAKE PASSAGE; CONTINENTAL-MARGIN; NEW-JERSEY; SEA-LEVEL; GLACIAL MAXIMUM; CARBON-DIOXIDE; LATEST EOCENE</t>
  </si>
  <si>
    <t>Oligocene paleoceanographic changes are useful for assessing future changes in the warming world because the levels of atmospheric pCO(2) in the Oligocene were similar to those expected within the next century. However, the overall Oligocene history is still unclear even though our understanding has been improved by previous studies. In this paper, we review the preexisting hypotheses for the Eocene-Oligocene and Oligocene-Miocene changes as well as the long-term global changes. Based on newly compiled Cibicidoides spp. delta O-18 (delta O-18(CIB)) records, we divide the Oligocene paleoceanographic changes into five phases: an abrupt increase in delta O-18(CIB) values during the Eocene-Oligocene transition (EOT) (Phase 1), a gradual decrease in the early Oligocene (Phase 2), a long-term slow increase in the early to middle Oligocene (Phase 3), a gradual decrease in the late Oligocene (Phase 4) and an abrupt increase near the Oligocene-Miocene transition (OMT) (Phase 5). These recurring sequential changes in the global-scale delta O-18(CIB) profile following the EOT are likely not directly connected to the strengthening and stratification of ocean currents during the Oligocene as a result of the unidirectional strengthening of the Antarctic circumpolar current (ACC) and the northern component water (NCW). Instead, we suggest that the strengthened ocean currents contributed significantly to interbasinal differences in delta O-18(CIB) values. For a more robust explanation of Oligocene long-term delta O-18(CIB) changes following the EOT, future studies will require high-resolution and more reproducible records of changes in the volume of Antarctic ice and atmospheric pCO(2), as well as information about the tectonic history.</t>
  </si>
  <si>
    <t>[Lee, Hojun; Jo, Kyoung-nam] Kangwon Natl Univ, Coll Nat Sci, Div Geol &amp; Geophys, Chunchon, South Korea</t>
  </si>
  <si>
    <t>Kangwon National University</t>
  </si>
  <si>
    <t>Jo, KN (corresponding author), Nat Sci Coll 3 214,1 Gangwondaehakgil, Chuncheon Si, Gangwon Do, South Korea.</t>
  </si>
  <si>
    <t>kjo@kangwon.ac.kr</t>
  </si>
  <si>
    <t>National Research Foundation of Korea (NRF) - Korea government (MSIT) [2016R1C1B2016525, NRF-2015R1A4A1041105]; Ministry of Oceans and Fisheries, South Korea</t>
  </si>
  <si>
    <t>National Research Foundation of Korea (NRF) - Korea government (MSIT); Ministry of Oceans and Fisheries, South Korea</t>
  </si>
  <si>
    <t>This research was supported by the National Research Foundation of Korea (NRF) grant funded by the Korea government (MSIT) (No. NRF-2015R1A4A1041105), and the National Research Foundation of Korea (NRF) grant funded by the Korea government (MSIT) (No. 2016R1C1B2016525). Also this research was a part of the project International Ocean Discovery Program funded by the Ministry of Oceans and Fisheries, South Korea,</t>
  </si>
  <si>
    <t>10.1016/j.palaeo.2018.09.016</t>
  </si>
  <si>
    <t>WOS:000456355800058</t>
  </si>
  <si>
    <t>D'Arcy, M; Schildgen, TF; Strecker, MR; Wittmann, H; Duesing, W; Mey, J; Tofelde, S; Weissmann, P; Alonso, RN</t>
  </si>
  <si>
    <t>D'Arcy, Mitch; Schildgen, Taylor F.; Strecker, Manfred R.; Wittmann, Hella; Duesing, Walter; Mey, Juregen; Tofelde, Stefanie; Weissmann, Philipp; Alonso, Ricardo N.</t>
  </si>
  <si>
    <t>Timing of past glaciation at the Sierra de Aconquija, northwestern Argentina, and throughout the Central Andes</t>
  </si>
  <si>
    <t>Glaciation; Palaeoclimatology; South America; Cosmogenic isotopes; Monsoon; Younger Dryas; Antarctic Cold Reversal; Central Andes; Moraines</t>
  </si>
  <si>
    <t>INTERTROPICAL CONVERGENCE ZONE; HOLOCENE GLACIER FLUCTUATIONS; SOUTHERN BOLIVIAN ALTIPLANO; LATE PLEISTOCENE GLACIATION; ANTARCTIC COLD REVERSAL; SURFACE EXPOSURE AGES; BE-10 PRODUCTION-RATE; TROPICAL ANDES; CLIMATE-CHANGE; COSMOGENIC NUCLIDE</t>
  </si>
  <si>
    <t>Advances in cosmogenic nuclide exposure dating have made moraines valuable terrestrial recorders of palaeoclimate. A growing number of moraine chronologies reported from the Central Andes show that tropical glaciers responded sensitively to past changes in precipitation and temperature over timescales ranging from 10(3) to 10(5) years. However, the causes of past glaciation in the Central Andes remain uncertain. Explanations have invoked insolation-modulated variability in the strength of the South American Summer Monsoon, teleconnections with the North Atlantic Ocean, and/or cooling in the Southern Hemisphere. The driver for these past climate changes is difficult to identify, partly due to a lack of dated moraine records, especially in climatically sensitive areas of the southern Central Andes. Moreover, new constraints are needed on precisely where and when glaciers advanced. We use cosmogenic Be-10 produced in situ to determine exposure ages for three generations of moraines at the Sierra de Aconquija, situated at 27 degrees S on the eastern flank of the southern Central Andes. These moraines record glacier advances at approximately 22 ka and 40 ka, coincident with summer insolation maxima in the sub-tropics of the Southern Hemisphere, as well as at 12.5 ka and 13.5 ka during the Younger Dryas and the Antarctic Cold Reversal, respectively. We also identify minor glaciation during Bond Event 5, also known as the 8.2 ka event. These moraines register past climate changes with high fidelity, and currently constitute the southernmost dated record of glaciation on the eastern flank of the Central Andes. To contextualise these results, we compile Be-10 data reported from 144 moraines in the eastern Central Andes that represent past glacier advances. We re-calculate exposure ages from these data using an updated reference production rate, and we re-interpret the moraine ages by taking the oldest clustered boulder age (after the exclusion of outliers attributed to nuclide inheritance) as closest to the timing of glacier advance-an approach for which we provide empirical justification. This compilation reveals that Central Andean glaciers have responded to changes in temperature and precipitation. We identify cross latitude advances in phase with insolation cycles, the last global glacial maximum, and episodes of strengthened monsoonal moisture transport including the Younger Dryas and Heinrich Stadials 1 and 2. Our results from the Sierra de Aconquija allow us to constrain the southerly limit of enhanced precipitation associated with Heinrich Stadials at similar to 25 degrees S. More broadly, our findings demonstrate at both local and regional scales that moraines record past climate variability with a fine spatial and temporal resolution. (C) 2018 Elsevier Ltd. All rights reserved.</t>
  </si>
  <si>
    <t>[D'Arcy, Mitch; Schildgen, Taylor F.; Strecker, Manfred R.; Duesing, Walter; Tofelde, Stefanie; Weissmann, Philipp] Univ Potsdam, Inst Earth &amp; Environm Sci, Karl Liebknecht Str 24-25, D-14476 Potsdam, Germany; [D'Arcy, Mitch; Schildgen, Taylor F.; Wittmann, Hella; Mey, Juregen; Tofelde, Stefanie] GFZ German Res Ctr Geosci, D-14473 Potsdam, Germany; [Alonso, Ricardo N.] Univ Nacl Salta, Dept Geol, RA-4400 Salta, Argentina; [Alonso, Ricardo N.] CEGA INSUGEO, CONICET, RA-4400 Salta, Argentina</t>
  </si>
  <si>
    <t>University of Potsdam; Helmholtz Association; Helmholtz-Center Potsdam GFZ German Research Center for Geosciences; Consejo Nacional de Investigaciones Cientificas y Tecnicas (CONICET)</t>
  </si>
  <si>
    <t>D'Arcy, M (corresponding author), Univ Potsdam, Inst Earth &amp; Environm Sci, Karl Liebknecht Str 24-25, D-14476 Potsdam, Germany.</t>
  </si>
  <si>
    <t>mdarcy@uni-potsdam.de</t>
  </si>
  <si>
    <t>Schildgen, Taylor F/L-1257-2013; Wittmann, Hella/F-9391-2011</t>
  </si>
  <si>
    <t>Schildgen, Taylor/0000-0002-4236-4609; , Stefanie/0000-0001-8359-2950; Mey, Jurgen/0000-0002-3171-460X; Wittmann, Hella/0000-0002-1252-7059</t>
  </si>
  <si>
    <t>10.1016/j.quascirev.2018.11.022</t>
  </si>
  <si>
    <t>HI3MC</t>
  </si>
  <si>
    <t>WOS:000456353300003</t>
  </si>
  <si>
    <t>Voarintsoa, NRG; Matero, ISO; Railsback, LB; Gregoire, LJ; Tindall, J; Sime, L; Cheng, H; Edwards, RL; Brook, GA; Kathayat, G; Li, XL; Rakotondrazafy, AFM; Razanatseheno, MOM</t>
  </si>
  <si>
    <t>Voarintsoa, Ny Riavo G.; Matero, Ilkka S. O.; Railsback, L. Bruce; Gregoire, Lauren J.; Tindall, Julia; Sime, Louise; Cheng, Hai; Edwards, R. Lawrence; Brook, George A.; Kathayat, Gayatri; Li, Xianglei; Rakotondrazafy, Amos Fety Michel; Razanatseheno, Marie Olga Madison</t>
  </si>
  <si>
    <t>Investigating the 8.2 ka event in northwestern Madagascar: Insight from data-model comparisons</t>
  </si>
  <si>
    <t>Holocene; Speleothems; Stable isotopes; ITCZ-Monsoon; Madagascar; 8.2 ka event; Paleoclimate modeling; Data-model comparisons; AMOC</t>
  </si>
  <si>
    <t>ABRUPT CLIMATE-CHANGE; ATLANTIC THERMOHALINE CIRCULATION; INTERTROPICAL CONVERGENCE ZONE; OXYGEN-ISOTOPE FRACTIONATION; GLACIAL LAKE AGASSIZ; COLD EVENT; BP EVENT; EARLY HOLOCENE; SEA-LEVEL; ENVIRONMENTAL CONTROLS</t>
  </si>
  <si>
    <t>The 8.2 ka event is a well-known cooling event in the Northern Hemisphere, but is poorly understood in Madagascar. Here, we compare paleoclimate data and outputs from paleoclimate simulations to better understand it. Records from Madagascar suggest two distinct sub-events (8.3 ka and 8.2 ka), that seem to correlate with records from northern high latitude. This could indicate causal relationships via changes in the Atlantic Meridional Overturning Circulation (AMOC) with changes in moisture source's delta O-18, and changes in the mean position of the Inter-Tropical Convergence Zone (ITCZ), as climate modelling suggests. These two sub-events are also apparent in other terrestrial records, but the climatic signals are different. The prominent 8.2 ka sub-event records a clear antiphase relationship between the northern and southern hemisphere monsoons, whereas such relationship is less evident during the first 8.3 1</t>
  </si>
  <si>
    <t>[Voarintsoa, Ny Riavo G.; Railsback, L. Bruce] Univ Georgia, Dept Geol, Athens, GA 30602 USA; [Matero, Ilkka S. O.; Gregoire, Lauren J.; Tindall, Julia] Univ Leeds, Sch Earth &amp; Environm, Leeds LS2 9JT, W Yorkshire, England; [Sime, Louise] British Antarctic Survey, Ice Dynam &amp; Paleoclimate, Cambridge CB3 0ET, England; [Cheng, Hai; Kathayat, Gayatri; Li, Xianglei] Xi An Jiao Tong Univ, Inst Global Environm Change, Xian 710049, Shaanxi, Peoples R China; [Cheng, Hai; Edwards, R. Lawrence] Univ Minnesota, Dept Earth Sci, Minneapolis, MN 55455 USA; [Brook, George A.] Univ Georgia, Dept Geog, Athens, GA 30602 USA; [Rakotondrazafy, Amos Fety Michel; Razanatseheno, Marie Olga Madison] Univ Antananarivo, Ment Sci Terre &amp; Environm Domaine Sci &amp; Technol, Antananarivo, Madagascar; [Voarintsoa, Ny Riavo G.] Hebrew Univ Jerusalem, Inst Earth Sci, Jerusalem, Israel</t>
  </si>
  <si>
    <t>University System of Georgia; University of Georgia; University of Leeds; UK Research &amp; Innovation (UKRI); Natural Environment Research Council (NERC); NERC British Antarctic Survey; Xi'an Jiaotong University; University of Minnesota System; University of Minnesota Twin Cities; University System of Georgia; University of Georgia; University Antananarivo; Hebrew University of Jerusalem</t>
  </si>
  <si>
    <t>Voarintsoa, NRG (corresponding author), Univ Georgia, Dept Geol, Athens, GA 30602 USA.;Voarintsoa, NRG (corresponding author), Hebrew Univ Jerusalem, Inst Earth Sci, Jerusalem, Israel.</t>
  </si>
  <si>
    <t>nyriavony@gmail.com</t>
  </si>
  <si>
    <t>CHENG, HAI/H-3413-2017; Sime, Louise/AAX-7730-2021; Edwards, Richard/JAX-3732-2023; Gregoire, Lauren J/A-7005-2011; Edwards, R. Lawrence/I-3124-2014</t>
  </si>
  <si>
    <t>CHENG, HAI/0000-0002-5305-9458; Sime, Louise/0000-0002-9093-7926; Gregoire, Lauren J/0000-0003-0258-7282; Li, Xianglei/0000-0002-8464-9020; Kathayat, Gayatri/0000-0001-9333-9385; Voarintsoa, Ny Riavo/0000-0002-8823-3807; Matero, Ilkka/0000-0002-2333-9010</t>
  </si>
  <si>
    <t>National Natural Science Foundation of China (NSFC) [41731174, 41561144003]; NERC [NE/L002574/1]; Geological Society of America Research Grant [GSA 11166-16]; John Montagne Fund Award; Miriam Watts-Wheeler Graduate Student Grant from the Department of Geology at UGA; International Association of Sedimentology Post-Graduate Grant; NSF [1702816]; Schlumberger Foundation; NERC [bas0100034] Funding Source: UKRI</t>
  </si>
  <si>
    <t>National Natural Science Foundation of China (NSFC)(National Natural Science Foundation of China (NSFC)); NERC(UK Research &amp; Innovation (UKRI)Natural Environment Research Council (NERC)); Geological Society of America Research Grant; John Montagne Fund Award; Miriam Watts-Wheeler Graduate Student Grant from the Department of Geology at UGA; International Association of Sedimentology Post-Graduate Grant; NSF(National Science Foundation (NSF)); Schlumberger Foundation(Schlumberger); NERC(UK Research &amp; Innovation (UKRI)Natural Environment Research Council (NERC))</t>
  </si>
  <si>
    <t>This research was supported by the following grants: (1) the National Natural Science Foundation of China (NSFC 41731174 and 41561144003) to Hai Cheng, (2) the NERC grant NE/L002574/1 to Ilkka S.O. Matero, (3) the Geological Society of America Research Grant (GSA 11166-16) and John Montagne Fund Award to N. Voarintsoa, (4) the Miriam Watts-Wheeler Graduate Student Grant from the Department of Geology at UGA to N. Voarintsoa, (5) the International Association of Sedimentology Post-Graduate Grant to N. Voarintsoa, and (6) grant NSF 1702816 to R. Lawrence Edwards and Hai Cheng. We also thank the Schlumberger Foundation for providing additional support to N. Voarintsoa's research. We thank the Department of Geology, Faculty of Science, at the University of Antananarivo, in Madagascar, the Ministry of Energy and Mines, the local village and guides in Majunga for facilitating our research in Madagascar. We specifically thank the former Department Head of the Department of Geology at the University of Antananarivo, for giving permission to do field expedition in Madagascar. We thank Prof. Paul Schroeder for giving us access to use the X-ray diffractometer of the Geology Department to conduct analysis on the mineralogy of Stalagmite ANJB-2. We thank Dr. Lixin Wang and Dr. Liz Keller for many productive discussions of the 8.2 ka event, and Dr. Joe Lambert for his prompt service analyzing our samples for stable isotopes. We thank Dr. Dominguez-Villar for sharing his Kaite Cave data with us. Finally, we thank Prof. Andy Baker for sharing unpublished delta18O metadata analyses of drip water, allowing us to better understand factors controlling delta18O in caves.</t>
  </si>
  <si>
    <t>10.1016/j.quascirev.2018.11.030</t>
  </si>
  <si>
    <t>WOS:000456353300011</t>
  </si>
  <si>
    <t>Belt, ST</t>
  </si>
  <si>
    <t>Belt, Simon T.</t>
  </si>
  <si>
    <t>What do IP25 and related biomarkers really reveal about sea ice change?</t>
  </si>
  <si>
    <t>Significant changes to Arctic and Antarctic sea ice in recent decades has prompted the development and application of novel approaches to the reconstruction of past sea ice conditions over much longer timeframes. One such approach is based on the variable distribution of certain source-specific highly branched isoprenoid (HBI) lipid biomarkers in well-dated marine sediment records. Thus, IP25 and IPSO25 have emerged as useful proxy measures of seasonal sea ice in the Arctic and Antarctic, respectively. An overview of the salient features of IP25, IPSO25 and related biomarkers is presented, together with aspects that are currently less well-understood and potentially provide direction for future research. (C) 2018 Elsevier Ltd. All rights reserved.</t>
  </si>
  <si>
    <t>[Belt, Simon T.] Univ Plymouth, Sch Geog Earth &amp; Environm Sci, Biogeochem Res Ctr, Plymouth PL4 8AA, Devon, England</t>
  </si>
  <si>
    <t>University of Plymouth</t>
  </si>
  <si>
    <t>Belt, ST (corresponding author), Univ Plymouth, Sch Geog Earth &amp; Environm Sci, Biogeochem Res Ctr, Plymouth PL4 8AA, Devon, England.</t>
  </si>
  <si>
    <t>sbelt@plymouth.ac.uk</t>
  </si>
  <si>
    <t>10.1016/j.quascirev.2018.11.025</t>
  </si>
  <si>
    <t>WOS:000456353300014</t>
  </si>
  <si>
    <t>Rolland, Y; Bernet, M; van der Beek, P; Gautheron, C; Duclaux, G; Bascou, J; Balvay, M; Héraudet, L; Sue, C; Ménot, RP</t>
  </si>
  <si>
    <t>Rolland, Yann; Bernet, Matthias; van der Beek, Peter; Gautheron, Cecile; Duclaux, Guillaume; Bascou, Jerome; Balvay, Melanie; Heraudet, Laura; Sue, Christian; Menot, Rene-Pierre</t>
  </si>
  <si>
    <t>Late Paleozoic Ice Age glaciers shaped East Antarctica landscape</t>
  </si>
  <si>
    <t>Antarctica; glaciation; erosion; LPIA; thermochronology; exhumation</t>
  </si>
  <si>
    <t>PARTICLE STOPPING DISTANCES; PRINCE-CHARLES-MOUNTAINS; NORTHERN-VICTORIA-LAND; TRANSANTARCTIC MOUNTAINS; RADIATION-DAMAGE; LAMBERT GRABEN; CARBON-CYCLE; EROSION; GLACIATION; HISTORY</t>
  </si>
  <si>
    <t>The erosion history of Antarctica is fundamental to our understanding of interlinks between climate and glacier dynamics. However, because of the vast polar ice sheet covering more than 99% of Antarctica land mass, the continental surface response to glacial erosion remains largely unknown. Over the last decade the subglacial topography of Antarctica has been imaged by airborne radar surveys. These studies revealed high and complex sub-glacial relief in the core of the East Antarctic shield, interpreted as resulting from rifting episodes and low long-term erosion rates, or repeated large-scale glacial retreats and advances. In East Antarctica, thermochronology studies have revealed a spatially localized Cenozoic erosion starting after 34 Ma, with a maximum denudation of 2 km in the Lambert Trough. Low pre-glacial erosion rates before 34 Ma have been inferred since the Permian period, following a phase of significant (&gt;2 km) erosion during the Late Paleozoic between 350 and 250 Ma. However, the exact extent, magnitude and significance of this Late-Paleozoic erosion phase remain elusive. Here we show that homogeneous exhumation occurred at the scale of the Terre Adelie margin of East Antarctica in response to major glacial erosion during the Late Paleozoic Ice Age (LPIA). Our data require homogeneous exhumation and &gt;4 km erosion between 340 and 300 Ma, along a 600-km profile along the Terre Adelie-George V Land coast. The data are inconsistent with either exhumation during Permian rifting, or with significant (&gt;1.5 km) Cenozoic glacial erosion, which requires LPIA glaciers to have been temperate, promoting glacial sliding, erosion and sediment transfer, even at high latitudes, unlike in the present situation. (C) 2018 Elsevier B.V. All rights reserved.</t>
  </si>
  <si>
    <t>[Rolland, Yann; Duclaux, Guillaume] Univ Cote Azur, CNRS, OCA, IRD, 250 Rue Albert Einstein, F-06560 Valbonne, France; [Rolland, Yann; Heraudet, Laura] Univ Savoie, EDYTEM, CNRS, UMR 5204, Le Bourget Du Lac, France; [Bernet, Matthias; van der Beek, Peter; Balvay, Melanie] Univ Savoie Mt Blanc, Univ Grenoble Alpes, CNRS, IRD,IFSTTAR,ISTerre, F-38000 Grenoble, France; [Gautheron, Cecile] Univ Paris Saclay, Univ Paris Sud 11, CNRS, GEOPS, Rue Belvedere,Bat 504, F-91405 Orsay, France; [Bascou, Jerome; Menot, Rene-Pierre] Univ Jean Monnet, Univ Lyon, F-42023 St Etienne, France; [Bascou, Jerome; Menot, Rene-Pierre] CNRS, Lab Magmas &amp; Volcans, UMR 6524, F-42023 St Etienne, France; [Sue, Christian] Univ Bourgogne Franche Comte, CNRS, Chronoenvironm, UMR 6249, 16 Route Gray, F-25030 Besancon, France</t>
  </si>
  <si>
    <t>Centre National de la Recherche Scientifique (CNRS); Institut de Recherche pour le Developpement (IRD); Universite Cote d'Azur; Observatoire de la Cote d'Azur; Universite Savoie Mont Blanc; Centre National de la Recherche Scientifique (CNRS); CNRS - Institute of Ecology &amp; Environment (INEE); Communaute Universite Grenoble Alpes; Universite Grenoble Alpes (UGA); Centre National de la Recherche Scientifique (CNRS); Institut de Recherche pour le Developpement (IRD); Universite Gustave-Eiffel; Universite Savoie Mont Blanc; Universite Paris Saclay; Universite Paris Cite; Centre National de la Recherche Scientifique (CNRS); Centre National de la Recherche Scientifique (CNRS); CNRS - National Institute for Earth Sciences &amp; Astronomy (INSU); Institut de Recherche pour le Developpement (IRD); Universite Clermont Auvergne (UCA); Universite Jean Monnet; Universite de Franche-Comte; Centre National de la Recherche Scientifique (CNRS); CNRS - Institute of Ecology &amp; Environment (INEE)</t>
  </si>
  <si>
    <t>Rolland, Y (corresponding author), Univ Cote Azur, CNRS, OCA, IRD, 250 Rue Albert Einstein, F-06560 Valbonne, France.;Rolland, Y (corresponding author), Univ Savoie, EDYTEM, CNRS, UMR 5204, Le Bourget Du Lac, France.</t>
  </si>
  <si>
    <t>Yann.Rolland@univ-smb.fr</t>
  </si>
  <si>
    <t>Gautheron, Cecile/ABC-9034-2020; Gautheron, Cecile/HPH-3944-2023; van der Beek, Pieter/AAC-9274-2019; Rolland, yann/AAE-9187-2020; Duclaux, Guillaume/I-4391-2019; Rolland, yann/B-7588-2016</t>
  </si>
  <si>
    <t>Gautheron, Cecile/0000-0001-7068-9868; Gautheron, Cecile/0000-0001-7068-9868; van der Beek, Pieter/0000-0001-9581-3159; Duclaux, Guillaume/0000-0002-9512-7252; Rolland, yann/0000-0001-9547-6092; sue, christian/0000-0002-2472-5001</t>
  </si>
  <si>
    <t>Labex grant of University of Grenoble Alpes Community; ISTerre; UFC Besancon/UMR Chrono-Environnement; Geoazur; IPEV</t>
  </si>
  <si>
    <t>This work was supported by a Labex grant of University of Grenoble Alpes Community and ISTerre, and received additional funding from 'UFC Besancon/UMR Chrono-Environnement' and Geoazur. The IPEV supported numerous field seasons in Terre Adelie, through the GEOLETA and ARLITA programmes. We acknowledge the help of F. Coeur and F. Senebier in the mineral separation process and Rosella Pinna-Jamme for her help during (U-Th)/He analysis. Editorial handling of An Yin and in-depth anonymous reviewer comments provided have helped to significantly improve the first version of this article.</t>
  </si>
  <si>
    <t>10.1016/j.epsl.2018.10.044</t>
  </si>
  <si>
    <t>HH4LL</t>
  </si>
  <si>
    <t>WOS:000455693800013</t>
  </si>
  <si>
    <t>Peternell, M; Wilson, CJL; Hammes, DM</t>
  </si>
  <si>
    <t>Peternell, Mark; Wilson, Christopher J. L.; Hammes, Daniel M.</t>
  </si>
  <si>
    <t>Strain rate dependence for evolution of steady state grain sizes: Insights from high-strain experiments on ice</t>
  </si>
  <si>
    <t>ice; microstructure; in situ experiments; steady state; fabric analyser</t>
  </si>
  <si>
    <t>IN-SITU DEFORMATION; DYNAMIC RECRYSTALLIZATION; CRYSTAL SIZE; ORIENTATION; FLOW; RHEOLOGY; MICROSTRUCTURE; TEMPERATURE; TEXTURE; QUARTZ</t>
  </si>
  <si>
    <t>Understanding of the microstructural evolution and equilibrium grain size development during steady state tertiary flow is essential in order to improve our knowledge of ice and rock deformation, This contribution presents results from in situ transmitted light deformation experiments of natural glacier ice, with the development of the microstructure in a tertiary flow regime. We conducted one relative slower (1 x 10(-6) 1/s) and two relative faster-strain rate (2 x 10(-6) 1/s) pure shear experiments at -10 degrees C, up to a shortening of similar to 57%. Microstructure development was followed by time-lapse observations, and two new microstructure-based indicators, the 'seeding rate' and the 'microstructure activity', were introduced to evaluate whether a steady-state was reached. These indicate that a steady state was only reached in the two faster strain rate experiments. In contrast, during a slow deformation there is insufficient seeding of new grains to enable continuous recovery, and there is a bimodal grain size distribution. These results are explained by stress concentrations within grains. Particularly where basal planes are in unfavourable orientations for basal slip (hard glide orientation) coinciding with the development of a bimodal grain size distribution. In the case of bimodal grain size distributions the use of a stabilised mean grain size as a stress piezometer as a criterion for steady state should be handled with caution. (C) 2018 Elsevier B.V. All rights reserved.</t>
  </si>
  <si>
    <t>[Peternell, Mark; Hammes, Daniel M.] Johannes Gutenberg Univ Mainz, Inst Geosci, JJ Becher Weg 21, D-55128 Mainz, Germany; [Wilson, Christopher J. L.] Monash Univ, Sch Earth Atmosphere &amp; Environm, Clayton, Vic 3800, Australia</t>
  </si>
  <si>
    <t>Johannes Gutenberg University of Mainz; Monash University</t>
  </si>
  <si>
    <t>Peternell, M (corresponding author), Johannes Gutenberg Univ Mainz, Inst Geosci, JJ Becher Weg 21, D-55128 Mainz, Germany.</t>
  </si>
  <si>
    <t>mark.peternell@tum.de; Chris.Wilson@monash.edu; DanielHammesR@aol.com</t>
  </si>
  <si>
    <t>Antarctic Science Advisory Committee [1205]; Australian Research Council [DP0773097]; VAMOS research centre at the University of Mainz; IAMG Computers and Geosciences Scholarship 2015; Sibylle Kalkhof-Rose Stiftung; DAAD-Australia-Germany [57316937]; Australian Research Council [DP0773097] Funding Source: Australian Research Council</t>
  </si>
  <si>
    <t>Antarctic Science Advisory Committee; Australian Research Council(Australian Research Council); VAMOS research centre at the University of Mainz; IAMG Computers and Geosciences Scholarship 2015; Sibylle Kalkhof-Rose Stiftung; DAAD-Australia-Germany; Australian Research Council(Australian Research Council)</t>
  </si>
  <si>
    <t>The ice used in this study and initial experiments were supported by Antarctic Science Advisory Committee (1205) and Australian Research Council (Project DP0773097) grants to CJLW, and MP was supported by the VAMOS research centre at the University of Mainz. We acknowledge the financial support for DMH by the IAMG Computers and Geosciences Scholarship 2015 and the Sibylle Kalkhof-Rose Stiftung, and for CJLW and MP by the DAAD-Australia-Germany Joint Research Co-operation Scheme (Project 57316937).</t>
  </si>
  <si>
    <t>10.1016/j.epsl.2018.10.037</t>
  </si>
  <si>
    <t>WOS:000455693800017</t>
  </si>
  <si>
    <t>Dziadek, R; Gohl, K; Kaul, N; Uenzelmann-Neben, G; Hochmuth, K; Riefstahl, F; Gebhardt, C; Arndt, JE; Klages, J; Esper, O; Ronge, T; Küssner, K; Kühn, G; Larter, R; Hillenbrand, CD; Smith, J; Bickert, T; Pälike, H; Frederichs, T; Freudenthal, T; Zundel, M; Spiegel, C; Ehrmann, W; Bohaty, S; van de Flierdt, T; Pereira, PS; Najman, Y; Scheinert, M; Ebermann, B; Afanasyeva, V</t>
  </si>
  <si>
    <t>Dziadek, R.; Gohl, K.; Kaul, N.; Uenzelmann-Neben, Gabriele; Hochmuth, Katharina; Riefstahl, Florian; Gebhardt, Catalina; Arndt, Jan-Erik; Klages, Johann; Esper, Oliver; Ronge, Thomas; Kuessner, Kevin; Kuehn, Gerhard; Larter, Robert; Hillenbrand, Claus-Dieter; Smith, James; Bickert, Torsten; Palike, Heiko; Frederichs, Thomas; Freudenthal, Tim; Zundel, Maximilian; Spiegel, Cornelia; Ehrmann, Werner; Bohaty, Steve; van de Flierdt, Tina; Pereira, Simoes Patric; Najman, Yani; Scheinert, Mirko; Ebermann, Benjamin; Afanasyeva, Victoria</t>
  </si>
  <si>
    <t>Sci Team Expedition PS104</t>
  </si>
  <si>
    <t>Elevated geothermal surface heat flow in the Amundsen Sea Embayment, West Antarctica</t>
  </si>
  <si>
    <t>skin depth for geothermal gradients; spatial variation of geothermal heat flow on small scales; in situ temperature measurements; geotherm transition</t>
  </si>
  <si>
    <t>CIRCUMPOLAR DEEP-WATER; PINE ISLAND BAY; CONTINENTAL-SHELF; ICE; FLUX; TEMPERATURE; BOREHOLE; CONSTRAINTS; VARIABILITY; SATELLITE</t>
  </si>
  <si>
    <t>The thermal state of polar continental crust plays a crucial role for understanding the stability and thickness of large ice sheets, the visco-elastic response of the solid Earth due to unloading when large ice caps melt and, in turn, the accuracy of future sea-level rise prediction. Various studies demonstrate the need for precise measurements and estimation of geothermal heat flow (GHF) in Antarctica for better constrained boundary conditions to enhance the ice sheet model performance. This study provides ground-truth for regional indirect GHF estimates in the Amundsen Sea Embayment, which is part of the West Antarctic Rift System, by presenting in situ temperature measurements in continental shelf sediments. Our results show regionally elevated and heterogeneous GHF (mean of 65 mW m(-2)) in the Amundsen Sea Embayment. Considering thermal blanketing effects, induced by inflow of warmer water and sedimentary processes, the estimated GHF ranges between 65 mW m(-2) and 95 mW m(-2). (C) 2018 Elsevier B.V. All rights reserved.</t>
  </si>
  <si>
    <t>[Dziadek, R.; Gohl, K.] Alfred Wegener Inst, Helmholtz Ctr Polar &amp; Marine Res, Alten Hafen 26, D-27568 Bremerhaven, Germany; [Kaul, N.] Univ Bremen, Dept Geosci, Klagenfurter Str 2-4, D-28359 Bremen, Germany; [Dziadek, R.; Gohl, K.; Uenzelmann-Neben, Gabriele; Hochmuth, Katharina; Riefstahl, Florian; Gebhardt, Catalina; Arndt, Jan-Erik; Klages, Johann; Esper, Oliver; Ronge, Thomas; Kuessner, Kevin; Kuehn, Gerhard] AWI, Bremerhaven, Germany; [Larter, Robert; Hillenbrand, Claus-Dieter; Smith, James] BAS, Cambridge, England; [Bickert, Torsten; Palike, Heiko; Frederichs, Thomas; Freudenthal, Tim] MARUM, Bremen, Germany; [Zundel, Maximilian; Spiegel, Cornelia] Univ Bremen, Bremen, Germany; [Ehrmann, Werner] Univ Leipzig, Leipzig, Germany; [Bohaty, Steve] NOCS UK, Southampton, Hants, England; [van de Flierdt, Tina] Imperial UK, London, England; [Pereira, Simoes Patric] Imperial BAS, London, England; [Najman, Yani] Univ Lancaster, Lancaster, England; [Scheinert, Mirko; Ebermann, Benjamin] Tech Univ Dresden, Dresden, Germany; [Afanasyeva, Victoria] VNIlOkean, Moscow, Russia</t>
  </si>
  <si>
    <t>Helmholtz Association; Alfred Wegener Institute, Helmholtz Centre for Polar &amp; Marine Research; University of Bremen; Helmholtz Association; Alfred Wegener Institute, Helmholtz Centre for Polar &amp; Marine Research; UK Research &amp; Innovation (UKRI); Natural Environment Research Council (NERC); NERC British Antarctic Survey; University of Bremen; University of Bremen; Leipzig University; Lancaster University; Technische Universitat Dresden</t>
  </si>
  <si>
    <t>Dziadek, R (corresponding author), Alfred Wegener Inst, Helmholtz Ctr Polar &amp; Marine Res, Alten Hafen 26, D-27568 Bremerhaven, Germany.</t>
  </si>
  <si>
    <t>ricarda.dziadek@awi.de</t>
  </si>
  <si>
    <t>Kaul, Norbert/AAU-1861-2021; Uenzelmann-Neben, Gabriele/AAI-8618-2020; Afanasyeva, Victoria/AAG-9210-2021; Gebhardt, Catalina/AHI-6432-2022; Pälike, Heiko/A-6560-2008; Najman, Yani/B-3027-2014</t>
  </si>
  <si>
    <t>Kaul, Norbert/0000-0001-6844-0318; Uenzelmann-Neben, Gabriele/0000-0002-0115-5923; Afanasyeva, Victoria/0000-0001-6023-1570; Gebhardt, Catalina/0000-0002-3227-0676; Pälike, Heiko/0000-0003-3386-0923; Scheinert, Mirko/0000-0002-0892-8941; Hochmuth, Katharina/0000-0003-2789-2179; Riefstahl, Florian/0000-0002-1198-1698; Arndt, Jan Erik/0000-0002-9413-1612; Dziadek, Ricarda/0000-0001-8689-9181; Najman, Yani/0000-0003-1286-6509; Spiegel, Cornelia/0000-0002-1432-3447; Gohl, Karsten/0000-0002-9558-2116</t>
  </si>
  <si>
    <t>Deutsche Forschungsgemeinschaft (DFG) [1158]; AWI Research Program PACES-II Workpackage 3.2; [GO 724/14-1]; NERC [NE/R018219/1, NE/L004607/1] Funding Source: UKRI</t>
  </si>
  <si>
    <t>Deutsche Forschungsgemeinschaft (DFG)(German Research Foundation (DFG)); AWI Research Program PACES-II Workpackage 3.2; ; NERC(UK Research &amp; Innovation (UKRI)Natural Environment Research Council (NERC))</t>
  </si>
  <si>
    <t>This work was supported by the Deutsche Forschungsgemeinschaft (DFG) in the framework of the Priority Program 1158 Antarctic research with comparative investigations in Arctic ice areas by grant GO 724/14-1. Additional funds were contributed by the AWI Research Program PACES-II Workpackage 3.2. The study contributes to the Scientific Program Past Antarctic Ice Sheet Dynamics (PAIS) of the Scientific Committee for Antarctic Research (SCAR). Many thanks to the Crew of RV Polarstern expedition PS104 (2017) for their support, endless engagement and creative thinking in unforeseen situations. We thank Fausto Ferraccioli and an anonymous reviewer for the constructive comments, which benefited the manuscript considerably. The data sets collected for this study will be available at PANGAEA database (www.pangea.de) after publication.</t>
  </si>
  <si>
    <t>10.1016/j.epsl.2018.11.003</t>
  </si>
  <si>
    <t>WOS:000455693800049</t>
  </si>
  <si>
    <t>Clarke, LJ; Suter, L; King, R; Bissett, A; Deagle, BE</t>
  </si>
  <si>
    <t>Clarke, Laurence J.; Suter, Leonie; King, Robert; Bissett, Andrew; Deagle, Bruce E.</t>
  </si>
  <si>
    <t>Antarctic Krill Are Reservoirs for Distinct Southern Ocean Microbial Communities</t>
  </si>
  <si>
    <t>Antarctic krill; Euphausia superba; Southern Ocean; microbiome; high-throughput DNA sequencing; 16S rRNA</t>
  </si>
  <si>
    <t>EUPHAUSIA-SUPERBA; BACTERIA; DIVERSITY; GROWTH; SEQUENCES; HABITATS; SEA</t>
  </si>
  <si>
    <t>Host-associated bacterial communities have received limited attention in polar habitats, but are likely to represent distinct nutrient-rich niches compared to the surrounding environment. Antarctic krill (Euphausia superba) are a super-abundant species with a circumpolar distribution, and the krill microbiome may make a substantial contribution to marine bacterial diversity in the Southern Ocean. We used high-throughput sequencing of the bacterial 16S ribosomal RNA gene to characterize bacterial diversity in seawater and krill tissue samples from four locations south of the Kerguelen Plateau, one of the most productive regions in the Indian Sector of the Southern Ocean. Krill-associated bacterial communities were distinct from those of the surrounding seawater, with different communities inhabiting the moults, digestive tract and faecal pellets, including several phyla not detected in the surrounding seawater. Digestive tissues from many individuals contained a potential gut symbiont (order: Mycoplasmoidales) shown to improve survival on a low quality diet in other crustaceans. Antarctic krill swarms thus influence Southern Ocean microbial communities not only through top-down grazing of eukaryotic cells and release of nutrients into the water column, but also by transporting distinct microbial assemblages horizontally via migration and vertically via sinking faecal pellets and moulted exuviae. Changes to Antarctic krill demographics or distribution through fishing pressure or climate-induced range shifts will also influence the composition and dispersal of Southern Ocean microbial communities.</t>
  </si>
  <si>
    <t>[Clarke, Laurence J.] Univ Tasmania, Antarctic Climate &amp; Ecosyst Cooperat Res Ctr, Hobart, Tas, Australia; [Suter, Leonie; King, Robert; Deagle, Bruce E.] Australian Antarctic Div, Kingston, Tas, Australia; [Bissett, Andrew] CSIRO, Hobart, Tas, Australia</t>
  </si>
  <si>
    <t>University of Tasmania; Antarctic Climate &amp; Ecosystems Cooperative Research Centre (ACE CRC); Australian Antarctic Division; Commonwealth Scientific &amp; Industrial Research Organisation (CSIRO)</t>
  </si>
  <si>
    <t>Clarke, LJ (corresponding author), Univ Tasmania, Antarctic Climate &amp; Ecosyst Cooperat Res Ctr, Hobart, Tas, Australia.</t>
  </si>
  <si>
    <t>Clarke, Laurence/N-3579-2017; Bissett, Andrew/AFR-3887-2022; Deagle, Bruce E/R-2999-2019; Suter, Leonie/A-3157-2017</t>
  </si>
  <si>
    <t>Clarke, Laurence/0000-0002-0844-4453; Bissett, Andrew/0000-0001-7396-1484; Deagle, Bruce E/0000-0001-7651-3687; Suter, Leonie/0000-0002-6434-1766; King, Robert/0000-0002-4650-2335</t>
  </si>
  <si>
    <t>Australian Antarctic Science Program [AAS-4313]; Australian Government's Business Cooperative Research Centres Programme through the Antarctic Climate and Ecosystems Cooperative Research Centre (ACE CRC); [AAS-4344]</t>
  </si>
  <si>
    <t>Australian Antarctic Science Program; Australian Government's Business Cooperative Research Centres Programme through the Antarctic Climate and Ecosystems Cooperative Research Centre (ACE CRC)(Australian GovernmentDepartment of Industry, Innovation and ScienceCooperative Research Centres (CRC) Programme);</t>
  </si>
  <si>
    <t>Contribution to the Australian Antarctic Science Kerguelen Axis project (AAS-4344). Molecular work was funded through the Australian Antarctic Science Program (AAS-4313). This work was supported by the Australian Government's Business Cooperative Research Centres Programme through the Antarctic Climate and Ecosystems Cooperative Research Centre (ACE CRC).</t>
  </si>
  <si>
    <t>10.3389/fmicb.2018.03226</t>
  </si>
  <si>
    <t>HH4QE</t>
  </si>
  <si>
    <t>WOS:000455706900001</t>
  </si>
  <si>
    <t>Palacios, D; Gómez-Ortiz, A; Alcalá-Reygosa, J; Andrés, N; Oliva, M; Tanarro, LM; Salvador-Franch, F; Schimmelpfennig, I; Fernández-Fernández, JM; Léanni, L</t>
  </si>
  <si>
    <t>Palacios, David; Gomez-Ortiz, Antonio; Alcala-Reygosa, Jesus; Andres, Nuria; Oliva, Marc; Tanarro, Luis M.; Salvador-Franch, Ferran; Schimmelpfennig, Irene; Fernandez-Fernandez, Jose M.; Leanni, Laetitia</t>
  </si>
  <si>
    <t>The challenging application of cosmogenic dating methods in residual glacial landforms: The case of Sierra Nevada (Spain)</t>
  </si>
  <si>
    <t>Sierra Nevada; Cosmic-ray exposure dating; Beryllium 10; Little Ice Age; Penultimate Glacial Cycle</t>
  </si>
  <si>
    <t>SNOW SHIELDING FACTORS; SURFACE EXPOSURE AGES; ICE-AGE; MEDITERRANEAN MOUNTAINS; LANDSCAPE EVOLUTION; HALF-LIFE; BE-10; HOLOCENE; CLIMATE; DEGLACIATION</t>
  </si>
  <si>
    <t>An accurate review of the literature on surface exposure dating methods shows evidence of the difficulty in applying cosmogenic dating methods to old moraines because of the intensity of late Quaternary erosion processes. Moreover, as in some previous cases, we also found special difficulties in applying these methods to LIA moraines, caused by the intensity of current paraglacial processes. The objective of this study is to apply cosmogenic dating methods to very old and very young moraines, which in both cases have been or are being affected intensively by erosion. With this purpose, we collected samples of boulders from moraines corresponding to (i) the penultimate glaciation and (ii) the Little Ice Age (LIA), both from Sierra Nevada in the south of the Iberian Peninsula. The sampling strategy was based on a preliminary accurate analysis of the geomorphological settings of two valley sites that resulted in the collection of only four boulder samples from an old moraine and three more from a very recent moraine. Using in situ-produced cosmogenic Be-10 to date these boulders, the old samples yielded an age of ca. 130-135 ka for moraine stabilization. The younger samples indicate that the LIA moraine accretion probably occurred between the fourteenth and seventeenth centuries, with a subsequent stage of accumulation during the nineteenth century as suggested by historical documents. Dating a glaciation that occurred prior to the last Pleistocene glacial cycle and dating LIA glacial stages are novel in the context of Iberian glaciations and agree with other palaeoenvironmental studies in Iberian and in other European mountains. The limited number of boulders adequate for cosmic -ray exposure dating prevents statistical methods to be applied, and therefore highlights the need to improve geomorphological criteria in sample selection. (C) 2018 Elsevier B.V. All rights reserved.</t>
  </si>
  <si>
    <t>[Palacios, David; Andres, Nuria; Tanarro, Luis M.; Fernandez-Fernandez, Jose M.] Univ Complutense Madrid, Dept Geog, Madrid, Spain; [Gomez-Ortiz, Antonio; Oliva, Marc; Salvador-Franch, Ferran] Univ Barcelona, Dept Geog, Barcelona, Spain; [Alcala-Reygosa, Jesus] Univ Nacl Autonoma Mexico, Fac Filosofia &amp; Letras, Mexico City, DF, Mexico; [Schimmelpfennig, Irene; Leanni, Laetitia; ASTER Team] Aix Marseille Univ, CNRS, IRD, Coll France,UM CEREGE 34, Aix En Provence, France</t>
  </si>
  <si>
    <t>Complutense University of Madrid; University of Barcelona; Universidad Nacional Autonoma de Mexico; Universite PSL; College de France; Aix-Marseille Universite; Centre National de la Recherche Scientifique (CNRS); Institut de Recherche pour le Developpement (IRD)</t>
  </si>
  <si>
    <t>Palacios, D (corresponding author), Univ Complutense Madrid, Dept Geog, Madrid, Spain.</t>
  </si>
  <si>
    <t>davidp@ucm.es</t>
  </si>
  <si>
    <t>Fernández-Fernández, Jose M./H-5801-2017; Tanarro, Luis M./H-3381-2015; ANDRÉS, NURIA/C-7146-2015; Oliva, Marc/K-5423-2014; PALACIOS, DAVID/H-3737-2015</t>
  </si>
  <si>
    <t>ANDRÉS, NURIA/0000-0002-4362-1195; Salvador Franch, Ferran/0000-0002-0695-3326; Oliva, Marc/0000-0001-6521-6388; Schimmelpfennig, Irene/0000-0001-8145-9160; PALACIOS, DAVID/0000-0002-8289-0398</t>
  </si>
  <si>
    <t>MOUNTAIN WARMING project, Government of Spain [CGL2015-65813-R]; Ramon y Cajal research program [RYC-2015-17597]; ANTALP research group (Antarctic, Arctic, Alpine Environments) [2017-SGR-1102]; INSU/CNRS; ANR; IRD</t>
  </si>
  <si>
    <t>MOUNTAIN WARMING project, Government of Spain; Ramon y Cajal research program(Spanish Government); ANTALP research group (Antarctic, Arctic, Alpine Environments); INSU/CNRS(Centre National de la Recherche Scientifique (CNRS)); ANR(Agence Nationale de la Recherche (ANR)); IRD</t>
  </si>
  <si>
    <t>The research was carried out within the MOUNTAIN WARMING project CGL2015-65813-R, Government of Spain. Marc Oliva is grateful for the support of the Ramon y Cajal research program (RYC-2015-17597) and the ANTALP research group (Antarctic, Arctic, Alpine Environments, 2017-SGR-1102). The 10Be measurements were performed at the ASTER AMS National facility (CEREGE, Aix en Provence) which is supported by the INSU/CNRS, the ANR through the Projets thematiques d'excellence program for the Equipements d'excellence ASTER-CEREGE action and IRD. The authors express their deep gratitude to Dr. Magali Delmas and two anonymous reviewers whose detailed and interesting suggestions have helped to improve our manuscript. We are also grateful to Editor Richard Marston for his useful suggestions and patient editing.</t>
  </si>
  <si>
    <t>10.1016/j.geomorph.2018.10.006</t>
  </si>
  <si>
    <t>HB8PW</t>
  </si>
  <si>
    <t>WOS:000451353800008</t>
  </si>
  <si>
    <t>Banerjee, B; Ahmad, SM; Babu, EVSSK; Padmakumari, VM; Beja, SK; Satyanarayanan, M; Krishna, AK</t>
  </si>
  <si>
    <t>Banerjee, Barnita; Ahmad, S. Masood; Babu, E. V. S. S. K.; Padmakumari, V. M.; Beja, S. Kumar; Satyanarayanan, M.; Krishna, A. Keshav</t>
  </si>
  <si>
    <t>Geochemistry and isotopic study of southern Bay of Bengal sediments: Implications for provenance and paleoenvironment during the middle Miocene</t>
  </si>
  <si>
    <t>Marine sediments; Terrigenous fluxes; Trace elements; Indian summer monsoon; Redox conditions; Productivity</t>
  </si>
  <si>
    <t>DEEP-WATER; ASIAN MONSOON; INDIAN-OCEAN; ARABIAN SEA; ELEMENT GEOCHEMISTRY; MARINE-SEDIMENTS; ORGANIC-CARBON; CLIMATE-CHANGE; HIMALAYAN EXHUMATION; HIGH-PRODUCTIVITY</t>
  </si>
  <si>
    <t>The Bay of Bengal (BoB), the largest bay in the world, is known to receive large amounts of fresh water and suspended particulate matter from different sources. The sediments deposited in the bay serve as a repository for paleoenviromental reconstruction studies. The Miocene Epoch is an important interval in geologic time as it is marked by major climatic events that controlled ocean productivity, redox conditions and provenance of sediments. However, limited work has been carried out to establish paleoenviromental changes and provenance of sediments during the Miocene. Here we present detailed geochemical and radiogenic (Sr, Nd) isotopic results from predominantly middle Miocene sediments of Ocean Drilling Program (ODP) Site 758A, located in the southern BoB (Lat. 5 degrees 23'N, Long. 90 degrees 21'E; water depth 2925 m), to understand paleoredox conditions, paleoproductivity and provenance. The results suggest that these sediments are strongly linked to climatically modulated surface processes that affected the region. The distribution of redox-sensitive element proxies (U, V, Cr) at interval similar to 17-8 Ma points to an oxic depositional environment. The major, trace and rare earth elements distribution supports prevalence of the Indian summer monsoon (ISM) at similar to 12-10 Ma. Productivity proxies (Ba-bio, P-org) show a decreasing trend during colder events (East Antarctic Ice Sheet expansion - EAIS and advent of late Miocene cooling - LMC events). The trace and rare earth element concentrations are generally low, except at intervals where glass shards were found. The Sr-87/Sr-86 and epsilon(Nd)(0) values indicate that the sediments belong to the High Himalayan sedimentary series (HHSS) throughout the middle Miocene. However, prior to initiation of the ISM, these sediments underwent meteoric alteration in the lowlands before deposition in the BoB. Our records suggest that sediments at ODP Site 758A may have been introduced into the BoB through the Irrawaddy-Yarlung-Tsangpo drainage system during the entire period of this study. The Irrawaddy-Yarlung-Tsangpo system drained the Indus-Tsangpo Suture zone, southern Tibet, the eastern Himalayas and the Arakan coast before debouching in the BoB.</t>
  </si>
  <si>
    <t>[Banerjee, Barnita; Ahmad, S. Masood; Babu, E. V. S. S. K.; Beja, S. Kumar; Satyanarayanan, M.] Acad Sci &amp; Innovat Res AcSIR, CSIR, Natl Geophys Res Inst, Hyderabad 500007, India; [Padmakumari, V. M.; Krishna, A. Keshav] CSIR, Natl Geophys Res Inst, Hyderabad 500007, India; [Ahmad, S. Masood] Jamia Millia Islamia, Fac Nat Sci, Dept Geog, New Delhi 110025, India</t>
  </si>
  <si>
    <t>Academy of Scientific &amp; Innovative Research (AcSIR); Council of Scientific &amp; Industrial Research (CSIR) - India; CSIR - National Geophysical Research Institute (NGRI); Council of Scientific &amp; Industrial Research (CSIR) - India; CSIR - National Geophysical Research Institute (NGRI); Jamia Millia Islamia</t>
  </si>
  <si>
    <t>Ahmad, SM (corresponding author), Acad Sci &amp; Innovat Res AcSIR, CSIR, Natl Geophys Res Inst, Hyderabad 500007, India.</t>
  </si>
  <si>
    <t>smasoodahmad@rediffmail.com</t>
  </si>
  <si>
    <t>Elapavalooru, Babu/F-3401-2012</t>
  </si>
  <si>
    <t>Elapavalooru, Babu/0000-0002-3474-8864; Satyanarayanan, Manavalan/0000-0002-7569-4997; Ahmad, Syed Masood/0000-0002-4090-9660</t>
  </si>
  <si>
    <t>12th plan projects grant of CSIR-NGRI; University Grant Commission (UGC) [F.2/2002 (SA-I)]</t>
  </si>
  <si>
    <t>12th plan projects grant of CSIR-NGRI; University Grant Commission (UGC)(University Grants Commission, India)</t>
  </si>
  <si>
    <t>This research has been supported by 12th plan projects grant of CSIR-NGRI. The first author is thankful to the University Grant Commission (UGC) for grant under Junior Research Fellowship #F.2/2002 (SA-I). We are also thankful to IODP repository Kochi, Japan for providing samples and to Dr. Lallan Gupta, Curator IODP repository, Kochi, Japan for his help and support. We are thankful to Mr. Waseem Raza, Mrs. G. Suseela, Dr. Tabish Raza, Mr. Netramani Sagar and Dr. S.S. Sawant for their help during the course of this study. We are grateful to Dr. V.M Tiwari, Director, CSIR-NGRI for facilities, encouragement and permission to publish this paper. We express our thanks to Prof. Thomas Algeo, two anonymous reviewers, Dr V. Purnachandra Rao and Dr B. Nagender Nath for their constructive comments to improve the manuscript.</t>
  </si>
  <si>
    <t>10.1016/j.palaeo.2018.10.022</t>
  </si>
  <si>
    <t>WOS:000456355800013</t>
  </si>
  <si>
    <t>Skinner, LC; Sadekov, A; Brandon, M; Greaves, M; Plancherel, Y; de la Fuente, M; Gottschalk, J; Souanef-Ureta, S; Sevilgen, S; Scrivner, AE</t>
  </si>
  <si>
    <t>Skinner, L. C.; Sadekov, A.; Brandon, M.; Greaves, M.; Plancherel, Y.; de la Fuente, M.; Gottschalk, J.; Souanef-Ureta, S.; Sevilgen, S.; Scrivner, A. E.</t>
  </si>
  <si>
    <t>Rare Earth Elements in early-diagenetic foraminifer 'coatings': Pore-water controls and potential palaeoceanographic applications</t>
  </si>
  <si>
    <t>Rare Earth Elements (REE); Oxygenation; Laser-ablation</t>
  </si>
  <si>
    <t>SOUTHERN-OCEAN; ISOTOPIC COMPOSITION; NEODYMIUM ISOTOPES; NATURAL-WATERS; ICP-MS; ATLANTIC; SEAWATER; COMPLEXATION; ASSOCIATION; VENTILATION</t>
  </si>
  <si>
    <t>Rare Earth Element (REE) distributions in the ocean bear the fingerprints of several key environmental processes, including vertical particle/organic carbon fluxes, water column/pore-water oxygenation and ocean transports. The use of 'fossil' REE analyses in the service of palaeoceanography as redox, water transport or nutrient cycling 'proxies' has long been a tantalizing possibility. Here we demonstrate the application of a novel laser-ablation microanalysis approach for the rapid and accurate measurement of the REE composition of early diagenetic 'coatings' on fossil foraminifera. By applying this new method to a range of core-top and multi-core samples, we show that `authigenic' REE enrichments on planktonic foraminifer surfaces (REEfs) reflect a primary seawater signature that becomes overprinted during sediment burial due to early diagenetic processes that control the flux of REEs to pore-fluids. Thus 'light' REEs (LREEs), and eventually 'middle' REEs (MREEs) are generally enriched in foraminifer 'coatings' relative to seawater, while Ce-anomalies (Ce/Ce*) recorded in surface sediments are typically more positive than local seawater values and are further 'eroded' during burial with the onset of anoxic conditions in the sediment. Similar patterns have previously been observed in pore-fluid measurements. Indeed, we show that Mn and Fe concentrations measured in foraminifer 'coatings' track the availability of these elements in pore-water, indicating that they are not associated with a secondary oxide phase. We propose that these elements, along with REEs are instead adsorbed directly from pore-fluids. In contrast, U in authigenic coatings tracks the removal of this element from solution under sub-oxic conditions, supporting the use of U/Ca in foraminifer coatings as a redox proxy. Although our results confirm a significant early diagenetic influence on REEfs, we also demonstrate the potential utility of `Ce-enrichment' relative to expected seawater values as a palaeo-oxygenation proxy. We support this proposal with down-core measurements of U/Ca and Ce-enrichment spanning the last deglaciation in the sub-Antarctic Atlantic, as well as a global array of LGM measurements, which are found to co-vary with parallel estimates of radiocarbon ventilation age, consistent with a widespread drop in oxygen suggesting an increase in the efficiency of the biological pump. Our results suggest that laser-ablation REEfs measurements may hold some promise for palaeoceanographic reconstruction, in particular through a shift in emphasis away from the reconstruction of primary seawater signals to the analysis of diagenetic impacts that are sensitive to changing hydrographic conditions. (C) 2018 Elsevier Ltd. All rights reserved.</t>
  </si>
  <si>
    <t>[Skinner, L. C.; Greaves, M.; de la Fuente, M.; Souanef-Ureta, S.; Scrivner, A. E.] Univ Cambridge, Dept Earth Sci, Godwin Lab Palaeoclimate Res, Downing St, Cambridge CB2 3EQ, England; [Sadekov, A.] Univ Western Australia, ARC Ctr Excellence Coral Reef Studies, Sch Earth Sci, 35 Stirling Highway, Crawley, WA 6009, Australia; [Brandon, M.] Univ Paris Saclay, Univ Paris Sud, CNRS, GEOPS, Rue Belvedere,Bat 504, F-91405 Orsay, France; [Plancherel, Y.] Univ Oxford, Dept Earth Sci, South Parks Rd, Oxford OX1 3AN, England; [Gottschalk, J.] Univ Bern, Inst Geol, Baltzerstr 1 3, CH-3012 Bern, Switzerland; [Gottschalk, J.] Univ Bern, Oeschger Ctr Climate Change Res, Baltzerstr 1 3, CH-3012 Bern, Switzerland; [Sevilgen, S.] Ctr Sci Monaco, 8 Quai Antoine 1er, MC-98000 Monaco, Monaco</t>
  </si>
  <si>
    <t>University of Cambridge; University of Western Australia; Centre National de la Recherche Scientifique (CNRS); Universite Paris Cite; Universite Paris Saclay; University of Oxford; University of Bern; University of Bern</t>
  </si>
  <si>
    <t>Skinner, LC (corresponding author), Univ Cambridge, Dept Earth Sci, Godwin Lab Palaeoclimate Res, Downing St, Cambridge CB2 3EQ, England.</t>
  </si>
  <si>
    <t>luke00@esc.cam.ac.uk</t>
  </si>
  <si>
    <t>Plancherel, Yves/0000-0002-3624-0757; Greaves, Mervyn/0000-0001-8014-8627; de la Fuente, Maria/0000-0002-9926-3403; Brandon, Margaux/0000-0001-5256-3700; Gottschalk, Julia/0000-0002-0403-3059</t>
  </si>
  <si>
    <t>NERC [NE/J00653X/1, NE/L006421/1]; NERC [NE/M017826/1, NE/G010501/1, NE/J00653X/1, NE/L006421/1, NE/M017826/2] Funding Source: UKRI</t>
  </si>
  <si>
    <t>We are deeply indebted to Harry Elderfield, whose prior work inspired this study, and who helped on board the R/V James Cook during cruise JC089 to recover sediments and extract pore-waters that have been analyzed in this study. We also thank Sambuddha Misra for his invaluable assistance in setting up a protocol for trace element and REE analysis in seawater and pore-waters, as well as Maximillian Traynor who performed the pore-water trace-element measurements. We are grateful to David Hodell, Nick McCave and all the participants of the JC089 cruise on board the R/V James Cook for their assistance in recovering materials that were used in this study. This work was made possible by NERC grants NE/J00653X/1 and NE/L006421/1.</t>
  </si>
  <si>
    <t>10.1016/j.gca.2018.10.027</t>
  </si>
  <si>
    <t>HE9LL</t>
  </si>
  <si>
    <t>WOS:000453771600007</t>
  </si>
  <si>
    <t>Suttle, MD; Folco, L; Genge, MJ; Russell, SS; Najorka, J; van Ginneken, M</t>
  </si>
  <si>
    <t>Suttle, M. D.; Folco, L.; Genge, M. J.; Russell, S. S.; Najorka, J.; van Ginneken, M.</t>
  </si>
  <si>
    <t>Intense aqueous alteration on C-type asteroids: Perspectives from giant fine-grained micrometeorites</t>
  </si>
  <si>
    <t>micrometeorites; aqueous alteration; CM chondrites; pseudomorphic chondrules</t>
  </si>
  <si>
    <t>X-RAY-DIFFRACTION; CARBONACEOUS CHONDRITES; MODAL MINERALOGY; ANTARCTIC MICROMETEORITES; SHOCK METAMORPHISM; NEBULAR ORIGIN; VICTORIA LAND; PARENT BODIES; CHONDRULES; CONSTRAINTS</t>
  </si>
  <si>
    <t>This study explores the petrology of five giant (&gt;400 mu m) hydrated fine-grained micrometeorites from the Transantarctic Mountain (TAM) micrometeorite collection. For the first time, the extent and mechanisms of aqueous alteration in unmelted cosmic dust are evaluated and quantified. We use a range of criteria, previously defined for use on hydrated chondrites, including phyllosilicate fraction, matrix geochemistry and micro textures. Collectively, these micrometeorites represent similar to 2.22 mm(2) of intensely altered hydrated chondritic matrix (with petrologic subtypes of &lt;1.2 in the scheme of Howard et al. (2015)) and reveal a range of alteration styles. Two particles are found to contain pseudomorphic chondrules with thick fine-grained rims, while another micrometeorite contains several aqueously altered CAIs. Their outlines range from well-defined to indistinct, demonstrating that the advanced stages of aqueous alteration progressively remove evidence of coarse-grained components. The remaining two micrometeorites entirely lack coarse-grained components but are similarly altered. Thus, the combined chondrule-to-matrix ratio among these giant micrometeorites is extremely low (6.45 area%), and significantly below the average ratio found in typical CM or CR chondrites (similar to 20%, Weisberg et al., 2006). Our findings are consistent with previous analyses from smaller Antarctic micrometeorites, which suggest that chondrules (and CAIs) derived from hydrated carbonaceous chondrite parent bodies are underrepresented among the micrometeorite flux, even when considering contributions from coarse-grained micrometeorites. Therefore, to explain the relative paucity of anhydrous material, we propose that the flux of fine-grained micrometeorites is primarily derived from intensely aqueously altered, primitive C-type asteroids, which have lost the majority of their refractory coarse-grained components by replacement with secondary phyllosilicate minerals. (C) 2018 Elsevier Ltd. All rights reserved.</t>
  </si>
  <si>
    <t>[Suttle, M. D.; Folco, L.] Univ Pisa, Dipartimento Sci Terra, I-56126 Pisa, Italy; [Suttle, M. D.; Genge, M. J.] Imperial Coll London, Dept Earth Sci &amp; Engn, London SW7 2AZ, England; [Suttle, M. D.; Genge, M. J.; Russell, S. S.; Najorka, J.] Nat Hist Museum, Core Res Labs, Dept Earth Sci, Cromwell Rd, London SW7 5BD, England; [van Ginneken, M.] Vrije Univ Brussel, Analyt &amp; Environm Chem ANCH, Ave FD Roosevelt 50, B-1050 Brussels, Belgium; [van Ginneken, M.] Univ Libre Bruxelles, Lab G Time, Franklin Rooseveltlaan 50, B-1050 Brussels, Belgium; [van Ginneken, M.] Royal Belgian Inst Nat Sci, Rue Vautier 29, B-1000 Brussels, Belgium</t>
  </si>
  <si>
    <t>University of Pisa; Imperial College London; Natural History Museum London; Vrije Universiteit Brussel; Universite Libre de Bruxelles; Royal Belgian Institute of Natural Sciences</t>
  </si>
  <si>
    <t>Suttle, MD (corresponding author), Univ Pisa, Dipartimento Sci Terra, I-56126 Pisa, Italy.</t>
  </si>
  <si>
    <t>martindavid.suttle@dst.unipi.it; luigi.folco@unipi.it; m.genge@ic.ac.uk; sara.russell@nhm.ac.uk; j.najorka@nhm.ac.uk; matthias.van.ginneken@ulb.ac.be</t>
  </si>
  <si>
    <t>Folco, Luigi/AAB-8586-2021; Folco, Luigi/AAA-6351-2020; Van Ginneken, Matthias/AFQ-5594-2022</t>
  </si>
  <si>
    <t>Van Ginneken, Matthias/0000-0002-2508-7021; Russell, Sara/0000-0001-5531-7847; Folco, Luigi/0000-0002-7276-3483; Suttle, Martin/0000-0001-7165-2215</t>
  </si>
  <si>
    <t>Science and Technology Council (STFC) [ST/M503526/1]; MIUR [PNRA16_00029, CUP I52F17001050005, PRIN2015_20158W4JZ7 [CUP I52F15000310001]]; STFC [ST/J001260/1, ST/M00094X/1]; STFC [ST/J001260/1, ST/M00094X/1, ST/N000803/1, ST/R000727/1] Funding Source: UKRI</t>
  </si>
  <si>
    <t>Science and Technology Council (STFC); MIUR(Ministry of Education, Universities and Research (MIUR)); STFC(UK Research &amp; Innovation (UKRI)Science &amp; Technology Facilities Council (STFC)); STFC(UK Research &amp; Innovation (UKRI)Science &amp; Technology Facilities Council (STFC))</t>
  </si>
  <si>
    <t>The data presented in this paper were acquired during Martin Suttle's PhD research whilst at Imperial College London and the NHM - funded by the Science and Technology Council (STFC) (ST/M503526/1). Research continued whilst I attended a post-doc research position at the University of Pisa, which is funded through two Italian research grants MIUR: PNRA16_00029 [Programma Nazionale delle Ricerche in Antartide - CUP I52F17001050005] and PRIN2015_20158W4JZ7 [CUP I52F15000310001 for the Meteoriti Antartiche]. L. Folco is also supported through the same research grants, while Matthew Genge and Sara Russell are funded by the STFC grants (ST/J001260/1 and ST/M00094X/1 respectively). We thank John Spratt, Tomasz Goral and Tobias Salge at the NHM, London for their support and advice during and analytical acquisition. Further, we thank two anonymous reviewers and Kieran Howard for their suggestions and comments during the review process as well as the work of associate editor Eric Quirico and Executive editor Marc Norman for their handling of this manuscript.</t>
  </si>
  <si>
    <t>10.1016/j.gca.2018.11.019</t>
  </si>
  <si>
    <t>WOS:000453771600021</t>
  </si>
  <si>
    <t>Moncada-Basualto, M; Matsuhiro, B; Mansilla, A; Lapier, M; Maya, JD; Olea-Azar, C</t>
  </si>
  <si>
    <t>Moncada-Basualto, M.; Matsuhiro, B.; Mansilla, A.; Lapier, M.; Maya, J. D.; Olea-Azar, C.</t>
  </si>
  <si>
    <t>Supramolecular hydrogels of β-cyclodextrin linked to calcium homopoly-L-guluronate for release of coumarins with trypanocidal activity</t>
  </si>
  <si>
    <t>CARBOHYDRATE POLYMERS</t>
  </si>
  <si>
    <t>Homopoly-L-guluronate; 3-Amidocoumarins; Inclusion complex; Trypanosoma cruzi; Supramolecular hydrogel; Sub-Antarctic macroalgae</t>
  </si>
  <si>
    <t>HOST-GUEST INTERACTIONS; POLY-D-MANNURONATE; TRYPANOSOMA-CRUZI; DURVILLAEA-ANTARCTICA; INCLUSION COMPLEXES; BLOCK FRACTIONS; DRUG-DELIVERY; LESSONIA-TRABECULATA; SODIUM ALGINATE; IN-VITRO</t>
  </si>
  <si>
    <t>Association constants and thermodynamicsparameters on inclusion of four 3-amido coumarins that present trypanocidal activity, into 6-amino-beta-cyclodextrin (1: 1 stoichimetry) were determined. In addition, pure homopolymeric-a-L-guluronate fraction prepared by partial hydrolysis of sodium alginate from Sub-Antarctic Kelp Durvillaea antarctica was conjugated with 6-amino-beta-cyclodextrin (64% yield). To glycoconjugates, 3-amido coumarins were incorporated (73% of encapsulation) and supramolecular hydrogels were prepared by gelation with Ca2+ ions. The trypanocidal activity of the inclusion complexes increased by 10%. Likewise, an increase in diffusion in artificial membrane was observed (13%). It was found that the inclusion complexes increased the variation of the mitochondrial potential of T. cruzi (17%). The lowest release of substituted amidocoumarins (ACS) from supramolecular hydrogels occurred at pH 1.2 whereas the maximum release (34%) was observed at pH 8.0. Encapsulation of lipophilic bioactive compounds in supramolecular hydrogels allows the generation of release systems sensitive to pH with potential application in biomedicine.</t>
  </si>
  <si>
    <t>[Moncada-Basualto, M.; Matsuhiro, B.] Univ Santiago Chile, Fac Quim &amp; Biol, Dept Ciencias Ambiente, Av LB OHiggins 3363, Santiago, Chile; [Moncada-Basualto, M.; Olea-Azar, C.] Univ Chile, Fac Ciencias Quim &amp; Farmaceut, Dept Quim Inorgan &amp; Analit, Av Sergio Livingstone 1007, Santiago, Chile; [Mansilla, A.] Univ Magallanes, Lab Macroalgas Antarticas &amp; Subantarticas, Av Bulnes 1465, Punta Arenas, Chile; [Mansilla, A.] Inst Ecol &amp; Biodiversidad, Santiago, Chile; [Lapier, M.; Maya, J. D.] Univ Chile, Fac Med, Dept Farmacol Mol &amp; Clin, Av Independencia 1107, Santiago, Chile</t>
  </si>
  <si>
    <t>Universidad de Santiago de Chile; Universidad de Chile; Universidad de Magallanes; Universidad de Chile</t>
  </si>
  <si>
    <t>Moncada-Basualto, M (corresponding author), Univ Santiago Chile, Fac Quim &amp; Biol, Dept Ciencias Ambiente, Av LB OHiggins 3363, Santiago, Chile.</t>
  </si>
  <si>
    <t>mauricio.moncada@usach.cl</t>
  </si>
  <si>
    <t>maya, Juan Diego/GNW-3307-2022; moncada, mauricio/HHN-6394-2022; Maya, Juan D/H-9561-2013; OLEA AZAR, CLAUDIO/I-1605-2013</t>
  </si>
  <si>
    <t>moncada, mauricio/0000-0003-1733-9126; Maya, Juan D/0000-0003-3934-6319; Lapier Quezada, Michel Andres/0000-0002-1327-1964; OLEA AZAR, CLAUDIO/0000-0001-5805-0746; Mansilla, Andres/0000-0003-3505-7018</t>
  </si>
  <si>
    <t>CONICYT, Chile [21150192]; DICYT [021641MY]; COA [FONDECYT1150175]; project U-REDES [URC-024-16]; ICM [P05-002, CONICYT PFB-23]</t>
  </si>
  <si>
    <t>CONICYT, Chile(Comision Nacional de Investigacion Cientifica y Tecnologica (CONICYT)); DICYT; COA; project U-REDES; ICM</t>
  </si>
  <si>
    <t>MBM thanks PhD fellowship and Grant No 21150192 for operational expenses from CONICYT, Chile. The financial support of DICYT, Grant 021641MY (Universidad de Santiago de Chile), COA Grants FONDECYT1150175 and project U-REDES URC-024-16 is gratefully acknowledged. A.M. Grants ICM, P05-002, CONICYT PFB-23.</t>
  </si>
  <si>
    <t>0144-8617</t>
  </si>
  <si>
    <t>1879-1344</t>
  </si>
  <si>
    <t>CARBOHYD POLYM</t>
  </si>
  <si>
    <t>Carbohydr. Polym.</t>
  </si>
  <si>
    <t>10.1016/j.carbpol.2018.10.010</t>
  </si>
  <si>
    <t>Chemistry, Applied; Chemistry, Organic; Polymer Science</t>
  </si>
  <si>
    <t>Chemistry; Polymer Science</t>
  </si>
  <si>
    <t>GX9SR</t>
  </si>
  <si>
    <t>WOS:000448147100020</t>
  </si>
  <si>
    <t>Strain, EMA; Morris, RL; Bishop, MJ; Tanner, E; Steinberg, P; Swearer, SE; MacLeod, C; Alexander, KA</t>
  </si>
  <si>
    <t>Strain, E. M. A.; Morris, R. L.; Bishop, M. J.; Tanner, E.; Steinberg, P.; Swearer, S. E.; MacLeod, C.; Alexander, K. A.</t>
  </si>
  <si>
    <t>Building blue infrastructure: Assessing the key environmental issues and priority areas for ecological engineering initiatives in Australia's metropolitan embayments</t>
  </si>
  <si>
    <t>Marine urban development; Eco-engineering; Spatial planning; Artificial structures; Coastal and marine habitats</t>
  </si>
  <si>
    <t>PUBLIC-PARTICIPATION GIS; COASTAL DEFENSE; OCEAN SPRAWL; ECOSYSTEM SERVICES; URBAN; MARINE; BIODIVERSITY; VALUES; PERCEPTIONS; MANAGEMENT</t>
  </si>
  <si>
    <t>Ecological engineering principles are increasingly being applied to develop multifunctional artificial structures or rehabilitated habitats in coastal areas. Ecological engineering initiatives are primarily driven by marine scientists and coastal managers, but often the views of key user groups, which can strongly influence the success of projects, are not considered. We used an online survey and participatory mapping exercise to investigate differences in priority goals, sites and attitudes towards ecological engineering between marine scientists and coastal managers as compared to other stakeholders. The surveys were conducted across three Australian cities that varied in their level of urbanisation and environmental pressures. We tested the hypotheses that, relative to other stakeholders, marine scientists and coastal managers will: 1) be more supportive of ecological engineering; 2) be more likely to agree that enhancement of biodiversity and remediation of pollution are key priorities for ecological engineering; and 3) identify different priority areas and infrastructure or degraded habitats for ecological engineering. We also tested the hypothesis that 4) perceptions of ecological engineering would vary among locations, due to environmental and socio-economic differences. In all three harbours, marine scientists and coastal managers were more supportive of ecological engineering than other users. There was also greater support for ecological engineering in Sydney and Melbourne than Hobart. Most people identified transport infrastructure, in busy transport hubs (i.e. Circular Quay in Sydney, the Port in Melbourne and the Waterfront in Hobart) as priorities for ecological engineering, irrespective of their stakeholder group or location. There were, however, significant differences among locations in what people perceive as the key priorities for ecological engineering (i.e. biodiversity in Sydney and Melbourne vs. pollution in Hobart). Greater consideration of these location-specific differences is essential for effective management of artificial structures and rehabilitated habitats in urban embayments.</t>
  </si>
  <si>
    <t>[Strain, E. M. A.; Bishop, M. J.; Tanner, E.; Steinberg, P.] Sydney Inst Marine Sci, 19 Chowder Bay Rd, Mosman, NSW 2088, Australia; [Strain, E. M. A.; Steinberg, P.] Univ New South Wales, Ctr Marine Bioinnovat, Sch Biol Earth &amp; Environm Sci, Sydney, NSW 2052, Australia; [Strain, E. M. A.; Morris, R. L.; Swearer, S. E.] Univ Melbourne, Natl Ctr Coasts &amp; Climate, Melbourne, Vic 3010, Australia; [Strain, E. M. A.; Morris, R. L.; Swearer, S. E.] Univ Melbourne, Sch BioSci, Melbourne, Vic 3010, Australia; [Bishop, M. J.] Macquarie Univ, Dept Biol Sci, Sydney, NSW 2109, Australia; [Tanner, E.] Univ Sydney, Sch Geosci, Sydney, NSW 2006, Australia; [MacLeod, C.; Alexander, K. A.] Univ Tasmania, Inst Marine &amp; Antarctic Studies, Hobart, Tas 7001, Australia; [Alexander, K. A.] Univ Tasmania, Ctr Marine Socioecol, Hobart, Tas 7014, Australia</t>
  </si>
  <si>
    <t>Sydney Institute of Marine Science; University of New South Wales Sydney; University of Melbourne; Melbourne Genomics Health Alliance; Melbourne Genomics Health Alliance; University of Melbourne; Macquarie University; University of Sydney; University of Tasmania; University of Tasmania</t>
  </si>
  <si>
    <t>Strain, EMA (corresponding author), Sydney Inst Marine Sci, 19 Chowder Bay Rd, Mosman, NSW 2088, Australia.</t>
  </si>
  <si>
    <t>Swearer, Stephen/X-4882-2018; Morris, Rebecca/AAB-3364-2020; Bishop, Melanie/AGA-7862-2022; SWEARER, STEPHEN/AAC-1527-2020; BITOUN, RACHEL Elisabeth/AAC-9538-2021; Alexander, Karen/O-7042-2017; Macleod, Catriona/J-7176-2014; Strain, Elisabeth/U-3520-2017</t>
  </si>
  <si>
    <t>Swearer, Stephen/0000-0001-6381-9943; SWEARER, STEPHEN/0000-0001-6381-9943; BITOUN, RACHEL Elisabeth/0000-0002-3614-9910; Steinberg, Peter/0000-0002-1781-0726; Bishop, Melanie/0000-0001-8210-6500; Alexander, Karen/0000-0001-8801-413X; Macleod, Catriona/0000-0002-0539-6361; Morris, Rebecca/0000-0003-0455-0811; Strain, Elisabeth/0000-0003-2165-9544</t>
  </si>
  <si>
    <t>Ian Potter Foundation; Harding Miller Foundation; New South Wales Government Office of Science and Research; Coastal Processes and Responses Node of the NSW Office of Environment and Heritage Adaptation Hub</t>
  </si>
  <si>
    <t>We thank The Ian Potter Foundation (grant number NA), Harding Miller Foundation (grant number NA), The New South Wales Government Office of Science and Research (grant number NA) and Coastal Processes and Responses Node of the NSW Office of Environment and Heritage Adaptation Hub (grant number NA) for their financial support. Special thanks to Sarah Kienker, Chris Seito, Dominic McAfee and Stephanie Bagala for their help with the fieldwork. This study was part of the World Harbour Project.</t>
  </si>
  <si>
    <t>10.1016/j.jenvman.2018.09.047</t>
  </si>
  <si>
    <t>HD5PO</t>
  </si>
  <si>
    <t>WOS:000452582600047</t>
  </si>
  <si>
    <t>Brenneis, G; Arango, CP</t>
  </si>
  <si>
    <t>Brenneis, Georg; Arango, Claudia P.</t>
  </si>
  <si>
    <t>First description of epimorphic development in Antarctic Pallenopsidae (Arthropoda, Pycnogonida) with insights into the evolution of the four-articled sea spider cheliphore</t>
  </si>
  <si>
    <t>ZOOLOGICAL LETTERS</t>
  </si>
  <si>
    <t>Pallenopsis; East Antarctica; Postembryonic development; Direct development; Ontogeny; Morphogenesis; Evolution; Phylogeography; Fossils; Scanning electron microscopy; Fluorescent histochemistry</t>
  </si>
  <si>
    <t>Background: Sea spiders (Pycnogonida) are an abundant faunal element of the Southern Ocean (SO). Several recent phylogeographical studies focused on the remarkably diverse SO pycnogonid fauna, resulting in the identification of new species in previously ill-defined species complexes, insights into their genetic population substructures, and hypotheses on glacial refugia and recolonization events after the last ice age. However, knowledge on the life history of many SO pycnogonids is fragmentary, and early ontogenetic stages often remain poorly documented. This impedes assessing the impact of different developmental pathways on pycnogonid dispersal and distributions and also hinders pycnogonid-wide comparison of developmental features from a phylogenetic-evolutionary angle. Results: Using scanning electron microscopy (SEM) and fluorescent nuclear staining, we studied embryonic stages and postembryonic instars of three SO representatives of the taxon Pallenopsidae (Pallenopsis villosa, P. hodgsoni, P. vanhoeffeni), the development of which being largely unknown. The eggs are large and yolkrich, and the hatching stage is an advanced lecithotrophic instar that stays attached to the father for additional molts. The first free-living instar is deduced to possess at least three functional walking leg pairs. Despite gross morphological similarities between the congeners, each instar can be reliably assigned to a species based on body size, shape of ocular tubercle and proboscis, structure of the attachment gland processes, and seta patterns on cheliphore and walking legs. Conclusions: We encourage combination of SEM with fluorescent markers in developmental studies on ethanolpreserved and/or long term-stored pycnogonid material, as this reveals internal differentiation processes in addition to external morphology. Using this approach, we describe the first known cases of pallenopsid development with epimorphic tendencies, which stand in contrast to the small hatching larvae in other Pallenopsidae. Evaluation against current phylogenetic hypotheses indicates multiple gains of epimorphic development within Pycnogonida. Further, we suggest that the type of development may impact pycnogonid distribution ranges, since free-living larvae potentially have a better dispersal capability than lecithotrophic attaching instars. Finally, we discuss the bearing of pycnogonid cheliphore development on the evolution of the raptorial first limb pair in Chelicerata and support a multiarticled adult limb as the plesiomorphic state of the chelicerate crown group, arising ontogenetically via postembryonic segmentation of a three-articled embryonic limb.</t>
  </si>
  <si>
    <t>[Brenneis, Georg] Ernst Moritz Arndt Univ Greifswald, Zool Inst &amp; Museum, Cytol &amp; Evolutionsbiol, Soldmannstr 23, D-17489 Greifswald, Germany; [Brenneis, Georg] Humboldt Univ, Inst Biol, Vergleichende Zool, Philippstr 13,Haus 2, D-10115 Berlin, Germany; [Arango, Claudia P.] Queensland Museum, Biodivers Program, POB 3300, South Brisbane, Qld 4101, Australia</t>
  </si>
  <si>
    <t>Universitat Greifswald; Humboldt University of Berlin; Queensland Museum</t>
  </si>
  <si>
    <t>Brenneis, G (corresponding author), Ernst Moritz Arndt Univ Greifswald, Zool Inst &amp; Museum, Cytol &amp; Evolutionsbiol, Soldmannstr 23, D-17489 Greifswald, Germany.;Brenneis, G (corresponding author), Humboldt Univ, Inst Biol, Vergleichende Zool, Philippstr 13,Haus 2, D-10115 Berlin, Germany.</t>
  </si>
  <si>
    <t>georg.brenneis@gmx.de</t>
  </si>
  <si>
    <t>Brenneis, Georg/AAQ-9561-2021; Arango, Claudia/A-5531-2008</t>
  </si>
  <si>
    <t>Brenneis, Georg/0000-0003-1202-1899</t>
  </si>
  <si>
    <t>Deutsche Forschungsgemeinschaft (DFG) [BR5039/2-1, BR5039/3-1]; Australian Department of the Environment and Energy through the Australian Antarctic Division, Australian Antarctic Science Grant [AA3010]</t>
  </si>
  <si>
    <t>Deutsche Forschungsgemeinschaft (DFG)(German Research Foundation (DFG)); Australian Department of the Environment and Energy through the Australian Antarctic Division, Australian Antarctic Science Grant</t>
  </si>
  <si>
    <t>This project has been funded by grants of the Deutsche Forschungsgemeinschaft (DFG) to GB (Grant-Nos. BR5039/2-1 &amp; BR5039/3-1). CPA received funding from the Australian Department of the Environment and Energy through the Australian Antarctic Division, Australian Antarctic Science Grant No. AA3010.</t>
  </si>
  <si>
    <t>2056-306X</t>
  </si>
  <si>
    <t>ZOOL LETT</t>
  </si>
  <si>
    <t>Zool. Lett.</t>
  </si>
  <si>
    <t>JAN 14</t>
  </si>
  <si>
    <t>10.1186/s40851-018-0118-7</t>
  </si>
  <si>
    <t>HK1CO</t>
  </si>
  <si>
    <t>WOS:000457642500002</t>
  </si>
  <si>
    <t>Deroubaix, A; Menut, L; Flamant, C; Brito, J; Denjean, C; Dreiling, V; Fink, A; Jambert, C; Kalthoff, N; Knippertz, P; Ladkin, R; Mailler, S; Maranan, M; Pacifico, F; Piguet, B; Siour, G; Turquety, S</t>
  </si>
  <si>
    <t>Deroubaix, Adrien; Menut, Laurent; Flamant, Cyrille; Brito, Joel; Denjean, Cyrielle; Dreiling, Volker; Fink, Andreas; Jambert, Corinne; Kalthoff, Norbert; Knippertz, Peter; Ladkin, Russ; Mailler, Sylvain; Maranan, Marlon; Pacifico, Federica; Piguet, Bruno; Siour, Guillaume; Turquety, Solene</t>
  </si>
  <si>
    <t>Diurnal cycle of coastal anthropogenic pollutant transport over southern West Africa during the DACCIWA campaign</t>
  </si>
  <si>
    <t>CHEMISTRY-CLOUD INTERACTIONS; MONSOON LAYER; AIR-POLLUTION; BLACK CARBON; AEROSOL; MODEL; DYNAMICS; REGION; TROPOSPHERE; EMISSIONS</t>
  </si>
  <si>
    <t>During the monsoon season, pollutants emitted by large coastal cities and biomass burning plumes originating from central Africa have complex transport pathways over southern West Africa (SWA). The Dynamics-Aerosol-Chemistry-Cloud Interactions in West Africa (DACCIWA) field campaign has provided numerous dynamical and chemical measurements in and around the super-site of Save in Benin (approximate to 185 km away from the coast), which allows quantification of the relative contribution of advected pollutants. Through the combination of in situ ground measurements with aircraft, radio-sounding, satellite, and high-resolution chemistry-transport modeling with the CHIMERE model, the source attribution and transport pathways of pollutants inland (here, NOx and CO) are carefully analyzed for the 1-7 July 2016 period. The relative contributions of different sources (i.e., emissions from several large coastal cities) to the air quality in Save are characterized. It is shown that a systematic diurnal cycle exists with high surface concentrations of pollutants from 18:00 to 22:00 UTC. This evening peak is attributed to pollution transport from the coastal city of Cotonou (Benin). Numerical model experiments indicate that the anthropogenic pollutants are accumulated during the day close to the coast and transported northward as soon as the daytime convection in the atmospheric boundary layer ceases after 16:00 UTC, reaching 8 degrees N at 21:00 UTC. When significant biomass burning pollutants are transported into continental SWA, they are mixed with anthropogenic pollutants along the coast during the day, and this mixture is then transported northward. At night, most of the coastal anthropogenic plumes are transported within the planetary boundary layer (below about 500m above ground level), whereas the biomass burning pollutants are mostly transported above it, thus generally not impacting ground level air quality.</t>
  </si>
  <si>
    <t>[Deroubaix, Adrien; Menut, Laurent; Mailler, Sylvain; Turquety, Solene] UPMC Univ Paris 06, Sorbonne Univ,CNRS, Univ Paris Saclay,Lab Meteorol Dynam,LMD,IPSL, IPSL Res Univ,Ecole Normale Super,Ecole Polytech, Route Saclay, F-91128 Palaiseau, France; [Deroubaix, Adrien; Flamant, Cyrille] Univ Paris Saclay, Sorbonne Univ, IPSL, LATMOS, Paris, France; [Deroubaix, Adrien; Flamant, Cyrille] CNRS, Paris, France; [Siour, Guillaume] Univ Paris Est Creteil, CNRS, UMR 7583, LISA,IPSL, Creteil, France; [Siour, Guillaume] Univ Paris Diderot, Inst Pierre Simon Laplace, Creteil, France; [Jambert, Corinne; Pacifico, Federica] Univ Toulouse, UPS, CNRS, LA, Toulouse, France; [Fink, Andreas; Kalthoff, Norbert; Knippertz, Peter; Maranan, Marlon] KIT, Inst Meteorol &amp; Climate Res, Karlsruhe, Germany; [Denjean, Cyrielle; Piguet, Bruno] Meteo France, CNRS, UMR3589, CNRM, Toulouse, France; [Dreiling, Volker] Deutsch Zentrum Luft &amp; Raumfahrt, DLR, Oberpfaffenhofen, Germany; [Ladkin, Russ] BAS, Cambridge, England; [Brito, Joel] Univ Clermont Auvergne, Lab Meteorol Phys, LAMP, Aubiere, France</t>
  </si>
  <si>
    <t>Sorbonne Universite; Centre National de la Recherche Scientifique (CNRS); Institut Polytechnique de Paris; Universite Paris Cite; Ecole des Ponts ParisTech; Universite Paris Saclay; Sorbonne Universite; Universite Paris Saclay; Universite Paris Cite; Centre National de la Recherche Scientifique (CNRS); Universite Gustave-Eiffel; Universite Paris Cite; Centre National de la Recherche Scientifique (CNRS); CNRS - National Institute for Earth Sciences &amp; Astronomy (INSU); Universite Paris-Est-Creteil-Val-de-Marne (UPEC); Universite Paris Cite; Universite Paris Saclay; Universite de Toulouse; Universite Toulouse III - Paul Sabatier; Centre National de la Recherche Scientifique (CNRS); Helmholtz Association; Karlsruhe Institute of Technology; Centre National de la Recherche Scientifique (CNRS); CNRS - National Institute for Earth Sciences &amp; Astronomy (INSU); Meteo France; Helmholtz Association; German Aerospace Centre (DLR); UK Research &amp; Innovation (UKRI); Natural Environment Research Council (NERC); NERC British Antarctic Survey; Universite Clermont Auvergne (UCA)</t>
  </si>
  <si>
    <t>Deroubaix, A (corresponding author), UPMC Univ Paris 06, Sorbonne Univ,CNRS, Univ Paris Saclay,Lab Meteorol Dynam,LMD,IPSL, IPSL Res Univ,Ecole Normale Super,Ecole Polytech, Route Saclay, F-91128 Palaiseau, France.;Deroubaix, A (corresponding author), Univ Paris Saclay, Sorbonne Univ, IPSL, LATMOS, Paris, France.;Deroubaix, A (corresponding author), CNRS, Paris, France.</t>
  </si>
  <si>
    <t>adrien.deroubaix@lmd.polytechnique.fr</t>
  </si>
  <si>
    <t>Fink, Andreas H./F-3024-2017; Turquety, Solene/AAW-8404-2021; F. de Brito, Joel/B-6181-2013; Menut, Laurent/O-2296-2016; Knippertz, Peter/D-5861-2016; Siour, Guillaume/JCO-4189-2023; Mailler, Sylvain/R-7778-2017</t>
  </si>
  <si>
    <t>Fink, Andreas H./0000-0002-5840-2120; Turquety, Solene/0000-0002-0398-547X; F. de Brito, Joel/0000-0002-4420-9442; Menut, Laurent/0000-0001-9776-0812; Knippertz, Peter/0000-0001-9856-619X; Siour, Guillaume/0000-0002-5940-4902; Piguet, Bruno/0000-0002-8070-7924; Pacifico, Federica/0009-0004-2595-5652; Mailler, Sylvain/0000-0002-4287-713X</t>
  </si>
  <si>
    <t>European Union 7th Framework Programme (FP7/2007-2013) [603502]; Service des Avions Francais Instrumentes pour la Recherche en Environnement (SAFIRE); British Antarctic Survey (BAS); Deutsches Zentrum fur Luft- und Raumfahrt; NERC [bas0100032] Funding Source: UKRI</t>
  </si>
  <si>
    <t>European Union 7th Framework Programme (FP7/2007-2013)(European Union (EU)); Service des Avions Francais Instrumentes pour la Recherche en Environnement (SAFIRE); British Antarctic Survey (BAS); Deutsches Zentrum fur Luft- und Raumfahrt(Helmholtz AssociationGerman Aerospace Centre (DLR)); NERC(UK Research &amp; Innovation (UKRI)Natural Environment Research Council (NERC))</t>
  </si>
  <si>
    <t>The research leading to these results has received funding from the European Union 7th Framework Programme (FP7/2007-2013) under grant agreement no. 603502 (EU project DACCIWA: Dynamics-aerosol-chemistry-cloud interactions in West Africa). The Service des Avions Francais Instrumentes pour la Recherche en Environnement (SAFIRE, a joint entity of CNRS, Meteo-France, and CNES and operator of the ATR 42), the British Antarctic Survey (BAS, operator of the Twin Otter), and the Deutsches Zentrum fur Luft- und Raumfahrt (operator of the Falcon 20) are thanked for their support. We acknowledge Claire Delon and Fabienne Lohou (Laboratoire d'Aerologie) for helpful discussions.</t>
  </si>
  <si>
    <t>10.5194/acp-19-473-2019</t>
  </si>
  <si>
    <t>HH7IS</t>
  </si>
  <si>
    <t>WOS:000455904800002</t>
  </si>
  <si>
    <t>Tritscher, I; Grooss, JU; Spang, R; Pitts, MC; Poole, LR; Müller, R; Riese, M</t>
  </si>
  <si>
    <t>Tritscher, Ines; Grooss, Jens-Uwe; Spang, Reinhold; Pitts, Michael C.; Poole, Lamont R.; Mueller, Rolf; Riese, Martin</t>
  </si>
  <si>
    <t>Lagrangian simulation of ice particles and resulting dehydration in the polar winter stratosphere</t>
  </si>
  <si>
    <t>NITRIC-ACID TRIHYDRATE; MESOSCALE TEMPERATURE-FLUCTUATIONS; LARGE HNO3-CONTAINING PARTICLES; OZONE DEPLETION; ARCTIC WINTER; HETEROGENEOUS CHEMISTRY; CHLORINE ACTIVATION; CLOUD COMPOSITION; SPACEBORNE LIDAR; ANTARCTIC WINTER</t>
  </si>
  <si>
    <t>Polar stratospheric clouds (PSCs) and cold stratospheric aerosols drive heterogeneous chemistry and play a major role in polar ozone depletion. The Chemical Lagrangian Model of the Stratosphere (CLaMS) simulates the nucleation, growth, sedimentation, and evaporation of PSC particles along individual trajectories. Particles consisting of nitric acid trihydrate (NAT), which contain a substantial fraction of the stratospheric nitric acid (HNO3), were the focus of previous modeling work and are known for their potential to denitrify the polar stratosphere. Here, we carried this idea forward and introduced the formation of ice PSCs and related dehydration into the sedimentation module of CLaMS. Both processes change the simulated chemical composition of the lower stratosphere. Due to the Lagrangian transport scheme, NAT and ice particles move freely in three-dimensional space. Heterogeneous NAT and ice nucleation on foreign nuclei as well as homogeneous ice nucleation and NAT nucleation on preexisting ice particles are now implemented into CLaMS and cover major PSC formation pathways. We show results from the Arctic winter 2009/2010 and from the Antarctic winter 2011 to demonstrate the performance of the model over two entire PSC seasons. For both hemispheres, we present CLaMS results in comparison to measurements from the Cloud-Aerosol Lidar with Orthogonal Polarization (CALIOP), the Michelson Interferometer for Passive Atmospheric Sounding (MIPAS), and the Microwave Limb Sounder (MLS). Observations and simulations are presented on season-long and vortex-wide scales as well as for single PSC events. The simulations reproduce well both the timing and the extent of PSC occurrence inside the entire vortex. Divided into specific PSC classes, CLaMS results show predominantly good agreement with CALIOP and MIPAS observations, even for specific days and single satellite orbits. CLaMS and CALIOP agree that NAT mixtures are the first type of PSC to be present in both winters. NAT PSC areal coverages over the entire season agree satisfactorily. However, cloud-free areas, next to or surrounded by PSCs in the CALIOP data, are often populated with NAT particles in the CLaMS simulations. Looking at the temporal and vortex-averaged evolution of HNO3, CLaMS shows an uptake of HNO3 from the gas into the particle phase which is too large and happens too early in the simulation of the Arctic winter. In turn, the permanent redistribution of HNO3 is smaller in the simulations than in the observations. The Antarctic model run shows too little denitrification at lower altitudes towards the end of the winter compared to the observations. The occurrence of synoptic-scale ice PSCs agrees satisfactorily between observations and simulations for both hemispheres and the simulated vertical redistribution of water vapor (H2O) is in very good agreement with MLS observations. In summary, a conclusive agreement between CLaMS simulations and a variety of independent measurements is presented.</t>
  </si>
  <si>
    <t>[Tritscher, Ines; Grooss, Jens-Uwe; Spang, Reinhold; Mueller, Rolf; Riese, Martin] Forschungszentrum Julich, Inst Energy &amp; Climate Res Stratosphere IEK 7, D-52425 Julich, Germany; [Pitts, Michael C.] NASA, Langley Res Ctr, Hampton, VA 23681 USA; [Poole, Lamont R.] Sci Syst &amp; Applicat Inc, Hampton, VA 23666 USA</t>
  </si>
  <si>
    <t>Helmholtz Association; Research Center Julich; National Aeronautics &amp; Space Administration (NASA); NASA Langley Research Center; Science Systems and Applications Inc</t>
  </si>
  <si>
    <t>Tritscher, I (corresponding author), Forschungszentrum Julich, Inst Energy &amp; Climate Res Stratosphere IEK 7, D-52425 Julich, Germany.</t>
  </si>
  <si>
    <t>i.tritscher@fz-juelich.de</t>
  </si>
  <si>
    <t>Müller, Rolf/ABA-8213-2021; Riese, Martin/A-3927-2013; Grooß, Jens-Uwe/N-3305-2019; Tritscher, Ines/O-2271-2014; Spang, Reinhold/A-2738-2013</t>
  </si>
  <si>
    <t>Müller, Rolf/0000-0002-5024-9977; Riese, Martin/0000-0001-6398-6493; Grooß, Jens-Uwe/0000-0002-9485-866X; Tritscher, Ines/0000-0001-5285-7952; Spang, Reinhold/0000-0002-2483-5761</t>
  </si>
  <si>
    <t>VSR project [JICG11]; Deutsche Forschungsgemeinschaft (DFG) [310479827]; Stratosphere-troposphere Processes And their Role in Climate (SPARC) project; International Space Science Institute (ISSI)</t>
  </si>
  <si>
    <t>VSR project; Deutsche Forschungsgemeinschaft (DFG)(German Research Foundation (DFG)); Stratosphere-troposphere Processes And their Role in Climate (SPARC) project; International Space Science Institute (ISSI)</t>
  </si>
  <si>
    <t>We thank Beiping P. Luo for sharing his Mie and T-matrix calculations with us. We also thank Felix Ploeger and Paul Konopka for providing the data of the multi-annual CLaMS simulation. Nicole Thomas provided excellent support for our programming activities. We gratefully acknowledge the European Centre for Medium-Range Weather Forecasts (ECMWF) for providing ERA-Interim data. We thank Michelle Santee and the MLS team for providing their high-quality datasets. Computing time has been granted on the supercomputer JURECA at the Julich Supercomputing Centre (JSC) under the VSR project ID JICG11. Ines Tritscher was funded by the Deutsche Forschungsgemeinschaft (DFG) under project number 310479827. We finally acknowledge the Stratosphere-troposphere Processes And their Role in Climate (SPARC) project and the International Space Science Institute (ISSI) for supporting the Polar Stratospheric Cloud Initiative (PSCi).</t>
  </si>
  <si>
    <t>10.5194/acp-19-543-2019</t>
  </si>
  <si>
    <t>HH7MU</t>
  </si>
  <si>
    <t>WOS:000455915800001</t>
  </si>
  <si>
    <t>Wilhelm, S; Stober, G; Matthias, V; Jacobi, C; Murphy, DJ</t>
  </si>
  <si>
    <t>Wilhelm, Sven; Stober, Gunter; Matthias, Vivien; Jacobi, Christoph; Murphy, Damian J.</t>
  </si>
  <si>
    <t>Connection between the length of day and wind measurements in the mesosphere and lower thermosphere at mid- and high latitudes</t>
  </si>
  <si>
    <t>ATMOSPHERIC ANGULAR-MOMENTUM; EARTH ROTATION; EL-NINO; PARAMETERS; DENSITY; WAVES; MASS</t>
  </si>
  <si>
    <t>This work presents a connection between the density variation within the mesosphere and lower thermosphere (MLT) and changes in the intensity of solar radiation. On a seasonal timescale, these changes take place due to the revolution of the Earth around the Sun. While the Earth, during the northern-hemispheric (NH) winter, is closer to the Sun, the upper mesosphere expands due to an increased radiation intensity, which results in changes in density at these heights. These density variations, i.e., a vertical redistribution of atmospheric mass, have an effect on the rotation rate of Earth's upper atmosphere owing to angular momentum conservation. In order to test this effect, we applied a theoretical model, which shows a decrease in the atmospheric rotation speed of about similar to 4m s(-1) at a latitude of 45 degrees in the case of a density change of 1% between 70 and 100 km. To support this statement, we compare the wind variability obtained from meteor radar (MR) and Microwave Limb Sounder (MLS) satellite observations with fluctuations in the length of a day (LOD). Changes in the LOD on timescales of a year and less are primarily driven by tropospheric large-scale geophysical processes and their impact on the Earth's rotation. A global increase in lower-atmospheric eastward-directed winds leads, due to friction with the Earth's surface, to an acceleration of the Earth's rotation by up to a few milliseconds per rotation. The LOD shows an increase during northern winter and decreases during summer, which corresponds to changes in the MLT density due to the Earth-Sun movement. Within the MLT the mean zonal wind shows similar fluctuations to the LOD on annual scales as well as longer time series, which are connected to the seasonal wind regime as well as to density changes excited by variations in the solar radiation. A direct correlation between the local measured winds and the LOD on shorter timescales cannot clearly be identified, due to stronger influences of other natural oscillations on the wind. Further, we show that, even after removing the seasonal and 11-year solar cycle variations, the mean zonal wind and the LOD are connected by analyzing long-term tendencies for the years 2005-2016.</t>
  </si>
  <si>
    <t>[Wilhelm, Sven; Stober, Gunter] Univ Rostock, Leibniz Inst Atmospher Phys, Kuhlungsborn, Germany; [Matthias, Vivien] Potsdam Inst Climate Impact Res, Earth Syst Anal Res Domain 1, Potsdam, Germany; [Jacobi, Christoph] Univ Leipzig, Inst Meteorol, Leipzig, Germany; [Murphy, Damian J.] Australian Antarctic Div, Kingston, Australia</t>
  </si>
  <si>
    <t>Leibniz Institut fur Atmospharenphysik e.V. an der Universitat Rostock (IAP); University of Rostock; Potsdam Institut fur Klimafolgenforschung; Leipzig University; Australian Antarctic Division</t>
  </si>
  <si>
    <t>Wilhelm, S (corresponding author), Univ Rostock, Leibniz Inst Atmospher Phys, Kuhlungsborn, Germany.</t>
  </si>
  <si>
    <t>wilhelm@iap-kborn.de</t>
  </si>
  <si>
    <t>Jacobi, Christoph/0000-0002-7878-0110; Wendt, Vivien/0000-0003-1806-4507; Stober, Gunter/0000-0002-7909-6345; Murphy, Damian/0000-0003-1738-5560</t>
  </si>
  <si>
    <t>WATILA project [SAW-2015-IAP-1 383]; Australian Antarctic Science projects [2668, 4025]</t>
  </si>
  <si>
    <t>WATILA project; Australian Antarctic Science projects</t>
  </si>
  <si>
    <t>This work was supported by the WATILA project (SAW-2015-IAP-1 383). The operation of the Davis meteor radar was supported through Australian Antarctic Science projects 2668 and 4025. We thank IERS for providing the LOD data used, which can be found under https://datacenter.iers.org (last access: 4 April 2017). Furthermore we acknowledge the IAP technicians for the technical support and Jorge L. Chau for discussions at an early stage of the work.</t>
  </si>
  <si>
    <t>JAN 11</t>
  </si>
  <si>
    <t>10.5194/angeo-37-1-2019</t>
  </si>
  <si>
    <t>HH6AY</t>
  </si>
  <si>
    <t>WOS:000455812000001</t>
  </si>
  <si>
    <t>Ejiri, MK; Nakamura, T; Tsuda, TT; Nishiyama, T; Abo, M; Takahashi, T; Tsuno, K; Kawahara, TD; Ogawa, T; Wada, S</t>
  </si>
  <si>
    <t>Ejiri, Mitsumu K.; Nakamura, Takuji; Tsuda, Takuo T.; Nishiyama, Takanori; Abo, Makoto; Takahashi, Toru; Tsuno, Katsuhiko; Kawahara, Takuya D.; Ogawa, Takayo; Wada, Satoshi</t>
  </si>
  <si>
    <t>Vertical fine structure and time evolution of plasma irregularities in the Es layer observed by a high-resolution Ca+ lidar</t>
  </si>
  <si>
    <t>Sporadic E (E-s) layer; Calcium ion (Ca+) density; Resonance scattering lidar; Mid-latitude; Vertical fine structure; Kelvin-Helmholtz instability; Ion upward flow; Lower thermosphere</t>
  </si>
  <si>
    <t>SPORADIC-E LAYER; MIDLATITUDE; INSTABILITY; MODULATION; RADAR</t>
  </si>
  <si>
    <t>The vertical fine structures and the time evolution of plasma irregularities in the sporadic E (E-s) layer were observed via calcium ion (Ca+) density measurements using a resonance scattering lidar with a high time-height resolution (5s and 15m) at Tachikawa (35.7 degrees N, 139.4 degrees E) on December 24, 2014. The observation successfully provided clearer fine structures of plasma irregularities, such as quasi-sinusoidal height variation, localized clumps, cats-eye structures, and twist structures, in the sporadic Ca+ (Ca+s) layers at around 100km altitude. These fine structures suggested that the Kelvin-Helmholtz instabilities occurred in the neutral atmosphere whose density changed temporarily or spatially. The maximum Ca+ density in the Ca+s layer was two orders of magnitude smaller than the maximum electron density estimated from the critical frequency (f(o)E(s)) simultaneously observed by the ionosonde at Kokubunji (35.7 degrees N, 139.5 degrees E). A strong positive correlation with a coefficient of 0.91 suggests that Ca+ contributes forming the E-s layer as well as major metallic ions Fe+ and Mg+ in the lower thermosphere. Moreover, the formation of a new Ca+s layer at 110km and the upward motions of the Ca+s layers at 100km and 110km were observed before the local sunrise and just after the sunrise time at the conjugation point. Although the presence or absence of a causal relationship with the sunrise time was not clear, a possible explanation for the formation and the upward motions of the Ca+s layers was the occurrence of strong horizontal wind, rather than the enhancement of the eastward electric field.</t>
  </si>
  <si>
    <t>[Ejiri, Mitsumu K.; Nakamura, Takuji; Nishiyama, Takanori; Takahashi, Toru] Natl Inst Polar Res, 10-3 Midoricho, Tachikawa, Tokyo 1908518, Japan; [Ejiri, Mitsumu K.; Nakamura, Takuji; Nishiyama, Takanori] SOKENDAI Grad Univ Adv Studies, Dept Polar Sci, 10-3 Midoricho, Tachikawa, Tokyo 1908518, Japan; [Tsuda, Takuo T.] Univ Electrocommun, 1-5-1 Chofugaoka, Chofu, Tokyo 1828585, Japan; [Abo, Makoto] Tokyo Metropolitan Univ, 6-6 Asahigaoka, Hino, Tokyo 1910065, Japan; [Tsuno, Katsuhiko; Ogawa, Takayo; Wada, Satoshi] RIKEN, RAP, 2-1 Hirosawa, Wako, Saitama 3510198, Japan; [Kawahara, Takuya D.] Shinshu Univ, Fac Engn, 4-17-1 Wakasato, Nagano 3808553, Japan</t>
  </si>
  <si>
    <t>Research Organization of Information &amp; Systems (ROIS); National Institute of Polar Research (NIPR) - Japan; Graduate University for Advanced Studies - Japan; University of Electro-Communications - Japan; Tokyo Metropolitan University; RIKEN; Shinshu University</t>
  </si>
  <si>
    <t>Ejiri, MK (corresponding author), Natl Inst Polar Res, 10-3 Midoricho, Tachikawa, Tokyo 1908518, Japan.</t>
  </si>
  <si>
    <t>ejiri.mitsumu@nipr.ac.jp</t>
  </si>
  <si>
    <t>Nishiyama, Takanori/ABA-2671-2020</t>
  </si>
  <si>
    <t>Nishiyama, Takanori/0000-0002-3648-6589; Takahashi, Toru/0000-0001-5676-2790; Nakamura, Takuji/0000-0002-3876-2946; TSUNO, KATSUHIKO/0000-0002-4407-8710</t>
  </si>
  <si>
    <t>JSPS-Kakenhi [JP15K13575]; Japanese Antarctic Research Expedition [AJ1, AJ0901]; National Institute of Polar Research [KP2, KP301]; NIPR</t>
  </si>
  <si>
    <t>JSPS-Kakenhi(Ministry of Education, Culture, Sports, Science and Technology, Japan (MEXT)Japan Society for the Promotion of ScienceGrants-in-Aid for Scientific Research (KAKENHI)); Japanese Antarctic Research Expedition; National Institute of Polar Research(National Institute of Polar Research (NIPR) - Japan); NIPR(National Institute of Polar Research (NIPR) - Japan)</t>
  </si>
  <si>
    <t>The JSPS-Kakenhi (JP15K13575), the prioritized project AJ1 and AJ0901 of Japanese Antarctic Research Expedition, the Project Research KP2 and KP301 of the National Institute of Polar Research. NIPR publication subsidy</t>
  </si>
  <si>
    <t>10.1186/s40623-019-0984-z</t>
  </si>
  <si>
    <t>HH1TP</t>
  </si>
  <si>
    <t>WOS:000455502900001</t>
  </si>
  <si>
    <t>Di Luca, J; Zelaya, DG</t>
  </si>
  <si>
    <t>Di Luca, Javier; Zelaya, Diego G.</t>
  </si>
  <si>
    <t>Gastropods from the Burdwood Bank (southwestern Atlantic): an overview of species diversity</t>
  </si>
  <si>
    <t>southwestern Atlantic; Marine Protected Area Namuncura / Banco Burdwood; Pampa Azul</t>
  </si>
  <si>
    <t>REVISION; MOLLUSCA; THIELE; MARINE</t>
  </si>
  <si>
    <t>This contribution provides novel information on the diversity of gastropods from the Burdwood Bank, based on the material collected in this area, as part of the 2013 Summer Antarctic Expedition (CAV 2013), conducted by the oceanographic vessel PUERTO DESEADO. As part of this study, a total of 50 species are recognized, from which 19 are reported for the first time from Burdwood Bank, and at least nine other are probably new to science. Each species is here described and illustrated. The results arising from this study are combined with the previously published records in an attempt to critically compile the information for this area, with view to determine the local diversity of the group. As a result of this study, the diversity of gastropods almost double with respected to the previously published information, reaching a total of 79 species of shelled gastropods.</t>
  </si>
  <si>
    <t>[Di Luca, Javier] Museo Argentino Ciencias Nat Bernardino Rivadavia, Av Angel Gallardo 470,C1405DJR, Buenos Aires, DF, Argentina; [Di Luca, Javier; Zelaya, Diego G.] Consejo Nacl Invest Cient &amp; Tecn, Buenos Aires, DF, Argentina; [Zelaya, Diego G.] UBA, Fac Ciencias Exactas Nat, Dept Biodiversidad &amp; Biol Expt, Ciudad Univ,Pab 2,Lab 3,C1428EHA, Buenos Aires, DF, Argentina</t>
  </si>
  <si>
    <t>Museo Argentino de Ciencias Naturales Bernardino Rivadavia (MACN); Consejo Nacional de Investigaciones Cientificas y Tecnicas (CONICET); University of Buenos Aires</t>
  </si>
  <si>
    <t>Di Luca, J (corresponding author), Museo Argentino Ciencias Nat Bernardino Rivadavia, Av Angel Gallardo 470,C1405DJR, Buenos Aires, DF, Argentina.;Di Luca, J (corresponding author), Consejo Nacl Invest Cient &amp; Tecn, Buenos Aires, DF, Argentina.</t>
  </si>
  <si>
    <t>javierdiluca@gmail.com; dzelaya@bg.fcen.uba.ar</t>
  </si>
  <si>
    <t>Ubacyt [20020150100195BA]</t>
  </si>
  <si>
    <t>Ubacyt</t>
  </si>
  <si>
    <t>The authors express their gratitude to the crew of the Oceanographic vessel PUERTO DESEADO, and particularly to Laura Schejter for collecting the material referred herein; Bernhard Haussdorf, Sankurie Pye, Sussan Chambers, Andreia Salvador and Gustavo Darrigran allowed the study of material housed at their museums. JADL also thanks Martin Maciel Eguia for his critical review of English. This work was done in the context of studying the Marine Protected Area Namuncura / Burdwood Bank and was partially funded by Ubacyt 20020150100195BA.</t>
  </si>
  <si>
    <t>JAN 10</t>
  </si>
  <si>
    <t>10.11646/zootaxa.4544.1.2</t>
  </si>
  <si>
    <t>HG7UJ</t>
  </si>
  <si>
    <t>WOS:000455200500002</t>
  </si>
  <si>
    <t>Ceballos, SG; Roesti, M; Matschiner, M; Fernández, DA; Damerau, M; Hanel, R; Salzburger, W</t>
  </si>
  <si>
    <t>Ceballos, Santiago G.; Roesti, Marius; Matschiner, Michael; Fernandez, Daniel A.; Damerau, Malte; Hanel, Reinhold; Salzburger, Walter</t>
  </si>
  <si>
    <t>Phylogenomics of an extra-Antarctic notothenioid radiation reveals a previously unrecognized lineage and diffuse species boundaries</t>
  </si>
  <si>
    <t>BMC EVOLUTIONARY BIOLOGY</t>
  </si>
  <si>
    <t>RAD; Adaptive radiation; Patagonotothen; Cryptic species</t>
  </si>
  <si>
    <t>PATAGONOTOTHEN-RAMSAYI REGAN; FISH ELEGINOPS-MACLOVINUS; EVOLUTIONARY DIVERSIFICATION; ECOLOGICAL DIVERSIFICATION; POPULATION-STRUCTURE; DIVERSITY; PISCES; PERCIFORMES; ISLANDS; GLACIATIONS</t>
  </si>
  <si>
    <t>BackgroundThe impressive adaptive radiation of notothenioid fishes in Antarctic waters is generally thought to have been facilitated by an evolutionary key innovation, antifreeze glycoproteins, permitting the rapid evolution of more than 120 species subsequent to the Antarctic glaciation. By way of contrast, the second-most species-rich notothenioid genus, Patagonotothen, which is nested within the Antarctic clade of Notothenioidei, is almost exclusively found in the non-Antarctic waters of Patagonia. While the drivers of the diversification of Patagonotothen are currently unknown, they are unlikely to be related to antifreeze glycoproteins, given that water temperatures in Patagonia are well above freezing point. Here we performed a phylogenetic analysis based on genome-wide single nucleotide polymorphisms (SNPs) derived from restriction site-associated DNA sequencing (RADseq) in a total of twelve Patagonotothen species.ResultsWe present a well-supported, time-calibrated phylogenetic hypothesis including closely and distantly related outgroups, confirming the monophyly of the genus Patagonotothen with an origin approximately 3 million years ago and the paraphyly of both the sister genus Lepidonotothen and the family Notothenidae. Our phylogenomic and population genetic analyses highlight a previously unrecognized linage and provide evidence for shared genetic variation between some closely related species. We also provide a mitochondrial phylogeny showing mitonuclear discordance.ConclusionsBased on a combination of phylogenomic and population genomic approaches, we provide evidence for the existence of a new, potentially cryptic, Patagonotothen species, and demonstrate that genetic boundaries between some closely related species are diffuse, likely due to recent introgression and/or incomplete linage sorting. The detected mitonuclear discordance highlights the limitations of relying on a single locus for species barcoding. In addition, our time-calibrated phylogenetic hypothesis shows that the early burst of diversification roughly coincides with the onset of the intensification of Quaternary glacial cycles and that the rate of species accumulation may have been stepwise rather than constant. Our phylogenetic framework not only advances our understanding of the origin of a high-latitude marine radiation, but also provides the basis for the study of the ecology and life history of the genus Patagonotothen, as well as for their conservation and commercial management.</t>
  </si>
  <si>
    <t>[Ceballos, Santiago G.; Fernandez, Daniel A.] Univ Nacl Tierra del Fuego, Inst Ciencias Polares Ambiente &amp; Recursos Nat ICP, Fuegia Basket 251,V9410BXE, Ushuaia, Argentina; [Ceballos, Santiago G.; Fernandez, Daniel A.] Consejo Nacl Invest Cient &amp; Tecn, CADIC, Bernardo A Houssay 200,V9410BXE Ushuaia, Ushuaia, Tierra Del Fueg, Argentina; [Ceballos, Santiago G.; Roesti, Marius; Matschiner, Michael; Salzburger, Walter] Univ Basel, Zool Inst, Basel, Switzerland; [Roesti, Marius] Univ British Columbia, Dept Zool, Vancouver, BC, Canada; [Matschiner, Michael] Univ Oslo, Dept Biosci, Ctr Ecol &amp; Evolutionary Synth, Oslo, Norway; [Damerau, Malte; Hanel, Reinhold] Johann Heinrich von Thunen Inst, Inst Fisheries Ecol, Fed Res Inst Rural Areas, Forestry &amp; Fisheries, Hamburg, Germany</t>
  </si>
  <si>
    <t>Consejo Nacional de Investigaciones Cientificas y Tecnicas (CONICET); University of Basel; University of British Columbia; University of Oslo; Johann Heinrich von Thunen Institute</t>
  </si>
  <si>
    <t>Ceballos, SG (corresponding author), Univ Nacl Tierra del Fuego, Inst Ciencias Polares Ambiente &amp; Recursos Nat ICP, Fuegia Basket 251,V9410BXE, Ushuaia, Argentina.;Ceballos, SG (corresponding author), Consejo Nacl Invest Cient &amp; Tecn, CADIC, Bernardo A Houssay 200,V9410BXE Ushuaia, Ushuaia, Tierra Del Fueg, Argentina.;Ceballos, SG (corresponding author), Univ Basel, Zool Inst, Basel, Switzerland.</t>
  </si>
  <si>
    <t>sgceballos@gmail.com</t>
  </si>
  <si>
    <t>Hanel, Reinhold/AAO-4887-2021</t>
  </si>
  <si>
    <t>Ceballos, Santiago Guillermo/0000-0002-6417-9412; Matschiner, Michael/0000-0003-4741-3884; Fernandez, Daniel Alfredo/0000-0002-3367-4138</t>
  </si>
  <si>
    <t>National Scientific and Technical Research Council from Argentina (CONICET) [PIP 0440]; Swiss National Science Foundation (SNF); European Research Council (ERC)</t>
  </si>
  <si>
    <t>National Scientific and Technical Research Council from Argentina (CONICET); Swiss National Science Foundation (SNF)(Swiss National Science Foundation (SNSF)); European Research Council (ERC)(European Research Council (ERC)Spanish Government)</t>
  </si>
  <si>
    <t>DAF and SGC were founded by the National Scientific and Technical Research Council from Argentina (CONICET) [grant PIP 0440, 2015]. WS acknowledges funding from the Swiss National Science Foundation (SNF) and the European Research Council (ERC). No funding body was involved in the design, collection, analysis, or interpretation of the data for this study, or in the writing of this manuscript.</t>
  </si>
  <si>
    <t>1471-2148</t>
  </si>
  <si>
    <t>BMC EVOL BIOL</t>
  </si>
  <si>
    <t>BMC Evol. Biol.</t>
  </si>
  <si>
    <t>10.1186/s12862-019-1345-z</t>
  </si>
  <si>
    <t>Evolutionary Biology; Genetics &amp; Heredity</t>
  </si>
  <si>
    <t>HH1EU</t>
  </si>
  <si>
    <t>WOS:000455462900002</t>
  </si>
  <si>
    <t>Meroni, AN; McConnochie, CD; Cenedese, C; Sutherland, B; Snow, K</t>
  </si>
  <si>
    <t>Meroni, Agostino N.; McConnochie, Craig D.; Cenedese, Claudia; Sutherland, Bruce; Snow, Kate</t>
  </si>
  <si>
    <t>Nonlinear influence of the Earth's rotation on iceberg melting</t>
  </si>
  <si>
    <t>phase change; rotating flows; solidification; melting</t>
  </si>
  <si>
    <t>TAYLOR-COLUMNS; MOTION; MODEL; HEAT</t>
  </si>
  <si>
    <t>The calving of icebergs accounts for a significant fraction of the mass loss from both the Antarctic and Greenland ice sheets. Iceberg melting affects the water properties impacting sea ice formation, local circulation and biological activity. Laboratory experiments have investigated the effects of the Earth's rotation on iceberg melting and the possible formation of Taylor columns (TCs) underneath icebergs. It is found that at high Rossby number, when rotation is weak compared to advection, iceberg melting is unaffected by the background rotation. As decreases, the melt rate shows an increasing trend, which is expected to reverse for very low . This behaviour is explained by considering the integrated horizontal velocity at the base of the iceberg. For moderate , a partial TC is formed and its effective blocking accelerates the flow under the remainder of the iceberg, which increases the melt rate since the melting is proportional to the flow velocity. It is expected that for very low the melt rate decreases because, with the expansion of the TC, the region of flow acceleration occurs away from the base of the iceberg. For low free stream velocity the freshwater produced by the ice melting introduces another dynamical effect. It is observed that there is a threshold free stream velocity below which the melt rate is constant. This is explained with the formation of a gravity current at the base of the iceberg that insulates it from the free flow and controls its melting.</t>
  </si>
  <si>
    <t>[Meroni, Agostino N.] Univ Milano Bicocca, Dept Earth &amp; Environm Sci, I-20126 Milan, Italy; [McConnochie, Craig D.; Cenedese, Claudia] Woods Hole Oceanog Inst, Dept Phys Oceanog, Woods Hole, MA 02543 USA; [Sutherland, Bruce] Univ Alberta, Dept Phys, Edmonton, AB T6G 2E3, Canada; [Sutherland, Bruce] Univ Alberta, Dept Earth &amp; Atmospher Sci, Edmonton, AB T6G 2E3, Canada; [Snow, Kate] Univ Edinburgh, Sch GeoSci, Edinburgh EH8 9YL, Midlothian, Scotland</t>
  </si>
  <si>
    <t>University of Milano-Bicocca; Woods Hole Oceanographic Institution; University of Alberta; University of Alberta; University of Edinburgh</t>
  </si>
  <si>
    <t>Meroni, AN (corresponding author), Univ Milano Bicocca, Dept Earth &amp; Environm Sci, I-20126 Milan, Italy.</t>
  </si>
  <si>
    <t>agostino.meroni@gmail.com</t>
  </si>
  <si>
    <t>Sutherland, Bruce/AAJ-9135-2021; MERONI, AGOSTINO NIYONKURU/GWM-6177-2022; MERONI, AGOSTINO NIYONKURU/ABA-3544-2020</t>
  </si>
  <si>
    <t>Sutherland, Bruce/0000-0002-9585-779X; MERONI, AGOSTINO NIYONKURU/0000-0001-5504-632X; MERONI, AGOSTINO NIYONKURU/0000-0001-5504-632X; McConnochie, Craig/0000-0001-7105-192X</t>
  </si>
  <si>
    <t>GFD Summer Program Fellowship; Weston Howard Jr Fellowship; NSF [OCE-1658079]</t>
  </si>
  <si>
    <t>GFD Summer Program Fellowship; Weston Howard Jr Fellowship; NSF(National Science Foundation (NSF))</t>
  </si>
  <si>
    <t>The authors acknowledge A. Jensen for his help in building the apparatus and the ice block moulds and the GFD Summer Program held at Woods Hole Oceanographic Institution where the work was undertaken. A.N.M. was funded by the 2017 GFD Summer Program Fellowship and thanks C. Pasquero for her continuous scientific encouragement and support. C.D.M. acknowledges funding from the Weston Howard Jr Fellowship. C.C. was supported by NSF OCE-1658079.</t>
  </si>
  <si>
    <t>10.1017/jfm.2018.798</t>
  </si>
  <si>
    <t>LE5RV</t>
  </si>
  <si>
    <t>WOS:000526777100031</t>
  </si>
  <si>
    <t>Alberello, A; Onorato, M; Bennetts, L; Vichi, M; Eayrs, C; MacHutchon, K; Toffoli, A</t>
  </si>
  <si>
    <t>Alberello, Alberto; Onorato, Miguel; Bennetts, Luke; Vichi, Marcello; Eayrs, Clare; MacHutchon, Keith; Toffoli, Alessandro</t>
  </si>
  <si>
    <t>Brief communication: Pancake ice floe size distribution during the winter expansion of the Antarctic marginal ice zone</t>
  </si>
  <si>
    <t>SEA-ICE; EVOLUTION</t>
  </si>
  <si>
    <t>The size distribution of pancake ice floes is calculated from images acquired during a voyage to the Antarctic marginal ice zone in the winter expansion season. Results show that 50% of the sea ice area is made up of floes with diameters of 2.3-4 m. The floe size distribution shows two distinct slopes on either side of the 2.3-4 m range, neither of which conforms to a power law. Following a relevant recent study, it is conjectured that the growth of pancakes from frazil forms the distribution of small floes (D &lt; 2.3 m), and welding of pancakes forms the distribution of large floes (D &gt; 4 m).</t>
  </si>
  <si>
    <t>[Alberello, Alberto; Toffoli, Alessandro] Univ Melbourne, Dept Infrastruct Engn, Parkville, Vic 3010, Australia; [Onorato, Miguel] Univ Torino, Dipartimento Fis, I-10125 Turin, Italy; [Onorato, Miguel] INFN, Sez Torino, I-10125 Turin, Italy; [Alberello, Alberto; Bennetts, Luke] Univ Adelaide, Sch Math Sci, Adelaide, SA 5005, Australia; [Vichi, Marcello] Univ Cape Town, Dept Oceanog, ZA-7701 Rondebosch, South Africa; [Vichi, Marcello] Univ Cape Town, Marine Res Inst, ZA-7701 Rondebosch, South Africa; [Eayrs, Clare] New York Univ Abu Dhabi, Ctr Global Sea Level Change, Abu Dhabi, U Arab Emirates; [MacHutchon, Keith] Univ Cape Town, Dept Civil Engn, ZA-7701 Rondebosch, South Africa</t>
  </si>
  <si>
    <t>University of Melbourne; University of Turin; Istituto Nazionale di Fisica Nucleare (INFN); University of Adelaide; University of Cape Town; University of Cape Town; New York University Abu Dhabi; University of Cape Town</t>
  </si>
  <si>
    <t>Alberello, A (corresponding author), Univ Melbourne, Dept Infrastruct Engn, Parkville, Vic 3010, Australia.;Alberello, A (corresponding author), Univ Adelaide, Sch Math Sci, Adelaide, SA 5005, Australia.</t>
  </si>
  <si>
    <t>alberto.alberello@outlook.com</t>
  </si>
  <si>
    <t>Vichi, Marcello/B-8719-2008; Eayrs, Clare/T-7969-2019; Vichi, Marcello/GLR-9823-2022; Bennetts, Luke/N-1448-2019</t>
  </si>
  <si>
    <t>Vichi, Marcello/0000-0002-0686-9634; Eayrs, Clare/0000-0003-3129-7604; Vichi, Marcello/0000-0002-0686-9634; Bennetts, Luke/0000-0001-9386-7882; Toffoli, Alessandro/0000-0003-3112-6856</t>
  </si>
  <si>
    <t>South African National Antarctic Programme through the National Research Foundation; ACE Foundation; Ferring Pharmaceuticals; Australian Antarctic Science Program [4434]; Departments of Excellence 2018-2022 grant - Italian Ministry of Education, University and Research (MIUR) [L.232/2016]; NYUAD Center for the Global Sea Level Change project [G1204]; Air-Sea-Ice Lab Project</t>
  </si>
  <si>
    <t>South African National Antarctic Programme through the National Research Foundation; ACE Foundation; Ferring Pharmaceuticals(Ferring Pharmaceuticals); Australian Antarctic Science Program; Departments of Excellence 2018-2022 grant - Italian Ministry of Education, University and Research (MIUR)(Ministry of Education, Universities and Research (MIUR)); NYUAD Center for the Global Sea Level Change project; Air-Sea-Ice Lab Project</t>
  </si>
  <si>
    <t>The cruise was funded by the South African National Antarctic Programme through the National Research Foundation. This work was motivated by the Antarctic Circumnavigation Expedition (ACE) and partially funded by the ACE Foundation and Ferring Pharmaceuticals. Support from the Australian Antarctic Science Program (project 4434) is acknowledged. Miguel Onorato was supported by the Departments of Excellence 2018-2022 grant awarded by the Italian Ministry of Education, University and Research (MIUR) (L.232/2016). Clare Eayrs was supported under NYUAD Center for the Global Sea Level Change project G1204. The authors thank Lotfi Aouf at Meteo France for providing reanalysis data and the editor, Ted Maksym, for useful comments. Alberto Alberello and Alessandro Toffoli acknowledge support from the Air-Sea-Ice Lab Project. Miguel Onorato acknowledges Barbara GiuliNico for interesting discussions. Alberto Alberello, Alessandro Toffoli and Miguel Onorato thank Le Fascette for technical support during the cruise.</t>
  </si>
  <si>
    <t>JAN 9</t>
  </si>
  <si>
    <t>10.5194/tc-13-41-2019</t>
  </si>
  <si>
    <t>HH3JK</t>
  </si>
  <si>
    <t>WOS:000455615600001</t>
  </si>
  <si>
    <t>Ramírez-Fernández, L; Trefault, N; Carú, M; Orlando, J</t>
  </si>
  <si>
    <t>Ramirez-Fernandez, Lia; Trefault, Nicole; Caru, Margarita; Orlando, Julieta</t>
  </si>
  <si>
    <t>Seabird and pinniped shape soil bacterial communities of their settlements in Cape Shirreff, Antarctica</t>
  </si>
  <si>
    <t>KING-GEORGE ISLAND; SOUTH SHETLAND ISLANDS; ROSS SEA REGION; ORNITHOGENIC SOILS; LIVINGSTON ISLAND; FUR SEALS; TERRESTRIAL ECOSYSTEMS; PYGOSCELID PENGUINS; MIROUNGA-LEONINA; DRY VALLEY</t>
  </si>
  <si>
    <t>Seabirds and pinnipeds play an important role in biogeochemical cycling by transferring nutrients from aquatic to terrestrial environments. Indeed, soils rich in animal depositions have generally high organic carbon, nitrogen and phosphorus contents. Several studies have assessed bacterial diversity in Antarctic soils influenced by marine animals; however most have been conducted in areas with significant human impact. Thus, we chose Cape Shirreff, Livingston Island, an Antarctic Specially Protected Area designated mainly to protect the diversity of marine vertebrate fauna, and selected sampling sites with different types of animals coexisting in a relatively small space, and where human presence and impact are negligible. Using 16S rRNA gene analyses through massive sequencing, we assessed the influence of animal concentrations, via their modification of edaphic characteristics, on soil bacterial diversity and composition. The nutrient composition of soils impacted by Antarctic fur seals and kelp gulls was more similar to that of control soils (i.e. soils without visible presence of plants or animals), which may be due to the more active behaviour of these marine animals compared to other species. Conversely, the soils from concentrations of southern elephant seals and penguins showed greater differences in soil nutrients compared to the control. In agreement with this, the bacterial communities of the soils associated with these animals were most different from those of the control soils, with the soils of penguin colonies also possessing the lowest bacterial diversity. However, all the soils influenced by the presence of marine animals were dominated by bacteria belonging to Gammaproteobacteria, particularly those of the genus Rhodanobacter. Therefore, we conclude that the modification of soil nutrient composition by marine vertebrates promotes specific groups of bacteria, which could play an important role in the recycling of nutrients in terrestrial Antarctic ecosystems.</t>
  </si>
  <si>
    <t>[Ramirez-Fernandez, Lia; Caru, Margarita; Orlando, Julieta] Univ Chile, Fac Sci, Dept Ecol Sci, Lab Microbial Ecol, Santiago, Chile; [Trefault, Nicole] Univ Mayor, Fac Sci, Ctr Gen Ecol &amp; Environm GEMA, Santiago, Chile</t>
  </si>
  <si>
    <t>Universidad de Chile; Universidad Mayor</t>
  </si>
  <si>
    <t>Orlando, J (corresponding author), Univ Chile, Fac Sci, Dept Ecol Sci, Lab Microbial Ecol, Santiago, Chile.</t>
  </si>
  <si>
    <t>jorlando@u.uchile.cl</t>
  </si>
  <si>
    <t>Ramírez-Fernández, Lía/KGK-8759-2024; Orlando, Julieta/E-1399-2014</t>
  </si>
  <si>
    <t>Orlando, Julieta/0000-0002-2902-8870; Ramirez, Lia/0000-0002-7686-1291</t>
  </si>
  <si>
    <t>Instituto Antartico Chileno (INACH); INACH [F_02-10, RG_14-14]; CONICYT-PIA [ACT172065]; National Commission for Scientific and Technological Research (CONICYT, Chile)</t>
  </si>
  <si>
    <t>Instituto Antartico Chileno (INACH); INACH; CONICYT-PIA; National Commission for Scientific and Technological Research (CONICYT, Chile)(Comision Nacional de Investigacion Cientifica y Tecnologica (CONICYT))</t>
  </si>
  <si>
    <t>This work was supported by Instituto Antartico Chileno (INACH; http://www.inach.cl/inach/) projects lead by Julieta Orlando. The Antarctic campaign was funded by INACH F_02-10 and the experimental procedures by INACH RG_14-14 (JO). In addition, we appreciate the support of the project CONICYT-PIA ACT172065 (GAB; http://www.antarcticgenomics.cl) (JO). Lia Ramirez-Fernandez acknowledges a scholarship from the National Commission for Scientific and Technological Research (CONICYT, Chile). The funders had no role in study design, data collection and analysis, decision to publish, or preparation of the manuscript.</t>
  </si>
  <si>
    <t>e0209887</t>
  </si>
  <si>
    <t>10.1371/journal.pone.0209887</t>
  </si>
  <si>
    <t>HG9VK</t>
  </si>
  <si>
    <t>WOS:000455359400060</t>
  </si>
  <si>
    <t>Petersen, M; Armisén, D; Gibbs, RA; Hering, L; Khila, A; Mayer, G; Richards, S; Niehuis, O; Misof, B</t>
  </si>
  <si>
    <t>Petersen, Malte; Armisen, David; Gibbs, Richard A.; Hering, Lars; Khila, Abderrahman; Mayer, Georg; Richards, Stephen; Niehuis, Oliver; Misof, Bernhard</t>
  </si>
  <si>
    <t>Diversity and evolution of the transposable element repertoire in arthropods with particular reference to insects</t>
  </si>
  <si>
    <t>GENOME SIZE; DNA TRANSPOSONS; DROSOPHILA-MELANOGASTER; LTR RETROTRANSPOSONS; HORIZONTAL TRANSFER; REVEALS; RESISTANCE; INSIGHTS; DATABASE; RNA</t>
  </si>
  <si>
    <t>BackgroundTransposable elements (TEs) are a major component of metazoan genomes and are associated with a variety of mechanisms that shape genome architecture and evolution. Despite the ever-growing number of insect genomes sequenced to date, our understanding of the diversity and evolution of insect TEs remains poor.ResultsHere, we present a standardized characterization and an order-level comparison of arthropod TE repertoires, encompassing 62 insect and 11 outgroup species. The insect TE repertoire contains TEs of almost every class previously described, and in some cases even TEs previously reported only from vertebrates and plants. Additionally, we identified a large fraction of unclassifiable TEs. We found high variation in TE content, ranging from less than 6% in the antarctic midge (Diptera), the honey bee and the turnip sawfly (Hymenoptera) to more than 58% in the malaria mosquito (Diptera) and the migratory locust (Orthoptera), and a possible relationship between the content and diversity of TEs and the genome size.ConclusionWhile most insect orders exhibit a characteristic TE composition, we also observed intraordinal differences, e.g., in Diptera, Hymenoptera, and Hemiptera. Our findings shed light on common patterns and reveal lineage-specific differences in content and evolution of TEs in insects. We anticipate our study to provide the basis for future comparative research on the insect TE repertoire.</t>
  </si>
  <si>
    <t>[Petersen, Malte] Univ Bonn, Bonn, Germany; [Armisen, David; Khila, Abderrahman] Univ Claude Bernard Lyon 1, Univ Lyon, Ecole Normale Super Lyon, Inst Genom Fonct Lyon,CNRS,UMR 5242, 46 Allee Italie, F-69364 Lyon, France; [Gibbs, Richard A.; Richards, Stephen] Baylor Coll Med, Dept Human &amp; Mol Genet, Human Genome Sequencing Ctr, Houston, TX 77030 USA; [Hering, Lars; Mayer, Georg] Univ Kassel, Inst Biol, Dept Zool, Heinrich Plett Str 40, D-34132 Kassel, Germany; [Niehuis, Oliver] Univ Freiburg, Inst Biol Zool 1, Dept Evolutionary Biol &amp; Ecol, D-79104 Freiburg, Brsg, Germany; [Petersen, Malte; Misof, Bernhard] Zool Res Museum Alexander Koenig, Ctr Mol Biodivers Res, Adenauerallee 160, D-53113 Bonn, Germany; [Petersen, Malte] Senckenberg Gesell Nat Forsch, Senckenberganlage 25, D-60325 Frankfurt, Germany</t>
  </si>
  <si>
    <t>University of Bonn; CHU Lyon; Centre National de la Recherche Scientifique (CNRS); Ecole Normale Superieure de Lyon (ENS de LYON); Universite Claude Bernard Lyon 1; CNRS - National Institute for Biology (INSB); Baylor College of Medicine; Universitat Kassel; University of Freiburg; Zoologisches Forschungsmuseum Alexander Koenig (ZFMK); Senckenberg Gesellschaft fur Naturforschung (SGN)</t>
  </si>
  <si>
    <t>Petersen, M (corresponding author), Univ Bonn, Bonn, Germany.;Petersen, M (corresponding author), Zool Res Museum Alexander Koenig, Ctr Mol Biodivers Res, Adenauerallee 160, D-53113 Bonn, Germany.</t>
  </si>
  <si>
    <t>mptrsen@uni-bonn.de</t>
  </si>
  <si>
    <t>Mayer, Georg/Y-9581-2018</t>
  </si>
  <si>
    <t>Mayer, Georg/0000-0003-0737-2440; Richards, Stephen/0000-0001-8959-5466; Hering, Lars/0000-0003-4469-991X; Petersen, Malte/0000-0001-7601-9873</t>
  </si>
  <si>
    <t>Leibniz Graduate School on Genomic Biodiversity Research; German Research Foundation (DFG) [MI 649/16-1, NI1387/3-1]; National Institutes of Health [U54 HG003273]; European Research Council (ERC-CoG) [616346]; European Research Council (ERC) [616346] Funding Source: European Research Council (ERC)</t>
  </si>
  <si>
    <t>Leibniz Graduate School on Genomic Biodiversity Research; German Research Foundation (DFG)(German Research Foundation (DFG)); National Institutes of Health(United States Department of Health &amp; Human ServicesNational Institutes of Health (NIH) - USA); European Research Council (ERC-CoG); European Research Council (ERC)(European Research Council (ERC)Spanish Government)</t>
  </si>
  <si>
    <t>BM, MP, and ON were supported by the Leibniz Graduate School on Genomic Biodiversity Research and by the German Research Foundation (DFG, MI 649/16-1; NI1387/3-1). RAG and SR were supported by the National Institutes of Health (U54 HG003273 awarded to RAG). AK and DA were supported by the European Research Council (ERC-CoG #616346 to AK). None of the funding bodies had any role in the design of the study or in the collection, analysis, interpretation of data or in the writing of the manuscript.</t>
  </si>
  <si>
    <t>10.1186/s12862-018-1324-9</t>
  </si>
  <si>
    <t>HG9OO</t>
  </si>
  <si>
    <t>WOS:000455338400003</t>
  </si>
  <si>
    <t>Cochrane, KL; Rakotondrazafy, H; Aswani, S; Chaigneau, T; Downey-Breedt, N; Lemahieu, A; Paytan, A; Pecl, G; Plagányi, E; Popova, E; van Putten, EI; Sauer, WHH; Byfield, V; Gasalla, MA; van Gennip, SJ; Malherbe, W; Rabary, A; Rabearisoa, A; Ramaroson, N; Randrianarimanana, V; Scott, L; Tsimanaoraty, PM</t>
  </si>
  <si>
    <t>Cochrane, K. L.; Rakotondrazafy, H.; Aswani, S.; Chaigneau, T.; Downey-Breedt, N.; Lemahieu, A.; Paytan, A.; Pecl, G.; Plaganyi, E.; Popova, E.; van Putten, E., I; Sauer, Warwick H. H.; Byfield, V; Gasalla, Maria A.; van Gennip, Simon J.; Malherbe, W.; Rabary, Andriantsilavo; Rabearisoa, Ando; Ramaroson, N.; Randrianarimanana, V; Scott, L.; Tsimanaoraty, P. M.</t>
  </si>
  <si>
    <t>Tools to Enrich Vulnerability Assessment and Adaptation Planning for Coastal Communities in Data-Poor Regions: Application to a Case Study in Madagascar</t>
  </si>
  <si>
    <t>fishing communities; Madagascar; climate change; vulnerability assessment; adaptation</t>
  </si>
  <si>
    <t>SEA-LEVEL RISE; CLIMATE-CHANGE; ECOSYSTEM SERVICES; MARINE ECOSYSTEMS; KNOWLEDGE EXCHANGE; FISHERIES; IMPACTS; SCIENCE; SENSITIVITY; MANAGEMENT</t>
  </si>
  <si>
    <t>Here we describe an interdisciplinary and multi-country initiative to develop rapid, participatory methods to assess the vulnerability of coastal communities and facilitate adaptation to climate change in data-poor regions. The methods were applied in Madagascar as a case study. The initiative centered on an exploratory research exercise in two communities in the south-west of Madagascar, a workshop held in Antananarivo in June 2016, combined with a component on communicating ocean science and climate change to stakeholders. It utilized innovative and rapid approaches to combine global and local skills and information on adaptation and resilience building, taking cognizance of national policies, and was based on the principles of a holistic, integrated and participatory approach. This paper summarizes the activities undertaken and assesses how effective they were in achieving the project goals, as well as presenting examples of the outputs obtained. The activities demonstrated the value of using existing high resolution global climate models for provision of information on future trends, and of including a traits-based ecological risk assessment as a standard component of vulnerability assessments. User-friendly qualitative modeling activities helped to consolidate holistic, integrated understanding of selected fisheries. The value of assessing the importance and resilience of supply chains and taking the local management measures and institutions into account were validated. The outcomes of the initiative reinforced the principle that the cumulative ecological and social impacts of individual stressors and drivers on marine-dependent communities must be addressed, including climate-change related stressors. Assessments of vulnerability and adaptation planning should be forward-looking and consider likely changes in the future. They must also be done with participation by local experts and stakeholders to ensure knowledge exchange, local capacity-building and ownership and that outputs are rooted in the local realities, are accepted as being legitimate, and reinforce and complement relevant legal frameworks and laws.</t>
  </si>
  <si>
    <t>[Cochrane, K. L.; Aswani, S.; Downey-Breedt, N.; Lemahieu, A.; Sauer, Warwick H. H.; Malherbe, W.; Scott, L.] Rhodes Univ, Dept Ichthyol &amp; Fisheries Sci, Grahamstown, South Africa; [Rakotondrazafy, H.] WWF Madagascar, Antananarivo, Madagascar; [Aswani, S.] Rhodes Univ, Dept Anthropol, Grahamstown, South Africa; [Chaigneau, T.] Univ Exeter, Coll Life &amp; Environm Sci, Exeter, Devon, England; [Paytan, A.] Univ Calif Santa Cruz, Inst Marine Sci, Dept Earth &amp; Planetary Sci, Santa Cruz, CA 95064 USA; [Paytan, A.] Univ Calif Santa Cruz, Dept Ocean Sci, Santa Cruz, CA 95064 USA; [Pecl, G.] Univ Tasmania, Ctr Marine Socioecol, Inst Marine &amp; Antarctic Studies, Hobart, Tas, Australia; [Plaganyi, E.; van Putten, E., I] CSIRO Oceans &amp; Atmosphere, Ctr Marine Socioecol, Hobart, Tas, Australia; [Popova, E.; Byfield, V; van Gennip, Simon J.] Natl Oceanog Ctr, Southampton, Hants, England; [Gasalla, Maria A.] Univ Sao Paulo, Oceanog Inst, Fisheries Ecosyst Lab LabPesq, Sao Paulo, Brazil; [Gasalla, Maria A.] Univ Sao Paulo, Inst Adv Studies, Sao Paulo, Brazil; [Rabary, Andriantsilavo; Randrianarimanana, V] Secretariat Etat Charge Mer, Antananarivo, Madagascar; [Rabearisoa, Ando] Conservat Int, Antananarivo, Madagascar; [Ramaroson, N.] Bur Natl Coordinat Changements Climat, Antananarivo, Madagascar; [Tsimanaoraty, P. M.] Inst Halieut &amp; Sci Marines, Toliara, Madagascar</t>
  </si>
  <si>
    <t>Rhodes University; World Wildlife Fund; Rhodes University; University of Exeter; University of California System; University of California Santa Cruz; University of California System; University of California Santa Cruz; University of Tasmania; Commonwealth Scientific &amp; Industrial Research Organisation (CSIRO); NERC National Oceanography Centre; Universidade de Sao Paulo; Universidade de Sao Paulo</t>
  </si>
  <si>
    <t>Cochrane, KL (corresponding author), Rhodes Univ, Dept Ichthyol &amp; Fisheries Sci, Grahamstown, South Africa.</t>
  </si>
  <si>
    <t>k.cochrane@ru.ac.za</t>
  </si>
  <si>
    <t>Gasalla, Maria A./JBJ-9606-2023; Pecl, Gretta/D-7267-2011; Chaigneau, Tomas/AAM-2491-2020; Popova, Ekaterina E/B-4520-2012; Plaganyi, Eva E/C-5130-2011; Mokhtara, Charafeddine/ACV-5174-2022; Sauer, Warwick/GJI-2267-2022; Scott, Lucy Elizabeth Powell/ACE-6391-2022</t>
  </si>
  <si>
    <t>Gasalla, Maria A./0000-0003-1506-7040; Pecl, Gretta/0000-0003-0192-4339; Chaigneau, Tomas/0000-0002-0874-216X; Popova, Ekaterina E/0000-0002-2012-708X; Plaganyi, Eva E/0000-0002-4740-4200; Mokhtara, Charafeddine/0000-0002-4643-3798; Sauer, Warwick/0000-0002-9756-1757; Scott, Lucy Elizabeth Powell/0000-0001-8240-0283; van Gennip, Simon/0000-0002-3758-7090; Rabearisoa, Ando/0000-0001-5371-7695</t>
  </si>
  <si>
    <t>Ecosystem Services for Poverty Alleviation (ESPA), Edinburgh, United Kingdom; CSIRO (Australia); FAPESP (Brazil) [2012/51873-1]; NRF (South Africa); NERC (United Kingdom); ARC Future Fellowship; ICER; Directorate For Geosciences [1342479] Funding Source: National Science Foundation; NERC [noc010010, NE/P021050/1, NE/M007634/1, NE/M007413/1, NE/M00693X/1, NE/L008750/1, NE/M007421/1, NE/M00743X/1] Funding Source: UKRI</t>
  </si>
  <si>
    <t>Ecosystem Services for Poverty Alleviation (ESPA), Edinburgh, United Kingdom; CSIRO (Australia)(Commonwealth Scientific &amp; Industrial Research Organisation (CSIRO)); FAPESP (Brazil)(Fundacao de Amparo a Pesquisa do Estado de Sao Paulo (FAPESP)); NRF (South Africa)(National Research Foundation - South Africa); NERC (United Kingdom)(UK Research &amp; Innovation (UKRI)Natural Environment Research Council (NERC)); ARC Future Fellowship(Australian Research Council); ICER; Directorate For Geosciences(National Science Foundation (NSF)NSF - Directorate for Geosciences (GEO)); NERC(UK Research &amp; Innovation (UKRI)Natural Environment Research Council (NERC))</t>
  </si>
  <si>
    <t>Ecosystem Services for Poverty Alleviation (ESPA), Edinburgh, United Kingdom is thanked for financial support that made this project possible. This publication is also a contribution to the Belmont Global Understanding and Learning for Local Solutions (GULLS) project, the concept for which was developed in discussions within the Global Marine Hotspots Network. The authors wish to recognize Belmont country partner funding provided by National and Regional Science Agencies, including CSIRO (Australia), FAPESP 2012/51873-1 (Brazil), NRF (South Africa), and NERC (United Kingdom). GP was supported by an ARC Future Fellowship.</t>
  </si>
  <si>
    <t>10.3389/fmars.2018.00505</t>
  </si>
  <si>
    <t>OO3YI</t>
  </si>
  <si>
    <t>WOS:000587317900001</t>
  </si>
  <si>
    <t>Herenz, P; Wex, H; Mangold, A; Laffineur, Q; Gorodetskaya, IV; Fleming, ZL; Panagi, M; Stratmann, F</t>
  </si>
  <si>
    <t>Herenz, Paul; Wex, Heike; Mangold, Alexander; Laffineur, Quentin; Gorodetskaya, Irina V.; Fleming, Zoe L.; Panagi, Marios; Stratmann, Frank</t>
  </si>
  <si>
    <t>CCN measurements at the Princess Elisabeth Antarctica research station during three austral summers</t>
  </si>
  <si>
    <t>CLOUD CONDENSATION NUCLEI; DRONNING MAUD LAND; SEA-SALT AEROSOL; ATMOSPHERIC AEROSOL; PARTICLE FORMATION; PALMER STATION; MASS-BALANCE; SNOW; SIZE; OCEAN</t>
  </si>
  <si>
    <t>For three austral summer seasons (2013-2016, each from December to February) aerosol particles arriving at the Belgian Antarctic research station Princess Elisabeth (PE) in Dronning Maud Land in East Antarctica were characterized. This included number concentrations of total aerosol particles (N-CN) and cloud condensation nuclei (N-CCN), the particle number size distribution (PNSD), the aerosol particle hygroscopicity, and the influence of the air mass origin on N-CN and N-CCN. In general N-CN was found to range from 40 to 6700 cm(3), with a median of 333 cm(3), while N-CCN was found to cover a range between less than 10 and 1300 cm 3 for supersaturations (SSs) between 0.1% and 0.7 %. It is shown that the aerosol is dominated by the Aitken mode, being characterized by a significant amount of small, and therefore likely secondarily formed, aerosol particles, with 94% and 36% of the aerosol particles smaller than 90 and approximate to 35 nm, respectively. Measurements of the basic meteorological parameters as well as the history of the air masses arriving at the measurement station indicate that the station is influenced by both marine air masses originating from the Southern Ocean and coastal areas around Antarctica (marine events - MEs) and continental air masses (continental events - CEs). CEs, which were defined as instances when the air masses spent at least 90% of the time over the Antarctic continent during the last 10 days prior to arrival at the measurements station, occurred during 61% of the time during which measurements were done. CEs came along with rather constant N-CN and N-CCN values, which we denote as Antarctic continental background concentrations. MEs, however, cause large fluctuations in N-CN and N-CCN, with low concentrations likely caused by scavenging due to precipitation and high concentrations likely originating from new particle formation (NPF) based on marine precursors. The application of HYSPLIT back trajectories in form of the potential source contribution function (PSCF) analysis indicate that the region of the Southern Ocean is a potential source of Aitken mode particles. On the basis of PNSDs, together with N-CCN measured at an SS of 0.1 %, median values for the critical diameter for cloud droplet activation and the aerosol particle hygroscopicity parameter kappa were determined to be 110 nm and 1, respectively. For particles larger than approximate to 110 nm the Southern Ocean together with parts of the Antarctic ice shelf regions were found to be potential source regions. While the former may contribute sea spray particles directly, the contribution of the latter may be due to the emission of sea salt aerosol particles, released from snow particles from surface snow layers, e.g., during periods of high wind speed, leading to drifting or blowing snow. The region of the Antarctic inland plateau, however, was not found to feature a significant source region for aerosol particles in general or for cloud condensation nuclei measured at the PE station in the austral summer.</t>
  </si>
  <si>
    <t>[Herenz, Paul; Wex, Heike; Stratmann, Frank] Leibniz Inst Tropospher Res, Leipzig, Germany; [Herenz, Paul] Senate Dept Environm Transport &amp; Climate Protect, Berlin, Germany; [Mangold, Alexander; Laffineur, Quentin] Royal Meteorol Inst Belgium, Brussels, Belgium; [Gorodetskaya, Irina V.] Univ Aveiro, Dept Phys, Ctr Environm &amp; Marine Studies, Aveiro, Portugal; [Gorodetskaya, Irina V.] Katholieke Univ Leuven, Dept Earth &amp; Environm Sci, Leuven, Belgium; [Fleming, Zoe L.; Panagi, Marios] Univ Leicester, Dept Chem, Natl Ctr Atmospher Sci, Leicester, Leics, England</t>
  </si>
  <si>
    <t>Leibniz Institut fur Tropospharenforschung (TROPOS); Royal Meteorological Institute of Belgium; Universidade de Aveiro; KU Leuven; University of Leicester; UK Research &amp; Innovation (UKRI); Natural Environment Research Council (NERC); NERC National Centre for Atmospheric Science</t>
  </si>
  <si>
    <t>Wex, H (corresponding author), Leibniz Inst Tropospher Res, Leipzig, Germany.</t>
  </si>
  <si>
    <t>wex@tropos.de</t>
  </si>
  <si>
    <t>Fleming, Zoe/AHB-1124-2022; Laffineur, Quentin/I-6345-2012; Fleming, Zoë/AAU-8214-2020; Wex, Heike/X-5882-2018; Gorodetskaya, Irina/K-1987-2015</t>
  </si>
  <si>
    <t>Fleming, Zoë/0000-0001-5732-1479; Wex, Heike/0000-0003-2129-9323; Gorodetskaya, Irina/0000-0002-2294-7823; Laffineur, Quentin/0000-0002-7310-4666</t>
  </si>
  <si>
    <t>EU FP7-ENV-2013 program [603445]; Belgian Science Policy Office [EA/34/1B, BR/143/A2/AEROCLOUD]</t>
  </si>
  <si>
    <t>EU FP7-ENV-2013 program; Belgian Science Policy Office(Belgian Federal Science Policy Office)</t>
  </si>
  <si>
    <t>This work was funded by the EU FP7-ENV-2013 program Impact of Biogenic vs. Anthropogenic emissions on Clouds and Climate: towards a Holistic Under-Standing (BACCHUS), project number 603445, and by the Belgian Science Policy Office under contract EA/34/1B and under grant number BR/143/A2/AEROCLOUD. We thank Wim Boot, Carleen Reijmer and Michiel Van den Broeke (Utrecht University, Institute for Marine and Atmospheric Research, the Netherlands), and Alexandra Gossart and Nicole van Lipzig (KU Leuven) for the data from the Automatic Weather Station. We also thank Niels Souverijns and Nicole van Lipzig (KU Leuven) for the provision of the precipitation data. The authors acknowledge the NOAA Air Resources Laboratory (ARL) for the provision of the HYSPLIT transport and dispersion model and would like to thank the UK Meteorological Office for the use of the NAME dispersion model and the STFC JASMIN computer for hosting the model.</t>
  </si>
  <si>
    <t>JAN 8</t>
  </si>
  <si>
    <t>10.5194/acp-19-275-2019</t>
  </si>
  <si>
    <t>HH1QY</t>
  </si>
  <si>
    <t>WOS:000455496000003</t>
  </si>
  <si>
    <t>Liao, ML; Somero, GN; Dong, YW</t>
  </si>
  <si>
    <t>Liao, Ming-ling; Somero, George N.; Dong, Yun-wei</t>
  </si>
  <si>
    <t>Comparing mutagenesis and simulations as tools for identifying functionally important sequence changes for protein thermal adaptation</t>
  </si>
  <si>
    <t>adaptation; cytosolic malate dehydrogenase; evolution; molecular dynamics simulations; protein evolution</t>
  </si>
  <si>
    <t>CYTOSOLIC MALATE-DEHYDROGENASES; CRYSTAL-STRUCTURE; TEMPERATURE ADAPTATION; MOLECULAR-DYNAMICS; STRUCTURAL BASIS; STABILITY; HEAT; FLEXIBILITY; TOLERANCE; HALIOTIS</t>
  </si>
  <si>
    <t>Comparative studies of orthologous proteins of species evolved at different temperatures have revealed consistent patterns of temperature-related variation in thermal stabilities of structure and function. However, the precise mechanisms by which interspecific variations in sequence foster these adaptive changes remain largely unknown. Here, we compare orthologs of cytosolic malate dehydrogenase (cMDH) from marine molluscs adapted to temperatures ranging from -1.9 degrees C (Antarctica) to similar to 55 degrees C (South China coast) and show how amino acid usage in different regions of the enzyme (surface, intermediate depth, and protein core) varies with adaptation temperature. This eukaryotic enzyme follows some but not all of the rules established in comparisons of archaeal and bacterial proteins. To link the effects of specific amino acid substitutions with adaptive variations in enzyme thermal stability, we combined site-directed mutagenesis (SDM) and in vitro protein experimentation with in silico mutagenesis using molecular dynamics simulation (MDS) techniques. SDM and MDS methods generally but not invariably yielded common effects on protein stability. MDS analysis is shown to provide insights into how specific amino acid substitutions affect the conformational flexibilities of mobile regions (MRs) of the enzyme that are essential for binding and catalysis. Whereas these substitutions invariably lie outside of the MRs, they effectively transmit their flexibility-modulating effects to the MRs through linked interactions among surface residues. This discovery illustrates that regions of the protein surface lying outside of the site of catalysis can help establish an enzyme's thermal responses and foster evolutionary adaptation of function.</t>
  </si>
  <si>
    <t>[Liao, Ming-ling; Dong, Yun-wei] Xiamen Univ, Coll Ocean &amp; Earth Sci, State Key Lab Marine Environm Sci, Xiamen 361102, Peoples R China; [Somero, George N.] Stanford Univ, Dept Biol, Hopkins Marine Stn, Pacific Grove, CA 93950 USA</t>
  </si>
  <si>
    <t>Xiamen University; Stanford University</t>
  </si>
  <si>
    <t>Dong, YW (corresponding author), Xiamen Univ, Coll Ocean &amp; Earth Sci, State Key Lab Marine Environm Sci, Xiamen 361102, Peoples R China.</t>
  </si>
  <si>
    <t>dongyw@xmu.edu.cn</t>
  </si>
  <si>
    <t>Dong, Yunwei/C-4617-2011; Somero, George/AAC-3321-2019; LIAO, Ming-ling/GYE-3525-2022</t>
  </si>
  <si>
    <t>Dong, Yunwei/0000-0003-4550-2322; LIAO, Ming-ling/0000-0003-2997-6763; Somero, George/0000-0003-1431-6455</t>
  </si>
  <si>
    <t>State Key Laboratory of Marine Environmental Science, Xiamen University; National Natural Science Foundation of China [41776135, 41476115]; Nature Science Funds for Distinguished Young Scholars of Fujian Province, China [2017J07003]; National Science Foundation [1245703]</t>
  </si>
  <si>
    <t>State Key Laboratory of Marine Environmental Science, Xiamen University(Xiamen University); National Natural Science Foundation of China(National Natural Science Foundation of China (NSFC)); Nature Science Funds for Distinguished Young Scholars of Fujian Province, China; National Science Foundation(National Science Foundation (NSF))</t>
  </si>
  <si>
    <t>We thank Mr. Yu-wei Yu and Mr. Zhuo-bin Xu from the Information and Network Center, Xiamen University, for their help with high-performance computing. We thank Dr. Donal Manahan for helpful collection of the Antarctic specimens. We thank the support from the State Key Laboratory of Marine Environmental Science, Xiamen University. This work was supported by National Natural Science Foundation of China Grants 41776135 and 41476115 (to Y.-w.D.) and Nature Science Funds for Distinguished Young Scholars of Fujian Province, China Grant 2017J07003 (to Y.-w.D.). Work in the collection of the Antarctic specimens was supported by National Science Foundation Grant 1245703 (to Donal Manahan, co-PI).</t>
  </si>
  <si>
    <t>1091-6490</t>
  </si>
  <si>
    <t>10.1073/pnas.1817455116</t>
  </si>
  <si>
    <t>HG6JG</t>
  </si>
  <si>
    <t>WOS:000455086900050</t>
  </si>
  <si>
    <t>Cavan, EL; Henson, SA; Boyd, PW</t>
  </si>
  <si>
    <t>Cavan, Emma Louise; Henson, Stephanie A.; Boyd, Philip W.</t>
  </si>
  <si>
    <t>The Sensitivity of Subsurface Microbes to Ocean Warming Accentuates Future Declines in Particulate Carbon Export</t>
  </si>
  <si>
    <t>particulate carbon export; microbes; warming; metabolic theory; activation energy</t>
  </si>
  <si>
    <t>ATLANTIC TIME-SERIES; METABOLIC THEORY; CLIMATE-CHANGE; TEMPERATURE-DEPENDENCE; THERMAL ADAPTATION; SINKING VELOCITY; ORGANIC-CARBON; PHYTOPLANKTON; SIZE; ZOOPLANKTON</t>
  </si>
  <si>
    <t>Under future warming Earth System Models (ESMs) project a decrease in the magnitude of downward particulate organic carbon (POC) export, suggesting the potential for carbon storage in the deep ocean will be reduced. Projections of POC export can also be quantified using an alternative physiologically-based approach, the Metabolic Theory of Ecology (MTE). MTE employs an activation energy (E-a) describing organismal metabolic sensitivity to temperature change, but does not consider changes in ocean chemistry or physics. Many ESMs incorporate temperature dependent functions, where rates (e.g., respiration) scale with temperature. Temperature sensitivity describes how temperature dependence varies across metabolic rates or species. ESMs acknowledge temperature sensitivity between rates (e.g., between heterotrophic and autotropic processes), but due to a lack of empirical data cannot parameterize for variation within rates, such as differences within species or biogeochemical provinces. Here we investigate how varying temperature sensitivity affects heterotrophic microbial respiration and hence future POC export. Using satellite-derived data and ESM temperature projections we applied microbial MTE, with varying temperature sensitivity, to estimates of global POC export. In line with observations from polar regions and the deep ocean we imposed an elevated temperature sensitivity (E-a = 1.0 eV) to cooler regions; firstly to the Southern Ocean (south of 40 degrees S) and secondly where temperature at 100 m depth &lt; 13 degrees C. Elsewhere in both these scenarios Ea was set to 0.7 eV (moderate sensitivity/classic MTE). Imposing high temperature sensitivity in cool regions resulted in projected declines in export of 17 +/- 1% (&lt; 40 degrees S) and 23 +/- 1% (&lt; 13 degrees C) by 2100 relative to the present day. Hence varying microbial temperature sensitivity resulted in at least 2-fold greater declines in POC export than suggested by classic MTE derived in this study (12 +/- 1%, E-a = 0.7 eV globally) or ESMs (1-12%). The sparse observational data currently available suggests metabolic temperature sensitivity of organisms likely differs depending on the oceanic province they reside in. We advocate temperature sensitivity to be incorporated in biogeochemical models to improve projections of future carbon export, which could be currently underestimating the change in future POC export.</t>
  </si>
  <si>
    <t>[Cavan, Emma Louise; Boyd, Philip W.] Univ Tasmania, Inst Marine &amp; Antarctic Studies, Hobart, Tas, Australia; [Henson, Stephanie A.] Natl Oceanog Ctr, Southampton, Hants, England; [Boyd, Philip W.] Univ Tasmania, Antarctic Climate &amp; Ecosyst CRC, Hobart, Tas, Australia</t>
  </si>
  <si>
    <t>University of Tasmania; NERC National Oceanography Centre; University of Tasmania</t>
  </si>
  <si>
    <t>Cavan, EL (corresponding author), Univ Tasmania, Inst Marine &amp; Antarctic Studies, Hobart, Tas, Australia.</t>
  </si>
  <si>
    <t>emma.cavan@utas.edu.au</t>
  </si>
  <si>
    <t>Henson, Stephanie/AAC-9709-2019; Cavan, Emma/AFY-2671-2022; Boyd, Philip/J-7624-2014</t>
  </si>
  <si>
    <t>Australian Research Council [FL160100131]; European Research Council Consolidator grant [724416]; NERC [noc010009] Funding Source: UKRI; European Research Council (ERC) [724416] Funding Source: European Research Council (ERC); Australian Research Council [FL160100131] Funding Source: Australian Research Council</t>
  </si>
  <si>
    <t>Australian Research Council(Australian Research Council); European Research Council Consolidator grant(European Research Council (ERC)); NERC(UK Research &amp; Innovation (UKRI)Natural Environment Research Council (NERC)); European Research Council (ERC)(European Research Council (ERC)Spanish Government); Australian Research Council</t>
  </si>
  <si>
    <t>This work was funded by the Australian Research Council by a Laureate awarded to PB (FL160100131) and a European Research Council Consolidator grant to SH (GOCART, agreement number 724416). We would like to thank Joan Llort and Mike Sumner for their help in some of the early code development. We are also greatly indebted to David Ratkowsky, Ross Corkrey, and Tom Ross for discussions on thermodynamic theory and the appropriateness of using different models. The input data and the code used to build the initial MTE model is available at www.github.com/e-cavan.This study is dedicated to the memory of Dr Chris Daniels.</t>
  </si>
  <si>
    <t>JAN 7</t>
  </si>
  <si>
    <t>10.3389/fevo.2018.00230</t>
  </si>
  <si>
    <t>HX4NS</t>
  </si>
  <si>
    <t>WOS:000467376200002</t>
  </si>
  <si>
    <t>Tondi, R; Vuan, A; Borghi, A; Argnani, A</t>
  </si>
  <si>
    <t>Tondi, Rosaria; Vuan, Alessandro; Borghi, Alessandra; Argnani, Andrea</t>
  </si>
  <si>
    <t>Integrated crustal model beneath the Po Plain (Northern Italy) from surface wave tomography and Bouguer gravity data</t>
  </si>
  <si>
    <t>Po plain; 3D crustal model; Surface waves; Bouguer gravity anomalies</t>
  </si>
  <si>
    <t>GROUP-VELOCITY TOMOGRAPHY; ANTARCTIC SCOTIA SEA; GROUND MOTION; INVERSION; APENNINES; TECTONICS; THRUST; BASIN; ALPS; COMPUTATION</t>
  </si>
  <si>
    <t>To obtain a 3-D crustal density and shear-wave velocity structure beneath the Po plain, we exploit seismic records gathered from 2006 to 2014 and Bouguer gravity data assembled for the last estimation of the Italian Geoid. 2-D maps for both Love and Rayleigh fundamental mode at periods between 4 and 20 s are obtained applying a tomographic inversion. The defined local dispersion curves are then jointly inverted using a line-arized scheme to obtain a 3-D isotropic shear-wave velocity model across the Po plain region. The model, transformed into density through a priori velocity-density relationships, is then the input of the Sequential Integrated Inversion algorithm, which enables us to recover a new 3-D density-shear wave velocity coupling and inferences on the lithology and tectonics. Low and fast S-wave velocities are highlighted for the shallow Pliocene-Quatemary sediments along the foredeep, in front of the Northern Apennines, and for the presence of limestone units in the upper crust, respectively. Whereas sediment trends seem to be consistent with the results obtained, the Mesozoic carbonates, which are inherently characterized by high variability, are less resolved. A major result is the recovery of a high speed (3.3 km/s) - density (2.2 kg/m(3)) structure in the upper crust (6-10 km) localized beneath the arcuate Po plain thrust front expanding from the external margin of the Ferrara arc toward the Alps and the Adriatic Sea. At the boundaries of this brittle body, we locate earthquakes of the Emilia 2012 seismic sequence and the historical seismicity. Mapping lateral discontinuities in density and shear wave velocity could provide insights in defining strengthening and weakening zones, and in focusing on transition zones often prone to earthquakes.</t>
  </si>
  <si>
    <t>[Tondi, Rosaria; Borghi, Alessandra] Ist Nazl Geofis &amp; Vulcanol, Sez Bologna, Via Donato Creti 12, I-40128 Bologna, Italy; [Vuan, Alessandro] Ist Nazl Oceanog &amp; Geofis Sperimentale OGS, Ctr Ric Sismol, Borgo Grotta Gigante 42c, I-34010 Trieste, Italy; [Argnani, Andrea] ISMAR CNR, Ist Sci Mare, Via Gobetti 10, I-40129 Bologna, Italy</t>
  </si>
  <si>
    <t>Istituto Nazionale Geofisica e Vulcanologia (INGV); Istituto Nazionale di Oceanografia e di Geofisica Sperimentale; Consiglio Nazionale delle Ricerche (CNR); Istituto di Scienze Marine (ISMAR-CNR)</t>
  </si>
  <si>
    <t>Tondi, R (corresponding author), Ist Nazl Geofis &amp; Vulcanol, Sez Bologna, Via Donato Creti 12, I-40128 Bologna, Italy.</t>
  </si>
  <si>
    <t>rosaria.tondi@ingv.it</t>
  </si>
  <si>
    <t>Vuan, Alessandro/AAC-9665-2021; Tondi, Rosaria M/H-7271-2015; Vuan, Alessandro/GLR-3168-2022; Tondi, Rosaria M/GRY-4619-2022; Borghi, Alessandra/F-8582-2010; Vuan, Alessandro/B-7115-2014</t>
  </si>
  <si>
    <t>Tondi, Rosaria M/0000-0001-9400-3904; Tondi, Rosaria M/0000-0001-9400-3904; Borghi, Alessandra/0000-0001-6088-0386; Vuan, Alessandro/0000-0001-5536-1717</t>
  </si>
  <si>
    <t>JAN 5</t>
  </si>
  <si>
    <t>10.1016/j.tecto.2018.10.018</t>
  </si>
  <si>
    <t>HL4SL</t>
  </si>
  <si>
    <t>WOS:000458713300017</t>
  </si>
  <si>
    <t>Mueller, CO; Jokat, W</t>
  </si>
  <si>
    <t>Mueller, Christian Olaf; Jokat, Wilfried</t>
  </si>
  <si>
    <t>The initial Gondwana break-up: A synthesis based on new potential field data of the Africa-Antarctica Corridor</t>
  </si>
  <si>
    <t>Africa-Antarctica Corridor; Mozambique Basin; Riiser-Larsen Sea; Gondwana break-up; Magnetics; Potential Field Data</t>
  </si>
  <si>
    <t>DRONNING MAUD LAND; SOUTHWEST INDIAN-OCEAN; RIISER-LARSEN SEA; CRUSTAL STRUCTURE; EAST ANTARCTICA; MOZAMBIQUE RIDGE; CONTINENTAL-MARGIN; FRACTURE-ZONE; SOUTHEASTERN AFRICA; MAGNETIC-ANOMALIES</t>
  </si>
  <si>
    <t>The initial opening of the Africa-Antarctica Corridor, in the heart of Gondwana, is still enigmatic due to missing information on the origin of major crustal features and the exact timing of the onset of the first oceanic crust in the Jurassic. Therefore, in 2014, new ship-borne magnetic data were systematically acquired in the northern Mozambique Basin and across Beira High, which we merged with all accessible magnetic data in the Mozambique Basin. Herein, distinct magnetic lineations are observed, which allow a refined identification of a whole set of Jurassic magnetic spreading anomalies, constraining the timing of the onset of oceanization, beginning at M38n.2n (164.1 Ma). In combination with high-resolution potential field data from the conjugate Antarctic margin, well-expressed fracture zones can be traced throughout the Africa-Antarctica Corridor and allow the precise rotation of Antarctica back to Africa. The initial fit depicts striking continuations of onshore tectonic features across the plate boundaries taking onshore aeromagnetic data of both margins into account. Within a tight Gondwana fit, the Beira High can be restored along the major sinistral Namama-Orvin Shear Zone of the East African-Antarctic Orogen. The Beira High represents a continental block, which was detached from Antarctica, by 157 Ma at the latest. Simultaneously, the Antarctic plate cleared the area of the MCP. However, the crustal nature of the southern MCP remains ambiguous. The Northern Natal Valley and the Mozambique Ridge consist of thick oceanic crust, being emplaced between M26r-M18n (157.1-144 Ma) and M18n-M6n (144-131.7 Ma), respectively. About the half of this crust was won from the Antarctic plate by a series of southwards directed ridge jumps to the northern boundary of the Explora Wedge. A refined kinematic break-up model constrained by the most extensive magnetic dataset is presented describing consistently the initial opening of the Africa-Antarctica Corridor and the Somali Basin.</t>
  </si>
  <si>
    <t>[Mueller, Christian Olaf; Jokat, Wilfried] Alfred Wegener Inst, Helmholtz Ctr Polar &amp; Marine Res, Handelshafen 12, D-27570 Bremerhaven, Germany; [Jokat, Wilfried] Univ Bremen, Dept Geosci, Bibliothekstr 1, D-28359 Bremen, Germany</t>
  </si>
  <si>
    <t>Mueller, CO (corresponding author), Alfred Wegener Inst, Helmholtz Ctr Polar &amp; Marine Res, Handelshafen 12, D-27570 Bremerhaven, Germany.</t>
  </si>
  <si>
    <t>Christian.Olaf.Mueller@awi.de; Wilfried.Jokat@awi.de</t>
  </si>
  <si>
    <t>Mueller, Christian Olaf/0000-0001-6060-6512; Jokat, Wilfried/0000-0002-7793-5854</t>
  </si>
  <si>
    <t>German Federal Ministry of Education and Research (BMBF) [03G0230A]; AWI</t>
  </si>
  <si>
    <t>German Federal Ministry of Education and Research (BMBF)(Federal Ministry of Education &amp; Research (BMBF)); AWI(Helmholtz Association)</t>
  </si>
  <si>
    <t>We thank captain Detlef Korte and his crew of R/V Sonne for their support and assistance during the cruises SO230 and SO231. We acknowledge Ingo Heyde and Bernd Schreckenberger for supporting the gravity and magnetic data acquisition. Furthermore thanks go to Schlumberger Multiclient for providing insights into some regional MCS and magnetic data at the Mozambican margin. Additionally we thank INP for the provision of magnetic data onshore Mozambique. Furthermore thanks go to Graeme Eagles for improving the manuscript in content and grammar. This project is funded through a grant by the German Federal Ministry of Education and Research (BMBF, 03G0230A) and by AWI internal funding.</t>
  </si>
  <si>
    <t>10.1016/j.tecto.2018.11.008</t>
  </si>
  <si>
    <t>WOS:000458713300020</t>
  </si>
  <si>
    <t>Ye, LM; März, C; Polyak, L; Yu, XG; Zhang, WY</t>
  </si>
  <si>
    <t>Ye, Liming; Marz, Christian; Polyak, Leonid; Yu, Xiaoguo; Zhang, Weiyan</t>
  </si>
  <si>
    <t>Dynamics of Manganese and Cerium Enrichments in Arctic Ocean Sediments: A Case Study From the Alpha Ridge</t>
  </si>
  <si>
    <t>Arctic Ocean; reactive metals; sea level; paleoceanography; sedimentary stratigraphy; Quaternary</t>
  </si>
  <si>
    <t>RARE-EARTH-ELEMENTS; SEA-ICE; PORE WATERS; FERROMANGANESE NODULES; CANADA BASIN; CHUKCHI SEA; TRANSPORT; RECORD; GEOCHEMISTRY; CIRCULATION</t>
  </si>
  <si>
    <t>Manganese (Mn) and cerium (Ce) are known as reactive metals sensitive to marine redox conditions, and can therefore serve as useful proxies for paleoceanographic environments. Quaternary sedimentary records in the Arctic Ocean show a consistent cyclicity of Mn enrichments, but Mn sources, transportation and deposition patterns, and relationship to paleoclimatic conditions are not well understood. Sediment core ARC3-B85D from the Alpha Ridge with the estimated stratigraphy covering similar to 350 kyr is used to investigate a coupled distribution of Mn and Ce in Quaternary Arctic Ocean sediments. By analyzing Mn and Ce distribution patterns in the core and surface sediments from the western Arctic Ocean and adjacent shelves, we investigate the conditions and dynamics of concurrent metal enrichments. Stratigraphic Ce and Mn patterns follow inferred glacial-interglacial cycles, with enrichments generally occurring during interglacial-type conditions with high sea levels. However, the relationships involved are not straightforward as highest Mn and Ce enrichments seem to occur closer to the end of interglacial/major interstadial periods, when sea levels were lowering from their highest positions. We conclude that the enrichment patterns are primarily defined by sediment dynamics controlling resuspension and transportation of reactive metals and their deposition in the central Arctic Ocean after diagenetic preconditioning on the shelves. We further infer that major transportation agents are sea-level affected cross-shelf and mid-depth ocean currents rather than sea ice as has been proposed earlier. Comprehending this coupled geochemical and sedimentary system is important for improving the chronostratigraphic framework for Quaternary deposits in the Arctic Ocean.</t>
  </si>
  <si>
    <t>[Ye, Liming; Yu, Xiaoguo; Zhang, Weiyan] State Ocean Adm, Inst Oceanog 2, Key Lab Submarine Geosci, Hangzhou, Zhejiang, Peoples R China; [Ye, Liming; Polyak, Leonid] Ohio State Univ, Byrd Polar &amp; Climate Res Ctr, Columbus, OH 43210 USA; [Marz, Christian] Univ Leeds, Sch Earth &amp; Environm, Leeds, W Yorkshire, England</t>
  </si>
  <si>
    <t>University System of Ohio; Ohio State University; University of Leeds</t>
  </si>
  <si>
    <t>Ye, LM (corresponding author), State Ocean Adm, Inst Oceanog 2, Key Lab Submarine Geosci, Hangzhou, Zhejiang, Peoples R China.;Ye, LM (corresponding author), Ohio State Univ, Byrd Polar &amp; Climate Res Ctr, Columbus, OH 43210 USA.</t>
  </si>
  <si>
    <t>lmye@sio.org.cn</t>
  </si>
  <si>
    <t>Ye, Liming/HJI-4255-2023</t>
  </si>
  <si>
    <t>National Natural Science Foundation of China [41106048]; Chinese Special Project on Arctic Ocean Marine Geology Investigation [CHINARE 2012-2017-03-02]; United States National Science Foundation [PLR-1404370]</t>
  </si>
  <si>
    <t>National Natural Science Foundation of China(National Natural Science Foundation of China (NSFC)); Chinese Special Project on Arctic Ocean Marine Geology Investigation; United States National Science Foundation(National Science Foundation (NSF))</t>
  </si>
  <si>
    <t>This study was funded by the National Natural Science Foundation of China under contract no. 41106048, and was performed as part of the Chinese Special Project on Arctic Ocean Marine Geology Investigation under contract no. CHINARE 2012-2017-03-02 from the Chinese Arctic and Antarctic Administration. LP contribution was supported by the United States National Science Foundation award PLR-1404370.</t>
  </si>
  <si>
    <t>JAN 4</t>
  </si>
  <si>
    <t>10.3389/feart.2018.00236</t>
  </si>
  <si>
    <t>HX2HE</t>
  </si>
  <si>
    <t>WOS:000467212100001</t>
  </si>
  <si>
    <t>May, MM; Rehfeld, K</t>
  </si>
  <si>
    <t>May, Matthias M.; Rehfeld, Kira</t>
  </si>
  <si>
    <t>ESD Ideas: Photoelectrochemical carbon removal as negative emission technology</t>
  </si>
  <si>
    <t>EARTH SYSTEM DYNAMICS</t>
  </si>
  <si>
    <t>The pace of the transition to a low-carbon economy - especially in the fuels sector - is not high enough to achieve the 2 degrees C target limit for global warming by only cutting emissions. Most political roadmaps to tackle global warming implicitly rely on the timely availability of mature negative emission technologies, which actively invest energy to remove CO2 from the atmosphere and store it permanently. The models used as a basis for decarbonization policies typically assume an implementation of such large-scale negative emission technologies starting around the year 2030, ramped up to cause net negative emissions in the second half of the century and balancing earlier CO2 release. On average, a contribution of -10 Gt CO(2 )yr(-1) is expected by 2050 (Anderson and Peters, 2016). A viable approach for negative emissions should (i) rely on a scalable and sustainable source of energy (solar), (ii) result in a safely storable product, (iii) be highly efficient in terms of water and energy use, to reduce the required land area and competition with water and food demands of a growing world population, and (iv) feature large-scale feasibility and affordability.</t>
  </si>
  <si>
    <t>[May, Matthias M.] Univ Cambridge, Dept Chem, Lensfield Rd, Cambridge CB2 1EW, England; [May, Matthias M.] Helmholtz Zentrum Berlin Mat &amp; Energie, Inst Solar Fuels, Hahn Meitner Pl 1, D-14109 Berlin, Germany; [Rehfeld, Kira] British Antarctic Survey, Madingley Rd, Cambridge CB3 0ET, England; [Rehfeld, Kira] Heidelberg Univ, Inst Environm Phys, Neuenheimer Feld 229, D-69120 Heidelberg, Germany</t>
  </si>
  <si>
    <t>University of Cambridge; Helmholtz Association; Helmholtz-Zentrum fuer Materialien und Energie GmbH (HZB); UK Research &amp; Innovation (UKRI); Natural Environment Research Council (NERC); NERC British Antarctic Survey; Ruprecht Karls University Heidelberg</t>
  </si>
  <si>
    <t>May, MM (corresponding author), Univ Cambridge, Dept Chem, Lensfield Rd, Cambridge CB2 1EW, England.;May, MM (corresponding author), Helmholtz Zentrum Berlin Mat &amp; Energie, Inst Solar Fuels, Hahn Meitner Pl 1, D-14109 Berlin, Germany.</t>
  </si>
  <si>
    <t>matthias.may@physik.hu-berlin.de</t>
  </si>
  <si>
    <t>Rehfeld, Kira/O-1781-2019; Rehfeld, Kira/G-9945-2013; May, Matthias/H-8552-2013</t>
  </si>
  <si>
    <t>Rehfeld, Kira/0000-0002-9442-5362; Rehfeld, Kira/0000-0002-9442-5362; May, Matthias/0000-0002-1252-806X</t>
  </si>
  <si>
    <t>German National Academy of Sciences Leopoldina [LPDS 2015-09]; German Research Foundation [RE3994-1/1, RE3994-3/1]; NERC [bas0100034] Funding Source: UKRI</t>
  </si>
  <si>
    <t>German National Academy of Sciences Leopoldina; German Research Foundation(German Research Foundation (DFG)); NERC(UK Research &amp; Innovation (UKRI)Natural Environment Research Council (NERC))</t>
  </si>
  <si>
    <t>We thank the fellowship programme of the German National Academy of Sciences Leopoldina, grant LPDS 2015-09 (Matthias M. May) and the German Research Foundation (code RE3994-1/1 and RE3994-3/1, for Kira Rehfeld) for funding. Gregor Schwerhoff, Carl Poelking, and Klaus Pfeil-sticker are acknowledged for comments on the manuscript. The authors thank the referee Bruce Parkinson for the idea to use oxalate as a sink product.</t>
  </si>
  <si>
    <t>2190-4979</t>
  </si>
  <si>
    <t>2190-4987</t>
  </si>
  <si>
    <t>EARTH SYST DYNAM</t>
  </si>
  <si>
    <t>Earth Syst. Dynam.</t>
  </si>
  <si>
    <t>10.5194/esd-10-1-2019</t>
  </si>
  <si>
    <t>HG6IU</t>
  </si>
  <si>
    <t>WOS:000455085600001</t>
  </si>
  <si>
    <t>Ballard, G; Schmidt, AE; Toniolo, V; Veloz, S; Jongsomjit, D; Arrigo, KR; Ainley, DG</t>
  </si>
  <si>
    <t>Ballard, Grant; Schmidt, Annie E.; Toniolo, Viola; Veloz, Sam; Jongsomjit, Dennis; Arrigo, Kevin R.; Ainley, David G.</t>
  </si>
  <si>
    <t>Fine-scale oceanographic features characterizing successful Adelie penguin foraging in the SW Ross Sea</t>
  </si>
  <si>
    <t>Foraging behavior; Seabird habitat; Prey depletion; Thermocline; Sea ice; Ross Sea; Adelie penguin; Pygoscelis adeliae</t>
  </si>
  <si>
    <t>PHYTOPLANKTON TAXA PHOTOSYNTHESIS; PHAEOCYSTIS-ANTARCTICA; PLEURAGRAMMA-ANTARCTICUM; FRAGILARIOPSIS-CYLINDRUS; REGRESSION TREES; MCMURDO SOUND; FOOD-WEB; OCEAN; ICE; PREY</t>
  </si>
  <si>
    <t>According to central place foraging theory, breeding seabirds should energetically optimize prey acquisition and, therefore, foraging is expected to be located where prey are most available, within limits defined by the energetics of the species. We have shown this previously for Adelie penguins Pygoscelis adeliae, using foraging intensity as a proxy for prey patch quality, but we have yet to assess the habitat characteristics where foraging success is highest. Here, we report an effort using biologging instruments that recorded location and an index of foraging success, allowing us to characterize aspects of more or less successful foraging locations on the basis of sea-surface temperature, chlorophyll concentration, sea ice cover, water column stratification, and bathymetry. We retrieved data from 162 breeding Adelie penguins over 5 austral summers, 2005-2008 and 2012, and used a machine-learning algorithm to model the relationship between the number of undulations (&gt;1 m) penguins made (i.e. our index of foraging success) and oceanographic conditions at the fine scale (5 km). We found that most oceanographic features were not predictive of foraging success, although light availability and thermocline strength as measured at the scale of individual penguin foraging dives were both relatively strong predictors. Contrary to previous results obtained at larger scales, we showed that at the fine scale, sea ice concentration is not an important predictor of foraging success, although the associated effect of sea ice cover, i.e. a stratified water column as indicated by thermocline strength, was important. We also confirmed that penguins traveled farther to achieve the same foraging success later in the season despite consistent oceanographic features, indicating that prey become depleted as the breeding season progresses. Our findings suggest that finer spatial and temporal scale data, including from underwater, are necessary to accurately describe the environmental variables that correlate with penguin foraging success, reinforcing the promise of small, animal-borne sensors for evaluating ecosystem processes.</t>
  </si>
  <si>
    <t>[Ballard, Grant; Schmidt, Annie E.; Toniolo, Viola; Veloz, Sam; Jongsomjit, Dennis] Point Blue Conservat Sci, Petaluma, CA 94954 USA; [Toniolo, Viola; Arrigo, Kevin R.] Stanford Univ, Dept Earth Syst Sci, Stanford, CA 94305 USA; [Ainley, David G.] HT Harvey &amp; Associates, Los Gatos, CA 95305 USA</t>
  </si>
  <si>
    <t>Stanford University</t>
  </si>
  <si>
    <t>Ballard, G (corresponding author), Point Blue Conservat Sci, Petaluma, CA 94954 USA.</t>
  </si>
  <si>
    <t>gballard@pointblue.org</t>
  </si>
  <si>
    <t>Veloz, Samuel/Q-4973-2019</t>
  </si>
  <si>
    <t>Veloz, Samuel/0000-0003-3401-9167; Schmidt, Annie/0000-0001-6144-9950; Arrigo, Kevin/0000-0002-7364-876X</t>
  </si>
  <si>
    <t>NSF [OPP 9526865, 9814882, 0440643, 1543498, OPP 1643618]; School of Earth Sciences, Stanford University; Directorate For Geosciences; Office of Polar Programs (OPP) [9814882] Funding Source: National Science Foundation; Office of Polar Programs (OPP); Directorate For Geosciences [1543498, 0440643] Funding Source: National Science Foundation</t>
  </si>
  <si>
    <t>NSF(National Science Foundation (NSF)); School of Earth Sciences, Stanford University(Stanford University); Directorate For Geosciences; Office of Polar Programs (OPP)(National Science Foundation (NSF)NSF - Directorate for Geosciences (GEO)); Office of Polar Programs (OPP); Directorate For Geosciences(National Science Foundation (NSF)NSF - Directorate for Geosciences (GEO))</t>
  </si>
  <si>
    <t>The work of V.T., G.B., A.E.S., D.J., S.V. and D.G.A. was funded by NSF grants OPP 9526865, 9814882, 0440643 and 1543498, with very proficient logistical support provided by the US Antarctic Program. Handling of penguins was done under permit from the Antarctic Conservation Act, as well as the ethical use committee of San Jose State University. V. T. received additional support from the School of Earth Sciences, Stanford University. The participation of K.R.A. was supported by NSF grant OPP 1643618. For assistance with fieldwork we thank M. Hester, D. Hyrenbach, K. Lindquist, A. Lescroel, V. Marsaudon, V. Patil, and N. Strycker. G. van Dijken and N. Elliott assisted with re mote sensing data processing. We also thank L. Salas for help with R scripts and programming and B. Nickel for helpful feedback regarding the spatial analyses. Our modeling analyses benefited greatly from consultation with T. Hastie. This is Point Blue Conservation Science contribution #2174.</t>
  </si>
  <si>
    <t>JAN 3</t>
  </si>
  <si>
    <t>10.3354/meps12801</t>
  </si>
  <si>
    <t>HI1LK</t>
  </si>
  <si>
    <t>WOS:000456206700018</t>
  </si>
  <si>
    <t>Cecchetto, M; Lombardi, C; Canese, S; Cocito, S; Kuklinski, P; Mazzoli, C; Schiaparelli, S</t>
  </si>
  <si>
    <t>Cecchetto, Matteo; Lombardi, Chiara; Canese, Simonepietro; Cocito, Silvia; Kuklinski, Piotr; Mazzoli, Claudio; Schiaparelli, Stefano</t>
  </si>
  <si>
    <t>The Bryozoa collection of the Italian National Antarctic Museum, with an updated checklist from Terra Nova Bay, Ross Sea</t>
  </si>
  <si>
    <t>Article; Data Paper</t>
  </si>
  <si>
    <t>Antarctica; Bryozoa; checklist; MNA; new records; outreach; Ross Sea; Terra Nova Bay; 3D models</t>
  </si>
  <si>
    <t>This study provides taxonomic and distributional data of bryozoan species from the Ross Sea area, mainly around Terra Nova Bay, based on specimens curated at the Italian National Antarctic Museum (MNA, Section of Genoa). Bryozoan specimens were collected at 75 different sampling stations in the Ross Sea and in the Magellan Strait, in a bathymetric range of 18-711 meters, during 13 expeditions of the Italian National Antarctic Research Program (PNRA) conducted between 1988 and 2014. A total of 282 MNA vouchers corresponding to 311 specimens and 127 morphospecies have been identified and included in the present dataset. 62% of the species were already reported for the Terra Nova Bay area, where most of the Italian samples come from, with a 35% of samples representing new records classified at the specific level, and 3% classified at the genus level. These new additions increase to 124 the total number of species known to occur in Terra Nova Bay. Four 3D-models of Antarctic bryozoans from the Ross Sea are also presented and will be released for research and educational purposes on the Museum website.</t>
  </si>
  <si>
    <t>[Cecchetto, Matteo; Schiaparelli, Stefano] Italian Natl Antarctic Museum MNA, Sect Genoa, Genoa, Italy; [Cecchetto, Matteo; Schiaparelli, Stefano] Univ Genoa, Dept Earth Environm &amp; Life Sci DISTAV, Genoa, Italy; [Lombardi, Chiara; Cocito, Silvia] Marine Environm Res Ctr ENEA, 19032 Pozzuolo Lerici La Spezia, La Spezia, Italy; [Canese, Simonepietro] Italian Inst Environm Protect &amp; Res, ISPRA BIO HBT Dept, Rome, Italy; [Kuklinski, Piotr] Polish Acad Sci, Inst Oceanol, Ul Powstancow Warszawy 55, PL-81712 Sopot, Poland; [Mazzoli, Claudio] Univ Padua, Dept Geosci, Padua, Italy</t>
  </si>
  <si>
    <t>University of Genoa; European Commission Joint Research Centre; EC JRC ISPRA Site; Polish Academy of Sciences; Institute of Oceanology of the Polish Academy of Sciences; University of Padua</t>
  </si>
  <si>
    <t>Schiaparelli, S (corresponding author), Italian Natl Antarctic Museum MNA, Sect Genoa, Genoa, Italy.;Schiaparelli, S (corresponding author), Univ Genoa, Dept Earth Environm &amp; Life Sci DISTAV, Genoa, Italy.</t>
  </si>
  <si>
    <t>Canese, Simonepietro/AAA-5499-2019; Mazzoli, Claudio/H-9651-2015</t>
  </si>
  <si>
    <t>Canese, Simonepietro/0000-0001-6049-4506; Mazzoli, Claudio/0000-0002-0374-8415; Cecchetto, Matteo/0000-0002-4505-4104; Lombardi, Chiara/0000-0002-4165-3660; Kuklinski, Piotr/0000-0002-1507-215X</t>
  </si>
  <si>
    <t>Italian National Antarctic Program (PNRA); Italian national Antarctic Museum (MNA); PNRA project GEOSMART [2013/AZ2.06]; Centre for Polar Studies of the Institute of Oceanology (the Polish Academy of Science Sopot, Poland, IOPAS)</t>
  </si>
  <si>
    <t>Italian National Antarctic Program (PNRA); Italian national Antarctic Museum (MNA); PNRA project GEOSMART; Centre for Polar Studies of the Institute of Oceanology (the Polish Academy of Science Sopot, Poland, IOPAS)</t>
  </si>
  <si>
    <t>We would like to acknowledge the Italian National Antarctic Program (PNRA) for funding and logistic support of the Italian scientific expeditions and the Italian national Antarctic Museum (MNA) for funding. The PNRA project GEOSMART (2013/AZ2.06, PI Paolo Montagna) is acknowledged for the ROV images. C.L. would like to thank the Centre for Polar Studies of the Institute of Oceanology (the Polish Academy of Science Sopot, Poland, IOPAS) for the 'Visiting Professorship' supporting taxonomic studies; Dr Paul D. Taylor, Dr Andrey Ostrovsky, Dr Hans De Blawe, and Peter Batson for their support in taxonomic identification. The authors would also like to thank the reviewer Blanca Figuerola and the subject editor Dennis Gordon for their comments and corrections to the first draft of the manuscript.</t>
  </si>
  <si>
    <t>PENSOFT PUBL</t>
  </si>
  <si>
    <t>10.3897/zookeys.812.26964</t>
  </si>
  <si>
    <t>HG3GH</t>
  </si>
  <si>
    <t>WOS:000454860400001</t>
  </si>
  <si>
    <t>Hwang, DS; Choi, BS; Lee, MC; Han, J; Kim, S; Lee, JS</t>
  </si>
  <si>
    <t>Hwang, Dae-Sik; Choi, Beom-Soon; Lee, Min-Chul; Han, Jeonghoon; Kim, Sanghee; Lee, Jae-Seong</t>
  </si>
  <si>
    <t>Complete mitochondrial genome of the Antarctic copepod Tigriopus kingsejongenesis (Harpacticoida, Harpacticidae)</t>
  </si>
  <si>
    <t>MITOCHONDRIAL DNA PART B-RESOURCES</t>
  </si>
  <si>
    <t>Tigriopus kingsejongensis; Antarctic copepod; rearrangement</t>
  </si>
  <si>
    <t>JAPONICUS</t>
  </si>
  <si>
    <t>The complete mitochondrial genome was sequenced from the Antarctic harpacticoid copepod Tigriopus kingsejongensis. The sequenced genome size was 14,940 bp, possessing different gene order and contents to those of the congeneric species T. japonicus and T. californicus in the genus Tigriopus. The mitochondrial genome of T. kingsejongensis has 13 protein-coding genes (PCGs), 2 rRNAs, and 22 tRNAs. Of the 13 PCGs, CO1, ND3, ATP6, and CO3 genes had incomplete stop codons T-, T-, TA-, and T-, respectively. Furthermore, the stop codons of the remaining 11 PCGs were TAA or TAG, while the start codon of 13 PCGs was ATG (CO1, ND4, Cytb, ND2, ND1, CO2, ND6, ATP6, CO3 genes), ATT (ND5, ATP8 genes), and ATA (ND3, ND4L genes), respectively. The nucleotide of 13 PCGs of T. kingsejongensis mitogenome showed 53.42, 52.17, and 49.10% similarities to the copepods T. japonicus, T. californicus, and Amphiascoides atopus, respectively, while the amino acid similarities were 64.38, 63.86, and 62.40%, respectively.</t>
  </si>
  <si>
    <t>[Hwang, Dae-Sik; Lee, Min-Chul] Res Inst Environm Hlth &amp; Safety, Bucheon, South Korea; [Choi, Beom-Soon] Phyzen Genom Inst, Seongnam, South Korea; [Han, Jeonghoon; Lee, Jae-Seong] Sungkyunkwan Univ, Coll Sci, Dept Biol Sci, Suwon 16419, South Korea; [Kim, Sanghee] Korea Polar Res Inst, Div Life Sci, Incheon, South Korea</t>
  </si>
  <si>
    <t>Sungkyunkwan University (SKKU); Korea Polar Research Institute (KOPRI)</t>
  </si>
  <si>
    <t>Lee, JS (corresponding author), Sungkyunkwan Univ, Coll Sci, Dept Biol Sci, Suwon 16419, South Korea.</t>
  </si>
  <si>
    <t>jslee2@skku.edu</t>
  </si>
  <si>
    <t>Lee, Jae-Seong/H-6013-2015; Han, Jeonghoon/ABI-6920-2020; Choi, Beom-Soon/ABC-5378-2021; Lee, MC/ABI-5926-2020</t>
  </si>
  <si>
    <t>Lee, Jae-Seong/0000-0003-0944-5172;</t>
  </si>
  <si>
    <t>Korea Polar Research Institute [PE19100]</t>
  </si>
  <si>
    <t>This work was supported by a grant from the Korea Polar Research Institute [PE19100] funded to Jae-Seong Lee.</t>
  </si>
  <si>
    <t>2380-2359</t>
  </si>
  <si>
    <t>MITOCHONDRIAL DNA B</t>
  </si>
  <si>
    <t>Mitochondrial DNA Part B-Resour.</t>
  </si>
  <si>
    <t>JAN 2</t>
  </si>
  <si>
    <t>10.1080/23802359.2019.1601042</t>
  </si>
  <si>
    <t>HY8UU</t>
  </si>
  <si>
    <t>WOS:000468416700001</t>
  </si>
  <si>
    <t>Jung, JW; Lee, H; Choi, HG; Kim, JH</t>
  </si>
  <si>
    <t>Jung, Jin-Woo; Lee, Hyoungseok; Choi, Han-Gu; Kim, Jeong-Hoon</t>
  </si>
  <si>
    <t>Complete mitogenome of the Cape petrel Daption capense from Barton Peninsula, King George Island, Antarctica</t>
  </si>
  <si>
    <t>Daption capense; Cape petrel; complete mitogenome</t>
  </si>
  <si>
    <t>PROCELLARIIFORMES</t>
  </si>
  <si>
    <t>The Cape petrel Daption capense, a seabird, is observed throughout the southern hemisphere including the Antarctic region. Herein, we report the complete mitogenome of Cape petrel with the GenBank accession number MH924023 to elucidate the genetic characteristics of this genus. The mitogenome is 17,312bp long and comprises 13 protein-coding genes (PCGs), two rRNA genes, and 22 tRNA genes. The overall base composition of the 13 PCGs is as follows: A (31.1%), C (30.3%), T (25.4%), and G (13.2%), with a GC content of 43.5%. The results provide useful information for further genetic studies in Procellariiformes.</t>
  </si>
  <si>
    <t>[Jung, Jin-Woo; Lee, Hyoungseok; Choi, Han-Gu; Kim, Jeong-Hoon] Korea Polar Res Inst, 26 Songdomirae Ro, Incheon 21990, South Korea</t>
  </si>
  <si>
    <t>Kim, JH (corresponding author), Korea Polar Res Inst, 26 Songdomirae Ro, Incheon 21990, South Korea.</t>
  </si>
  <si>
    <t>jhkim94@kopri.re.kr</t>
  </si>
  <si>
    <t>Lee, Hyoungseok/0000-0002-5831-6345; Kim, Jeong-Hoon/0000-0002-2397-2668</t>
  </si>
  <si>
    <t>Korea Polar Research Institute [PE11030, PE19090]</t>
  </si>
  <si>
    <t>This work was supported by the Modeling Responses of Terrestrial Organisms to Environmental Changes on King George Island under [Grant PE19090] and the Studies on Biodiversity and Changing Ecosystems in King George Islands, Antarctica under [Grant PE11030] funded by the Korea Polar Research Institute.</t>
  </si>
  <si>
    <t>10.1080/23802359.2019.1607585</t>
  </si>
  <si>
    <t>HY3XX</t>
  </si>
  <si>
    <t>WOS:000468062100001</t>
  </si>
  <si>
    <t>Cho, SM; Byun, MY; Lee, H; Park, H; Lee, J</t>
  </si>
  <si>
    <t>Cho, Sung Mi; Byun, Mi Young; Lee, Hyoungseok; Park, Hyun; Lee, Jungeun</t>
  </si>
  <si>
    <t>The complete mitogenome of the Antarctic moss Bartramia patens Brid</t>
  </si>
  <si>
    <t>Antarctic moss; Bartramia patens; mitogenome</t>
  </si>
  <si>
    <t>MITOCHONDRIAL GENOME</t>
  </si>
  <si>
    <t>The complete mitogenome (106,827 bp) of the Antarctic moss Bartramia patens Brid. (Bartramiaceae) was analyzed. It consists of 40 protein-coding genes, 3 ribosomal RNAs, and 24 transfer RNAs. The phylogenetic tree based on the combined amino acids sequences of 32 mitochondrial genes showed B. patens to have a sister relationship with B. pomiformis. The size of the mitochondrial genome of B. patens was 629 bp larger than that of B. pomiformis due to the expansion of the intronic region. This phenomenon is very characteristic and requires more comparative studies with the mitogenomes of other bryophytes.</t>
  </si>
  <si>
    <t>[Cho, Sung Mi; Byun, Mi Young; Lee, Hyoungseok; Park, Hyun; Lee, Jungeun] Korea Polar Res Inst, Unit Polar Genom, Incheon 21990, South Korea; [Lee, Hyoungseok; Park, Hyun; Lee, Jungeun] Korea Univ Sci &amp; Technol, Dept Polar Sci, Incheon, South Korea</t>
  </si>
  <si>
    <t>Lee, J (corresponding author), Korea Polar Res Inst, Unit Polar Genom, Incheon 21990, South Korea.</t>
  </si>
  <si>
    <t>jelee@kopri.re.kr</t>
  </si>
  <si>
    <t>Lee, Hyoungseok/0000-0002-5831-6345; Park, Hyun/0000-0002-8055-2010; Cho, Sung Mi/0000-0001-5414-7727</t>
  </si>
  <si>
    <t>Korea Polar Research Institute [PE19080]</t>
  </si>
  <si>
    <t>This work was supported by Korea Polar Research Institute [PE19080].</t>
  </si>
  <si>
    <t>10.1080/23802359.2019.1610096</t>
  </si>
  <si>
    <t>HX4YS</t>
  </si>
  <si>
    <t>WOS:000467408000001</t>
  </si>
  <si>
    <t>Jagatap, H; Monsanto, DM; van Vuuren, BJ; Parbhu, SP; Dinoi, A; Janion-Scheepers, C; Sekar, S; Teske, PR; Emami-Khoyi, A</t>
  </si>
  <si>
    <t>Jagatap, Harini; Monsanto, Daniela M.; van Vuuren, Bettine Jansen; Parbhu, Shilpa P.; Dinoi, Alessia; Janion-Scheepers, Charlene; Sekar, Sudharshan; Teske, Peter R.; Emami-Khoyi, Arsalan</t>
  </si>
  <si>
    <t>The complete mitogenome of Isotomurus maculatus: a widespread species that is invading the sub-Antarctic region</t>
  </si>
  <si>
    <t>Collembola; springtail; invasive species; mitochondrial genome; Prince Edward Islands</t>
  </si>
  <si>
    <t>COLLEMBOLA; SPRINGTAIL</t>
  </si>
  <si>
    <t>Isotomurus maculatus (Collembola, Isotomidae) is a springtail with a large distribution. This species has been introduced to the sub-Antarctic Prince Edward Islands. In this study, the mitogenome of I. maculatus was reconstructed. The total length of the mitochondrial genome is 15,263 bp and comprises 13 protein-coding genes, 22 tRNAs, and two rRNAs. The nucleotide composition is 34.4% adenine, 29.2% thymine, 15.1% guanine, and 21.3% cytosine. A Bayesian phylogenetic tree indicates that I. maculatus clusters as the sister taxon to the genus Cryptopygus, with high statistical support.</t>
  </si>
  <si>
    <t>[Jagatap, Harini; Monsanto, Daniela M.; van Vuuren, Bettine Jansen; Parbhu, Shilpa P.; Dinoi, Alessia; Sekar, Sudharshan; Teske, Peter R.; Emami-Khoyi, Arsalan] Univ Johannesburg, Dept Zool, Ctr Ecol Genom &amp; Wildlife Conservat, ZA-2006 Auckland Pk, South Africa; [Janion-Scheepers, Charlene] Iziko Museums South Africa, Dept Nat Hist, Cape Town, South Africa; [Janion-Scheepers, Charlene] Univ Free State, Dept Zool &amp; Entomol, Bloemfontein, South Africa</t>
  </si>
  <si>
    <t>University of Johannesburg; University of the Free State</t>
  </si>
  <si>
    <t>van Vuuren, BJ (corresponding author), Univ Johannesburg, Dept Zool, Ctr Ecol Genom &amp; Wildlife Conservat, ZA-2006 Auckland Pk, South Africa.</t>
  </si>
  <si>
    <t>bettinew@uj.ac.za</t>
  </si>
  <si>
    <t>Dinoi, Alessia/AGS-6015-2022; Jansen van Vuuren, Bettine/E-6227-2013; sekar, sudharshan`/H-7552-2018; Teske, Peter/B-1564-2019</t>
  </si>
  <si>
    <t>Dinoi, Alessia/0000-0001-8122-3625; Jansen van Vuuren, Bettine/0000-0002-5334-5358; Monsanto, Daniela/0000-0003-4166-8368; Janion-Scheepers, Charlene/0000-0001-5942-7912; Parbhu, Shilpa/0000-0003-3880-1885; Jagatap, Harini/0000-0002-1838-460X; sekar, sudharshan`/0000-0002-7039-8603; Teske, Peter/0000-0002-2838-7804; Emami-Khoyi, Arsalan/0000-0002-9525-4745</t>
  </si>
  <si>
    <t>National Research Foundation [NRF SANAP grant] [110728]</t>
  </si>
  <si>
    <t>National Research Foundation [NRF SANAP grant]</t>
  </si>
  <si>
    <t>The research was supported by National Research Foundation [NRF SANAP grant to BvV: grant number 110728].</t>
  </si>
  <si>
    <t>10.1080/23802359.2019.1607593</t>
  </si>
  <si>
    <t>HV6QT</t>
  </si>
  <si>
    <t>WOS:000466108600001</t>
  </si>
  <si>
    <t>Byun, MY; Cho, SM; Lee, J; Park, H; Lee, H</t>
  </si>
  <si>
    <t>Byun, Mi Young; Cho, Sung Mi; Lee, Jungeun; Park, Hyun; Lee, Hyoungseok</t>
  </si>
  <si>
    <t>The complete mitochondrial genome of an Antarctic moss Chorisodontium aciphyllum (Hook. f. &amp; Wilson) Broth</t>
  </si>
  <si>
    <t>Antarctic moss; Dicranales; mitochondrial genome; Chorisodontium aciphyllum</t>
  </si>
  <si>
    <t>The cold-adapted species Chorisodontium aciphyllum is widespread in the maritime Antarctic. Here, we sequenced complete mitochondrial genome of C. aciphyllum (GenBank accession number: MK651511), and this is the first report on the mitogenome of the order Dicranales. Its length is 105,766 bp and it contains three ribosomal RNA (rRNA), 24 transfer RNA, and 40 protein-coding genes. The mitochondrial structure and gene order was similar to other bryophytes. Phylogenetic tree based on combined analysis with amino acids sequences of 36 mitochondrial genes in C. aciphyllum, 24 Bryophyta, and three Marchantiophyta showed conserved relationship of the bryophyte in accordance with evolutionary structure.</t>
  </si>
  <si>
    <t>[Byun, Mi Young; Cho, Sung Mi; Lee, Jungeun; Park, Hyun; Lee, Hyoungseok] Korea Polar Res Inst, Unit Polar Genom, Incheon 21990, South Korea; [Lee, Jungeun; Park, Hyun; Lee, Hyoungseok] Univ Sci &amp; Technol, Polar Sci, Incheon, South Korea</t>
  </si>
  <si>
    <t>Lee, H (corresponding author), Korea Polar Res Inst, Unit Polar Genom, Incheon 21990, South Korea.</t>
  </si>
  <si>
    <t>soulaid@kopri.re.kr</t>
  </si>
  <si>
    <t>Korea Polar Research Institute [PE18290]</t>
  </si>
  <si>
    <t>This work was supported by Korea Polar Research Institute [PE18290].</t>
  </si>
  <si>
    <t>10.1080/23802359.2019.1605856</t>
  </si>
  <si>
    <t>HW2KG</t>
  </si>
  <si>
    <t>WOS:000466512200001</t>
  </si>
  <si>
    <t>Cao, P; Song, W; Huang, HL; Li, LZ; Zhang, FY; Jiang, KJ; Chen, XZ; Ma, LB</t>
  </si>
  <si>
    <t>Cao, Ping; Song, Wei; Huang, Hongliang; Li, Lingzhi; Zhang, Fengying; Jiang, Keji; Chen, Xuezhong; Ma, Lingbo</t>
  </si>
  <si>
    <t>The complete mitochondrial genome of Pagetopsis macropterus (Notothenioidei: Channichthyidae) with phylogenetic consideration</t>
  </si>
  <si>
    <t>Pagetopsis macropterus; mitochondrial genome; phylogenetic tree; evolutionary relationships</t>
  </si>
  <si>
    <t>In this study, the complete mitochondrial genome of Pagetopsis macropterus was obtained, which was 17,342 bp including 2 ribosomal RNAs, 13 protein-coding genes, 22 transfer RNAs, and one control region. Of the 37 genes, 28 were encoded on the heavy strand, while 9 were encoded on light strand. The overall nucleotide composition of mitogenome is 27.08% for A, 25.75% for T, 29.78% for C, 17.39% for G, respectively, in accordance with structural characteristics of AT rich. Further, the phylogenetic tree based on complete mtDNA sequences revealed that the P. macropterus was closest to some species of Channichthyidae. This study could provide some valuable information for the studies on evolution for low-temperature adaptability, stock evaluation, and population genetics of P. macropterus.</t>
  </si>
  <si>
    <t>[Cao, Ping; Song, Wei; Huang, Hongliang; Li, Lingzhi; Zhang, Fengying; Jiang, Keji; Chen, Xuezhong; Ma, Lingbo] Chinese Acad Fishery Sci, East China Sea Fisheries Res Inst, Key Lab Ocean &amp; Polar Fisheries, Minist Agr, Shanghai 200090, Peoples R China; [Cao, Ping; Song, Wei] Shanghai Ocean Univ, Coll Fisheries &amp; Life Sci, Shanghai, Peoples R China</t>
  </si>
  <si>
    <t>Ministry of Agriculture &amp; Rural Affairs; Chinese Academy of Fishery Sciences; East China Sea Fisheries Research Institute, CAFS; Shanghai Ocean University</t>
  </si>
  <si>
    <t>Song, W (corresponding author), Chinese Acad Fishery Sci, East China Sea Fisheries Res Inst, Key Lab Ocean &amp; Polar Fisheries, Minist Agr, Shanghai 200090, Peoples R China.</t>
  </si>
  <si>
    <t>songw@ecsf.ac.cn</t>
  </si>
  <si>
    <t>Jiang, keji/F-1519-2010; Li, Lingzhi/K-9055-2016</t>
  </si>
  <si>
    <t>National Key R&amp;D Program of China [2018YFC1406803]; Chinese National Antarctic Research Expedition [CHINARE2014-01-06]</t>
  </si>
  <si>
    <t>National Key R&amp;D Program of China; Chinese National Antarctic Research Expedition</t>
  </si>
  <si>
    <t>This work was supported by the National Key R&amp;D Program of China [No. 2018YFC1406803] and Chinese National Antarctic Research Expedition [No. CHINARE2014-01-06].</t>
  </si>
  <si>
    <t>10.1080/23802359.2019.1606681</t>
  </si>
  <si>
    <t>HV2SN</t>
  </si>
  <si>
    <t>WOS:000465840500001</t>
  </si>
  <si>
    <t>Jagatap, H; Monsanto, DM; van Vuuren, BJ; Janion-Scheepers, C; Sekar, S; Teske, PR; Emami-Khoyi, A</t>
  </si>
  <si>
    <t>Jagatap, Harini; Monsanto, Daniela M.; van Vuuren, Bettine Jansen; Janion-Scheepers, Charlene; Sekar, Sudharshan; Teske, Peter R.; Emami-Khoyi, Arsalan</t>
  </si>
  <si>
    <t>The complete mitogenome of the springtail Tullbergia bisetosa: a subterranean springtail from the sub-Antarctic region</t>
  </si>
  <si>
    <t>Mitogenome; Tullbergia bisetosa; soil ecosystems; Collembola; sub-Antarctic; Prince Edward Islands</t>
  </si>
  <si>
    <t>Tullbergia bisetosa is a springtail (Collembola) native to the sub-Antarctic Prince Edward Islands. Unlike most other springtails, it has acquired a euedaphic (living within the soil) life form. In the present study, the complete mitogenome of T. bisetosa was sequenced. It has a length of 15,204 bp and comprises 13 protein-coding genes, 22 tRNAs, and two rRNAs. The mitogenome has the following base composition: A = 35.5%, T = 32.3%, G = 10.6%, and C = 21.1%. A Bayesian phylogenetic tree shows that T. bisetosa is grouped with springtails that possess similar morphological features and similar life histories. Our results suggest a mitogenomic signal towards morphological traits that conforms to a euedaphic lifestyle.</t>
  </si>
  <si>
    <t>[Jagatap, Harini; Monsanto, Daniela M.; van Vuuren, Bettine Jansen; Sekar, Sudharshan; Teske, Peter R.; Emami-Khoyi, Arsalan] Univ Johannesburg, Ctr Ecol Genom &amp; Wildlife Conservat, Dept Zool, ZA-2006 Auckland Pk, South Africa; [Janion-Scheepers, Charlene] Iziko South African Museum, Cape Town, South Africa; [Janion-Scheepers, Charlene] Univ Free State, Dept Zool &amp; Entomol, Bloemfontein, South Africa</t>
  </si>
  <si>
    <t>van Vuuren, BJ (corresponding author), Univ Johannesburg, Ctr Ecol Genom &amp; Wildlife Conservat, Dept Zool, ZA-2006 Auckland Pk, South Africa.</t>
  </si>
  <si>
    <t>bettinevv@uj.ac.za</t>
  </si>
  <si>
    <t>Jansen van Vuuren, Bettine/E-6227-2013; Teske, Peter/B-1564-2019; sekar, sudharshan`/H-7552-2018</t>
  </si>
  <si>
    <t>Jansen van Vuuren, Bettine/0000-0002-5334-5358; Monsanto, Daniela/0000-0003-4166-8368; Emami-Khoyi, Arsalan/0000-0002-9525-4745; Janion-Scheepers, Charlene/0000-0001-5942-7912; Teske, Peter/0000-0002-2838-7804; sekar, sudharshan`/0000-0002-7039-8603; Jagatap, Harini/0000-0002-1838-460X</t>
  </si>
  <si>
    <t>National Research Foundation (NRF SANAP) [110728]; University of Johannesburg</t>
  </si>
  <si>
    <t>National Research Foundation (NRF SANAP); University of Johannesburg</t>
  </si>
  <si>
    <t>The authors acknowledge the National Research Foundation (NRF SANAP grant to BvV: grant number 110728) and the University of Johannesburg for the Global Excellence and Stature postdoctoral fellowship awarded to A.E.-K.</t>
  </si>
  <si>
    <t>10.1080/23802359.2019.1601514</t>
  </si>
  <si>
    <t>HT6YT</t>
  </si>
  <si>
    <t>WOS:000464711500001</t>
  </si>
  <si>
    <t>Monsanto, DM; van Vuuren, BJ; Jagatap, H; Jooste, CM; Janion-Scheepers, C; Teske, PR; Emami-Khoyi, A</t>
  </si>
  <si>
    <t>Monsanto, Daniela M.; van Vuuren, Bettine Jansen; Jagatap, Harini; Jooste, Candice M.; Janion-Scheepers, Charlene; Teske, Peter R.; Emami-Khoyi, Arsalan</t>
  </si>
  <si>
    <t>The complete mitogenome of the springtail Cryptopygus antarcticus travei provides evidence for speciation in the Sub-Antarctic region</t>
  </si>
  <si>
    <t>Mitogenome; Cryptopygus antarcticus travei; Collembola; Southern Ocean Islands; Prince Edward Islands</t>
  </si>
  <si>
    <t>ISLAND</t>
  </si>
  <si>
    <t>Cryptopygus antarcticus travei (Collembola) is a springtail endemic to the sub-Antarctic Prince Edward Islands. The mitogenome of C. a. travei has a length of 15,743 bp and comprises 13 protein-coding genes, 22 tRNAs, and two rRNAs. The base composition is 36% adenine, 33% thymine, 13% guanine, and 18% cytosine. Phylogenetic analyses confirmed the distinctness of C. a. travei from C. antarcticus, with considerable sequence divergences separating taxa within this group. In light of these results, we suggest that C. a. travei may be a candidate new species and that the current taxonomical status of this species should be re-evaluated.</t>
  </si>
  <si>
    <t>[Monsanto, Daniela M.; van Vuuren, Bettine Jansen; Jagatap, Harini; Jooste, Candice M.; Teske, Peter R.; Emami-Khoyi, Arsalan] Univ Johannesburg, Ctr Ecol Genom &amp; Wildlife Conservat, Dept Zool, Auckland Pk, ZA-2006 Johannesburg, South Africa; [Janion-Scheepers, Charlene] Iziko South African Museum, Cape Town, South Africa; [Janion-Scheepers, Charlene] Univ Free State, Dept Zool &amp; Entomol, Bloemfontein, South Africa</t>
  </si>
  <si>
    <t>van Vuuren, BJ (corresponding author), Univ Johannesburg, Ctr Ecol Genom &amp; Wildlife Conservat, Dept Zool, Auckland Pk, ZA-2006 Johannesburg, South Africa.</t>
  </si>
  <si>
    <t>Jansen van Vuuren, Bettine/E-6227-2013; Teske, Peter/B-1564-2019</t>
  </si>
  <si>
    <t>Jansen van Vuuren, Bettine/0000-0002-5334-5358; Monsanto, Daniela/0000-0003-4166-8368; Teske, Peter/0000-0002-2838-7804; Jagatap, Harini/0000-0002-1838-460X; Janion-Scheepers, Charlene/0000-0001-5942-7912</t>
  </si>
  <si>
    <t>National Research Foundation [NRF SANAP grant] [110728]; University of Johannesburg Global Excellence and Stature postdoctoral fellowship</t>
  </si>
  <si>
    <t>National Research Foundation [NRF SANAP grant]; University of Johannesburg Global Excellence and Stature postdoctoral fellowship</t>
  </si>
  <si>
    <t>Funding was provided by the National Research Foundation [NRF SANAP grant to BvV; grant number 110728] and a University of Johannesburg Global Excellence and Stature postdoctoral fellowship to A.E.-K.</t>
  </si>
  <si>
    <t>10.1080/23802359.2019.1591219</t>
  </si>
  <si>
    <t>HP9IK</t>
  </si>
  <si>
    <t>WOS:000462006200001</t>
  </si>
  <si>
    <t>Ametrano, CG; Knudsen, K; Kocourková, J; Grube, M; Selbmann, L; Muggia, L</t>
  </si>
  <si>
    <t>Ametrano, Claudio G.; Knudsen, Kerry; Kocourkova, Jana; Grube, Martin; Selbmann, Laura; Muggia, Lucia</t>
  </si>
  <si>
    <t>Phylogenetic relationships of rock-inhabiting black fungi belonging to the widespread genera Lichenothelia and Saxomyces</t>
  </si>
  <si>
    <t>MYCOLOGIA</t>
  </si>
  <si>
    <t>Ascomycota; Dothideomycetes; evolution; integrative taxonomy; molecular systematics; morphology; ribosomal DNA; species delimitation; teleomorph; 3 new taxa</t>
  </si>
  <si>
    <t>SPECIES DELIMITATION; LICHEN PHOTOBIONTS; DNA; TAXONOMY; PRIMERS; EVOLUTION; PATHOGENS; GENUS; TAXA; RDNA</t>
  </si>
  <si>
    <t>Rock-inhabiting fungi (RIF) are adapted to thrive in oligotrophic environments and to survive under conditions of abiotic stress. Under these circumstances, they form biocoenoses with other tolerant organisms, such as lichens, or with less specific phototrophic consortia of aerial algae or cyanobacteria. RIF are phylogenetically diverse, and their plastic morphological characters hamper the straightforward species delimitation of many taxa. Here, we present a phylogenetic study of two RIF genera, Lichenothelia and Saxomyces. Representatives of both genera inhabit rather similar niches on rocks, but their phylogenetic relationships are unknown so far. The cosmopolitan genus Lichenothelia is recognized by characters of fertile ascomata and includes species with different life strategies. In contrast, Saxomyces species were described exclusively by mycelial characters found in cultured isolates from rock samples collected at high alpine elevations. Here, we use an extended taxon sampling of Dothideomycetes to study the phylogenetic relationships of both Lichenothelia and Saxomyces. We consider environmental samples, type species, and cultured isolates of both genera and demonstrate their paraphyly, as well as the occurrence of teleomorphs in Saxomyces. We applied three species delimitation methods to improve species recognition based on molecular data. We show the distinctiveness of the two main lineages of Lichenothelia (Lichenotheliales s. str.) and Saxomyces and discuss differences in species delimitation depending on molecular markers or methods. We revise the taxonomy of the two genera and describe three new taxa, Lichenothelia papilliformis, L. muriformis, and Saxomyces americanus, and the teleomorph of S. penninicus.</t>
  </si>
  <si>
    <t>[Ametrano, Claudio G.; Muggia, Lucia] Univ Trieste, Dept Life Sci, Via Giorgieri 10, I-34127 Trieste, Italy; [Knudsen, Kerry; Kocourkova, Jana] Czech Univ Life Sci Prague, Fac Environm Sci, Dept Ecol, Kamycka 129, Prague 16500 6, Czech Republic; [Grube, Martin] Karl Franzens Univ Graz, Inst Plant Sci, Holteigasse 6, A-8010 Graz, Austria; [Selbmann, Laura] Univ Tuscia, Largo Univ, Dept Ecol &amp; Biol Sci, I-01100 Viterbo, Italy; [Selbmann, Laura] Italian Antarctic Natl Museum MNA, Mycol Sect, Genoa, Italy</t>
  </si>
  <si>
    <t>University of Trieste; Czech University of Life Sciences Prague; University of Graz; Tuscia University</t>
  </si>
  <si>
    <t>Muggia, L (corresponding author), Univ Trieste, Dept Life Sci, Via Giorgieri 10, I-34127 Trieste, Italy.</t>
  </si>
  <si>
    <t>lmuggia@units.it</t>
  </si>
  <si>
    <t>Ametrano, Claudio Gennaro/GYA-5308-2022; Kocourková, Jana/E-3596-2018; Selbmann, Laura/L-3056-2013; MUGGIA, LUCIA/F-7401-2016; Knudsen, Kerry/JGM-0041-2023</t>
  </si>
  <si>
    <t>Ametrano, Claudio Gennaro/0000-0002-0967-5050; Kocourková, Jana/0000-0001-5511-9752; Selbmann, Laura/0000-0002-8967-3329; MUGGIA, LUCIA/0000-0003-0390-6169; Knudsen, Kerry/0000-0001-5419-5729</t>
  </si>
  <si>
    <t>Austrian Science Fund (FWF) [P24114-B16]; University of Trieste; grant Environmental aspects of sustainable development of society from Faculty of Environmental Sciences, Czech University of Life Sciences Prague [42900/1312/3166]; Italian National Antarctic Museum 'Felice Ippolito'; Austrian Science Fund (FWF) [P24114] Funding Source: Austrian Science Fund (FWF)</t>
  </si>
  <si>
    <t>Austrian Science Fund (FWF)(Austrian Science Fund (FWF)); University of Trieste; grant Environmental aspects of sustainable development of society from Faculty of Environmental Sciences, Czech University of Life Sciences Prague; Italian National Antarctic Museum 'Felice Ippolito'; Austrian Science Fund (FWF)(Austrian Science Fund (FWF))</t>
  </si>
  <si>
    <t>This work was supported by the Austrian Science Fund (FWF) project P24114-B16 and by the the University of Trieste project FRA-2014 (Finanziamenti di Ateneo per progetti di Ricerca scientifica) assigned to L.M. Jana Kocourkova and Kerry Knudsen were financially supported by the grant Environmental aspects of sustainable development of society (42900/1312/3166) from the Faculty of Environmental Sciences, Czech University of Life Sciences Prague. We thank the Italian National Antarctic Museum 'Felice Ippolito' for funding the Mycological Section (University of Tuscia) and its Culture Collection of Fungi from Extreme Environments (CCFEE).</t>
  </si>
  <si>
    <t>0027-5514</t>
  </si>
  <si>
    <t>1557-2536</t>
  </si>
  <si>
    <t>Mycologia</t>
  </si>
  <si>
    <t>10.1080/00275514.2018.1543510</t>
  </si>
  <si>
    <t>HM6OX</t>
  </si>
  <si>
    <t>WOS:000459598300009</t>
  </si>
  <si>
    <t>Carrivick, JL; Davies, BJ; James, WHM; McMillan, M; Glasser, NF</t>
  </si>
  <si>
    <t>Carrivick, Jonathan L.; Davies, Bethan J.; James, William H. M.; McMillan, Malcolm; Glasser, Neil F.</t>
  </si>
  <si>
    <t>A comparison of modelled ice thickness and volume across the entire Antarctic Peninsula region</t>
  </si>
  <si>
    <t>GEOGRAFISKA ANNALER SERIES A-PHYSICAL GEOGRAPHY</t>
  </si>
  <si>
    <t>Glacier; Antarctica; sea level</t>
  </si>
  <si>
    <t>SEA-LEVEL RISE; RADIO-ECHO SOUNDINGS; JAMES-ROSS-ISLAND; GLACIER VOLUME; MOUNTAIN GLACIERS; RECONCILED ESTIMATE; MASS-BALANCE; SHEET; SURFACE; SHELF</t>
  </si>
  <si>
    <t>Understanding Antarctic Peninsula glacier evolution requires distributed ice thickness and subglacial topography. To date, 80% of the Antarctic Peninsula mainland ice volume has only been determined at low-resolution (1 km post spacing) and the distributed ice thickness of glaciers on surrounding islands has never been quantified. In this study we applied a perfect plasticity model, selected for its simplicity, low data requirements and minimal parameterisation, to estimate glacier thickness, subglacial topography and ice volume for the entire Antarctic Peninsula region. We compared the output of this simple model to that of a more sophisticated but spatially-restricted model and also to the spatially-coarse but more extensive Bedmap2 dataset. The simple model produced mean differences of 1.4 m (std. dev. 243 m) in comparison with the more sophisticated approach for the mountainous parts of the Peninsula. It produced similar volumes for tidewater glaciers but gave unrealistic ice thickness around grounding lines. Ice thickness across low gradient plateau surfaces are mis-represented by a perfect plasticity model and thus for the southern part of the Peninsula only regional ice volume can be approximated by our model. Overall, with consideration of ice situated below sea level, model results suggest that Trinity Peninsula, Graham Land, the part of Palmer Land north of 74 degrees S and all glaciers on islands contain an ice mass of similar to 200 300 Gt, with sea level equivalent of 553 mm (+/- 11.6 mm). Of this total 8% is from glaciers on islands, 70% of which is from Alexander Island.</t>
  </si>
  <si>
    <t>[Carrivick, Jonathan L.; James, William H. M.] Univ Leeds, Sch Geog &amp; Water Leeds, Woodhouse Lane, Leeds LS2 9JT, W Yorkshire, England; [Davies, Bethan J.] Royal Holloway Univ London, Ctr Quaternary Res, Dept Geog, London, England; [McMillan, Malcolm] Univ Leeds, Sch Earth &amp; Environm, Leeds, W Yorkshire, England; [Glasser, Neil F.] Aberystwyth Univ, Dept Geog &amp; Earth Sci, Aberystwyth, Dyfed, Wales</t>
  </si>
  <si>
    <t>University of Leeds; University of London; Royal Holloway University London; University of Leeds; Aberystwyth University</t>
  </si>
  <si>
    <t>Carrivick, JL (corresponding author), Univ Leeds, Sch Geog &amp; Water Leeds, Woodhouse Lane, Leeds LS2 9JT, W Yorkshire, England.</t>
  </si>
  <si>
    <t>j.l.carrivick@leeds.ac.uk</t>
  </si>
  <si>
    <t>Davies, Bethan/KFR-3266-2024; McMillan, Malcolm/HLQ-1163-2023</t>
  </si>
  <si>
    <t>Davies, Bethan/0000-0002-8636-1813; Carrivick, Jonathan/0000-0002-9286-5348; James, William/0000-0002-3273-4688; Glasser, Neil/0000-0002-8245-2670</t>
  </si>
  <si>
    <t>NERC PhD studentship [NE/K500847/1]</t>
  </si>
  <si>
    <t>NERC PhD studentship(UK Research &amp; Innovation (UKRI)Natural Environment Research Council (NERC))</t>
  </si>
  <si>
    <t>Development of the perfect plasticity model was supported by a NERC PhD studentship (NE/K500847/1) to WJ. Alison Cook provided the DEM and the glacier outlines for areas north of 70 degrees S. We thanks the Bedmap2 team for their publically-available data. We thank Matthias Huss and Daniel Farinotti for their data made available via their supplementary information.</t>
  </si>
  <si>
    <t>0435-3676</t>
  </si>
  <si>
    <t>1468-0459</t>
  </si>
  <si>
    <t>GEOGR ANN A</t>
  </si>
  <si>
    <t>Geogr. Ann. Ser. A-Phys. Geogr.</t>
  </si>
  <si>
    <t>10.1080/04353676.2018.1539830</t>
  </si>
  <si>
    <t>Geography, Physical; Geology</t>
  </si>
  <si>
    <t>HJ8AJ</t>
  </si>
  <si>
    <t>WOS:000457418400004</t>
  </si>
  <si>
    <t>Warny, S; Kymes, CM; Askin, R; Krajewski, KP; Tatur, A</t>
  </si>
  <si>
    <t>Warny, Sophie; Kymes, C. Madison; Askin, Rosemary; Krajewski, Krzysztof P.; Tatur, Andrzej</t>
  </si>
  <si>
    <t>Terrestrial and marine floral response to latest Eocene and Oligocene events on the Antarctic Peninsula</t>
  </si>
  <si>
    <t>PALYNOLOGY</t>
  </si>
  <si>
    <t>Antarctica; Seymour Island; King George Island; palynology; Eocene; Oligocene</t>
  </si>
  <si>
    <t>KING-GEORGE-ISLAND; SOUTH SHETLAND ISLANDS; LA MESETA FORMATION; SEYMOUR-ISLAND; STABLE-ISOTOPE; CLIMATE; SEA; STRATIGRAPHY; FACIES; VEGETATION</t>
  </si>
  <si>
    <t>Palynological results from opposite sides of the northernmost Antarctic Peninsula provide insight on terrestrial vegetation and sea-surface conditions immediately before the Eocene-Oligocene transition (EOT), through Early Oligocene glacial conditions and the subsequent Late Oligocene interglacial interval. A latest Eocene sample set from the uppermost La Meseta Formation on Seymour Island, James Ross (back-arc) Basin, records a low-diversity Nothofagus (southern beech)-dominated vegetation with some podocarp conifers similar to Valdivian-type forest found today in Chile and Argentina. Marine organic-walled phytoplankton include leiospheres and Eocene dinoflagellate cysts such as Vozzhennikovia rotunda, V. apertura, Senegalinium asymmetricum and Spinidinium macmurdoense. Immediately before the EOT near the top of the section the decrease in terrestrial palynomorphs, increase in reworked specimens, disappearance of key dinocysts, and overwhelming numbers of sea-ice-indicative leiospheres plus the small dinoflagellate cyst Impletosphaeridium signal the onset of glacial conditions in a subpolar climate. Early to Late Oligocene samples from the Polonez Cove and Boy Point formations on King George Island, South Shetland Islands (magmatic arc), yielded an extremely depauperate terrestrial flora, likely resulting in part from poor vegetation cover during the Polonez Glaciation but also because of destruction of vegetation due to continued regional volcanism. The prevalence of sea-ice-indicative leiospheres in the marine palynomorph component is consistent with polar to subpolar conditions during and following the Polonez Glaciation.</t>
  </si>
  <si>
    <t>[Warny, Sophie; Kymes, C. Madison] LSU Dept Geol &amp; Geophys, E-235 Howe Russell, Baton Rouge, LA 70803 USA; [Warny, Sophie] LSU Museum Nat Sci, 109 Foster Hall, Baton Rouge, LA 70803 USA; [Krajewski, Krzysztof P.] Polish Acad Sci, Inst Geol Sci, Twarda 51-55, PL-00818 Warsaw, Poland; [Tatur, Andrzej] Univ Warsaw, Fac Geol, Zwirki &amp; Wigury 93, PL-02089 Warsaw, Poland</t>
  </si>
  <si>
    <t>Louisiana State University System; Louisiana State University; Polish Academy of Sciences; Institute of Geological Sciences of the Polish Academy of Sciences; University of Warsaw</t>
  </si>
  <si>
    <t>Warny, S (corresponding author), LSU Dept Geol &amp; Geophys, E-235 Howe Russell, Baton Rouge, LA 70803 USA.;Warny, S (corresponding author), LSU Museum Nat Sci, 109 Foster Hall, Baton Rouge, LA 70803 USA.</t>
  </si>
  <si>
    <t>swarny@lsu.edu</t>
  </si>
  <si>
    <t>Warny, Sophie A/A-8226-2013</t>
  </si>
  <si>
    <t>Warny, Sophie/0000-0002-3451-040X</t>
  </si>
  <si>
    <t>Polish Ministry of Science and Higher Education [DWM/N8IPY/2008]; US National Science Foundation [ANT-1048343]; Directorate For Geosciences; Office of Polar Programs (OPP) [1048343] Funding Source: National Science Foundation</t>
  </si>
  <si>
    <t>Polish Ministry of Science and Higher Education(Ministry of Science and Higher Education, Poland); US National Science Foundation(National Science Foundation (NSF)); Directorate For Geosciences; Office of Polar Programs (OPP)(National Science Foundation (NSF)NSF - Directorate for Geosciences (GEO))</t>
  </si>
  <si>
    <t>This work was supported by the Polish Ministry of Science and Higher Education (to KPK and AT) [grant number DWM/N8IPY/2008]; and the US National Science Foundation (to SW) [grant number ANT-1048343].</t>
  </si>
  <si>
    <t>0191-6122</t>
  </si>
  <si>
    <t>1558-9188</t>
  </si>
  <si>
    <t>Palynology</t>
  </si>
  <si>
    <t>10.1080/01916122.2017.1418444</t>
  </si>
  <si>
    <t>HJ9BW</t>
  </si>
  <si>
    <t>WOS:000457494800004</t>
  </si>
  <si>
    <t>Hartman, JD; Sangiorgi, F; Bijl, PK; Versteegh, GJM</t>
  </si>
  <si>
    <t>Hartman, Julian D.; Sangiorgi, Francesca; Bijl, Peter K.; Versteegh, Gerard J. M.</t>
  </si>
  <si>
    <t>Nucicla umbiliphora gen. et sp. nov.: a Quaternary peridinioid dinoflagellate cyst from the Antarctic margin</t>
  </si>
  <si>
    <t>protoperidinioid; dinoflagellate cyst; East Antarctica; Antarctic shelf; Quaternary</t>
  </si>
  <si>
    <t>PRIMARY PRODUCTIVITY; SURFACE SEDIMENTS; SEASONAL CYCLE; WILKES LAND; ROSS SEA; PHYTOPLANKTON; COMMUNITY; NUTRIENTS; PACIFIC; SECTOR</t>
  </si>
  <si>
    <t>In the southern high latitudes, dinoflagellate cysts are an important microfossil group for both biostratigraphic and palaeoenvironmental interpretations purposes. In light of this, the peridinioid dinoflagellate cyst Nucicla umbiliphora gen. et sp. nov. from the Antarctic margin is formally described. Nucicla is dorsoventrally compressed, has a rounded pentagonal outline in dorso-ventral view, an epicyst that is only half as high as the hypocyst, an unusual archaeopyle formed by the loss of the three anterior intercalary plates, and a posterior sulcal plate that is positioned at the antapex. The species N. umbiliphora is characterised by a scabrate cyst wall and possesses undulated and/or crenulated folds/ridges. It has been so far exclusively found in Quaternary sediments obtained from the East Antarctic continental shelf and the Ross Sea. Although the dinoflagellate producing this cyst is as yet unknown, its brown color and the lack of autofluorescence suggest that the motile cell is likely a heterotrophic Protoperidinium species. As such, N. umbiliphora might benefit from the phytoplankton blooms occurring close to the Antarctic margin after seasonal sea-ice retreat.</t>
  </si>
  <si>
    <t>[Hartman, Julian D.; Sangiorgi, Francesca; Bijl, Peter K.] Univ Utrecht, Marine Palynol &amp; Paleoceanog, Dept Earth Sci, Princetonlaan 6a, NL-3584 CB Utrecht, Netherlands; [Versteegh, Gerard J. M.] Helmholtz Zentrum Polar &amp; Meeresforsch, Alfred Wegener Inst, Handelshafen 12, D-27570 Bremerhaven, Germany</t>
  </si>
  <si>
    <t>Utrecht University; Helmholtz Association; Alfred Wegener Institute, Helmholtz Centre for Polar &amp; Marine Research</t>
  </si>
  <si>
    <t>Hartman, JD (corresponding author), Univ Utrecht, Marine Palynol &amp; Paleoceanog, Dept Earth Sci, Princetonlaan 6a, NL-3584 CB Utrecht, Netherlands.</t>
  </si>
  <si>
    <t>juulhartman@gmail.com</t>
  </si>
  <si>
    <t>; Versteegh, Gerard J.M./H-2119-2011</t>
  </si>
  <si>
    <t>Sangiorgi, Francesca/0000-0003-4233-6154; Versteegh, Gerard J.M./0000-0002-9320-3776; Bijl, Peter/0000-0002-1710-4012; Hartman, Julian/0000-0001-6256-9989</t>
  </si>
  <si>
    <t>Nederlandse Organisatie voor Wetenschappelijk Onderzoek [866.10.110]</t>
  </si>
  <si>
    <t>Nederlandse Organisatie voor Wetenschappelijk Onderzoek(Netherlands Organization for Scientific Research (NWO))</t>
  </si>
  <si>
    <t>This work was supported by the Nederlandse Organisatie voor Wetenschappelijk Onderzoek [grant number 866.10.110].</t>
  </si>
  <si>
    <t>10.1080/01916122.2018.1430070</t>
  </si>
  <si>
    <t>WOS:000457494800010</t>
  </si>
  <si>
    <t>Alam, MJ; Kim, JH; Andriyono, S; Lee, JH; Lee, SR; Park, H; Kim, HW</t>
  </si>
  <si>
    <t>Alam, Md Jobaidul; Kim, Jeong-Hoon; Andriyono, Sapto; Lee, Ji-Hyun; Lee, Soo Rin; Park, Hyun; Kim, Hyun-Woo</t>
  </si>
  <si>
    <t>Characterization of complete mitochondrial genome and gene organization of sharp-spined notothenia, Trematomus pennellii (Perciformes: Nototheniidae)</t>
  </si>
  <si>
    <t>Next generation sequencing; Trematomus pennellii; mitochondrial genome; Antarctica; Notothenioidei</t>
  </si>
  <si>
    <t>The complete mitochondrial genome of Trematomus pennellii was determined by MiSeq platform. The mitogenome of T. pennellii was 15,976 bp in length and encoded 37 genes (13 proteins, 22 tRNAs, 2 ribosomal RNAs) and a non-coding control region (D-Loop). Overall A + T contents (54.10%) in the mitogenome was higher than G + C contents (45.90%). Twenty-nine genes were located on H strand, whereas eight genes were identified on L strand. Among 13 protein-coding genes, unusual start codons were identified in COX1 (GTG), ND6 (ATT), COX2 (ATC), and ATP6 (ATC). The incomplete stop codon (T-) was identified in six genes including COXII, COXIII, NAD2, NAD3, NAD4, and Cytb. The phylogenetic tree of complete genome indicated that Trematomus pennellii was most closely related to Trematomus bernacchii with 91.65% DNA sequence identity.</t>
  </si>
  <si>
    <t>[Alam, Md Jobaidul; Andriyono, Sapto; Lee, Ji-Hyun; Lee, Soo Rin; Kim, Hyun-Woo] Pukyong Natl Univ, Interdisciplinary Program Biomed Mech &amp; Elect Eng, Busan, South Korea; [Kim, Jeong-Hoon; Park, Hyun] Korea Polar Res Inst, Korea Ocean Res &amp; Dev Inst, Incheon, South Korea; [Andriyono, Sapto] Univ Airlangga, Fisheries &amp; Marine Fac, Surabaya, East Java, Indonesia; [Kim, Hyun-Woo] Pukyong Natl Univ, Dept Marine Biol, Busan 48513, South Korea</t>
  </si>
  <si>
    <t>Pukyong National University; Korea Polar Research Institute (KOPRI); Korea Institute of Ocean Science &amp; Technology (KIOST); Airlangga University; Pukyong National University</t>
  </si>
  <si>
    <t>Kim, HW (corresponding author), Pukyong Natl Univ, Dept Marine Biol, Busan 48513, South Korea.</t>
  </si>
  <si>
    <t>kimhw@pknu.ac.kr</t>
  </si>
  <si>
    <t>Andriyono, Sapto/AAB-7229-2021; Lee, Soo Rin/D-8790-2019; Kim, Hyun-Woo/AFN-9184-2022</t>
  </si>
  <si>
    <t>Andriyono, Sapto/0000-0002-2566-1636; Kim, Hyun-Woo/0000-0003-1357-5893; Alam, Md. Jobaidul/0000-0002-3594-8147; Park, Hyun/0000-0002-8055-2010</t>
  </si>
  <si>
    <t>Ecosystem Structure and Function of Marine Protected Area (MPA) in Antarctic project - Ministry of Oceans and Fisheries, Korea [PM1818060, 20170336]</t>
  </si>
  <si>
    <t>Ecosystem Structure and Function of Marine Protected Area (MPA) in Antarctic project - Ministry of Oceans and Fisheries, Korea</t>
  </si>
  <si>
    <t>This research was supported by the 'Ecosystem Structure and Function of Marine Protected Area (MPA) in Antarctic project [PM1818060]', funded by the Ministry of Oceans and Fisheries [20170336], Korea.</t>
  </si>
  <si>
    <t>10.1080/23802359.2018.1553518</t>
  </si>
  <si>
    <t>HJ3OT</t>
  </si>
  <si>
    <t>WOS:000457082500001</t>
  </si>
  <si>
    <t>Wang, GM; Hendon, HH; Arblaster, JM; Lim, EP; Abhik, S; van Rensch, P</t>
  </si>
  <si>
    <t>Wang, Guomin; Hendon, Harry H.; Arblaster, Julie M.; Lim, Eun-Pa; Abhik, S.; van Rensch, Peter</t>
  </si>
  <si>
    <t>Compounding tropical and stratospheric forcing of the record low Antarctic sea-ice in 2016</t>
  </si>
  <si>
    <t>SOUTHERN ANNULAR MODE; STEADY LINEAR-RESPONSE; SEASONAL PREDICTION; GREENHOUSE-GAS; OZONE HOLE; OCEAN; CLIMATE; TRENDS; VARIABILITY; OSCILLATION</t>
  </si>
  <si>
    <t>After exhibiting an upward trend since 1979, Antarctic sea ice extent (SIE) declined dramatically during austral spring 2016, reaching a record low by December 2016. Here we show that a combination of atmospheric and oceanic phenomena played primary roles for this decline. The anomalous atmospheric circulation was initially driven by record strength tropical convection over the Indian and western Pacific Oceans, which resulted in a wave-3 circulation pattern around Antarctica that acted to reduce SIE in the Indian Ocean, Ross and Bellingshausen Sea sectors. Subsequently, the polar stratospheric vortex weakened significantly, resulting in record weakening of the circumpolar surface westerlies that acted to decrease SIE in the Indian Ocean and Pacific Ocean sectors. These processes appear to reflect unusual internal atmosphere-ocean variability. However, the warming trend of the tropical Indian Ocean, which may partly stem from anthropogenic forcing, may have contributed to the severity of the 2016 SIE decline.</t>
  </si>
  <si>
    <t>[Wang, Guomin; Hendon, Harry H.; Lim, Eun-Pa] Bur Meteorol, Docklands, Vic 3008, Australia; [Hendon, Harry H.; Arblaster, Julie M.] Monash Univ, ARC Ctr Excellence Climate Extremes, Clayton, Vic 3800, Australia; [Arblaster, Julie M.; Abhik, S.; van Rensch, Peter] Monash Univ, Sch Earth Atmosphere &amp; Environm, Clayton, Vic 3800, Australia; [Arblaster, Julie M.] Natl Ctr Atmospher Res, Boulder, CO 80301 USA</t>
  </si>
  <si>
    <t>Bureau of Meteorology - Australia; Monash University; Monash University; National Center Atmospheric Research (NCAR) - USA</t>
  </si>
  <si>
    <t>Wang, GM (corresponding author), Bur Meteorol, Docklands, Vic 3008, Australia.</t>
  </si>
  <si>
    <t>g.wang@bom.gov.au</t>
  </si>
  <si>
    <t>Santra, Abhik/JXY-0136-2024; van Rensch, Peter/D-6122-2012; Arblaster, Julie/C-1342-2010</t>
  </si>
  <si>
    <t>Santra, Abhik/0000-0002-6533-367X; Hendon, Harry H./0000-0002-4378-2263; van Rensch, Peter/0000-0002-1377-1694; Arblaster, Julie/0000-0002-4287-2363; Lim, Eun-Pa/0000-0001-8273-5358; Wang, Guomin/0000-0002-1158-2427</t>
  </si>
  <si>
    <t>Australian Government's National Environmental Science Program Earth Systems and Climate Change Hub; Regional and Global Model Analysis (RGMA) component of the Earth and Environmental System Modeling Program of the U.S. Department of Energy's Office of Biological &amp; Environmental Research (BER) [DE-FC02-97ER62402]; National Science Foundation; ARC Centre of Excellence for Climate Extremes [CE170100023]; Australian Government</t>
  </si>
  <si>
    <t>Australian Government's National Environmental Science Program Earth Systems and Climate Change Hub(Australian Government); Regional and Global Model Analysis (RGMA) component of the Earth and Environmental System Modeling Program of the U.S. Department of Energy's Office of Biological &amp; Environmental Research (BER); National Science Foundation(National Science Foundation (NSF)); ARC Centre of Excellence for Climate Extremes; Australian Government(Australian Government)</t>
  </si>
  <si>
    <t>We acknowledge M. Wheeler, P. Reid, A. Marshall (BoM), G. Meehl (NCAR) and three anonymous reviewers for their comments and suggestions that improved the manuscript. This work is partly supported through funding from the Australian Government's National Environmental Science Program Earth Systems and Climate Change Hub. Portions of this study were supported by the Regional and Global Model Analysis (RGMA) component of the Earth and Environmental System Modeling Program of the U.S. Department of Energy's Office of Biological &amp; Environmental Research (BER) Cooperative Agreement #DE-FC02-97ER62402, and the National Science Foundation as well as the ARC Centre of Excellence for Climate Extremes (grant CE170100023). This work was undertaken with the assistance of resources from the National Computational Infrastructure (NCI), which is supported by the Australian Government.</t>
  </si>
  <si>
    <t>10.1038/s41467-018-07689-7</t>
  </si>
  <si>
    <t>HG1AA</t>
  </si>
  <si>
    <t>WOS:000454679900013</t>
  </si>
  <si>
    <t>Gherardi-Fuentes, C; Pütz, K; Anguita, C; Simeone, A</t>
  </si>
  <si>
    <t>Gherardi-Fuentes, Camila; Puetz, Klemens; Anguita, Cristobal; Simeone, Alejandro</t>
  </si>
  <si>
    <t>Comparative foraging and diving behaviour of coexisting breeding and non-breeding King Penguins (Aptenodytes patagonicus) in Tierra del Fuego, Chile</t>
  </si>
  <si>
    <t>EMU-AUSTRAL ORNITHOLOGY</t>
  </si>
  <si>
    <t>Comparative behaviour; diving behaviour; foraging ecology; King Penguin; seabird foraging</t>
  </si>
  <si>
    <t>REPRODUCTION; STRATEGIES; ENERGETICS; SELECTION; LOCATION; HABITAT; SUMMER; PREY</t>
  </si>
  <si>
    <t>Breeding status directly affects the at-sea behaviour of seabirds, resulting in marked differences between breeding and non-breeding birds. In this study, we report for the first time the foraging and diving behaviour of coexisting incubating, courting and non-breeding King Penguins (Aptenodytes patagonicus) at a recently established colony in Tierra del Fuego, Chile, to determine differences in (1) the number and duration of the foraging trips, (2) time spent at sea and on land, and (3) diving performance and foraging success. We obtained data from four incubating, five courting and three non-breeding penguins equipped with time-depth recorders during November and December 2014. Incubating birds performed a single but long trip (8.1 +/- 1.9 days), while courting birds performed one or two trips of intermediate duration (2.3 +/- 0.8 days) and non-breeders made multiple short trips (0.6 +/- 0.1 days). Courting birds spent a significantly greater proportion of their time on land than the other birds. Incubating birds performed the deepest and longest dives and had the highest diving efficiency, while non-breeders performed the shallowest and shortest dives and exhibited low diving efficiencies, suggesting that birds are utilising different foraging areas. These results indicate that incubating, courting and non-breeding King Penguins, although coexisting temporally at the same colony, differentially adjust their foraging and diving behaviour, most likely to accomplish their specific social and energetic demands.</t>
  </si>
  <si>
    <t>[Gherardi-Fuentes, Camila; Anguita, Cristobal; Simeone, Alejandro] Univ Andres Bello, Fac Ciencias Vida, Dept Ecol &amp; Biodiversidad, Santiago, Chile; [Puetz, Klemens] Antarctic Res Trust, Bremervorde Spreckens, Germany</t>
  </si>
  <si>
    <t>Universidad Andres Bello</t>
  </si>
  <si>
    <t>Simeone, A (corresponding author), Univ Andres Bello, Fac Ciencias Vida, Dept Ecol &amp; Biodiversidad, Santiago, Chile.</t>
  </si>
  <si>
    <t>asimeone@unab.cl</t>
  </si>
  <si>
    <t>Cristobal, Anguita/0000-0001-6914-2742; Gherardi-Fuentes, Camila/0000-0001-7723-8111; Puetz, Klemens/0000-0003-1375-2669</t>
  </si>
  <si>
    <t>Zoo-Verein Wuppertal; Royal Zoological Society of Antwerp; Bank Vontobel; Guido; Hans Ulrich Schneebeli; Ruedi Bless Background Tours; Zoo Zurich; Rita Heule</t>
  </si>
  <si>
    <t>We are very grateful to the owners of the Parque Pinguino Rey, Cecilia Duran and Alejandro Fernandez for their kindness, hospitality and help along the way, and to Claudia Godoy, scientific coordinator at Parque Pinguino Rey, for facilitating the fieldwork and arranging research permits through Resolucion Exenta No. 3199 from the Chilean Undersecretary for Fisheries. Luis, Nadia, Maite and Julieta helped at various stages of the fieldwork. We appreciate the work from anonymous reviewers in improving several versions of this manuscript (except for one who never responded and considerably delayed the review process). Financial support was provided by generous donations to the Antarctic Research Trust from Zoo Zurich, Zoo-Verein Wuppertal, the Royal Zoological Society of Antwerp, Bank Vontobel, Ruedi Bless Background Tours, Guido and Rita Heule and Hans Ulrich Schneebeli. Further financial support was provided by Liselotte and Bruno Baltensberger, Thomas Bazzigher, Erika Bodmer, Doris Brennwald, Thomas Bucheli, Peter and Carmen Einstein, Rudi Glockshuber, Beatrix and Walter Grimm, Dorothea and Heinz Huber, Elisabeth Lubke, Hugo and Katharina Mathys-Bruhin, Margrit and Herbert Ochsenbein, Rudolf Pauli, Urs Romer, Rose Marie and Hans Joachim Salamin Fulde, Verena and Erwin Sarbach, Katharina Schmidt, Annemarie and Rudolf Schriber, Inge and Albert Sicker, Samuel and Dora Spreng, Jurg and Ingrid Spross, Albert Stahli, Gisela and Rudolf Straub, the Sturm family, Raik Szelenko and Janine Wetter. A.S. dedicates this paper in loving memory of Camilo.</t>
  </si>
  <si>
    <t>TAYLOR &amp; FRANCIS AUSTRALIA</t>
  </si>
  <si>
    <t>MELBOURNE</t>
  </si>
  <si>
    <t>LEVEL 2, 11 QUEENS RD, MELBOURNE, VIC 3004, AUSTRALIA</t>
  </si>
  <si>
    <t>0158-4197</t>
  </si>
  <si>
    <t>1448-5540</t>
  </si>
  <si>
    <t>EMU</t>
  </si>
  <si>
    <t>Emu</t>
  </si>
  <si>
    <t>10.1080/01584197.2018.1530061</t>
  </si>
  <si>
    <t>HE8IP</t>
  </si>
  <si>
    <t>WOS:000453690200008</t>
  </si>
  <si>
    <t>Meehl, GA; Arblaster, JM; Chung, CTY; Holland, MM; DuVivier, A; Thompson, L; Yang, DX; Bitz, CM</t>
  </si>
  <si>
    <t>Meehl, Gerald A.; Arblaster, Julie M.; Chung, Christine T. Y.; Holland, Marika M.; DuVivier, Alice; Thompson, LuAnne; Yang, Dongxia; Bitz, Cecilia M.</t>
  </si>
  <si>
    <t>Sustained ocean changes contributed to sudden Antarctic sea ice retreat in late 2016</t>
  </si>
  <si>
    <t>SURFACE-TEMPERATURE; SOUTHERN-OCEAN; OSCILLATION; PREDICTION; IMPACTS; TRENDS; HIATUS</t>
  </si>
  <si>
    <t>After nearly three decades of observed increasing trends of Antarctic sea ice extent, in September-October-November 2016, there was a dramatic decrease. Here we document factors that contributed to that decrease. An atmosphere-only model with a specified positive convective heating anomaly in the eastern Indian/western Pacific Ocean, representing the record positive precipitation anomalies there in September-October-November 2016, produces an anomalous atmospheric Rossby wave response with mid- and high latitude surface wind anomalies that contribute to the decrease of Antarctic sea ice extent. The sustained decreases of Antarctic sea ice extent after late 2016 are associated with a warmer upper Southern Ocean. This is the culmination of a negative decadal trend of wind stress curl with positive Southern Annular Mode and negative Interdecadal Pacific Oscillation, Ekman suction that results in warmer water being moved upward in the column closer to the surface, a transition to positive Interdecadal Pacific Oscillation around 2014-2016, and negative Southern Annular Mode in late 2016.</t>
  </si>
  <si>
    <t>[Meehl, Gerald A.; Arblaster, Julie M.; Holland, Marika M.; DuVivier, Alice] Natl Ctr Atmospher Res, POB 3000, Boulder, CO 80307 USA; [Arblaster, Julie M.; Yang, Dongxia] Monash Univ, ARC Ctr Excellence Climate Extremes, Melbourne, Vic, Australia; [Chung, Christine T. Y.] Bur Meteorol, Melbourne, Vic, Australia; [Thompson, LuAnne; Bitz, Cecilia M.] Univ Washington, Seattle, WA 98195 USA</t>
  </si>
  <si>
    <t>National Center Atmospheric Research (NCAR) - USA; Monash University; Melbourne Genomics Health Alliance; Bureau of Meteorology - Australia; University of Washington; University of Washington Seattle</t>
  </si>
  <si>
    <t>Meehl, GA (corresponding author), Natl Ctr Atmospher Res, POB 3000, Boulder, CO 80307 USA.</t>
  </si>
  <si>
    <t>meehl@ucar.edu</t>
  </si>
  <si>
    <t>Thompson, LuAnne/AAA-1000-2020; Bitz, Cecilia M/S-8423-2016; DuVivier, Alice K./JJC-1516-2023; Arblaster, Julie/C-1342-2010</t>
  </si>
  <si>
    <t>Thompson, LuAnne/0000-0001-8295-0533; DuVivier, Alice K./0000-0001-6920-5926; Arblaster, Julie/0000-0002-4287-2363; Holland, Marika/0000-0001-5621-8939; Bitz, Cecilia/0000-0002-9477-7499</t>
  </si>
  <si>
    <t>Regional and Global Model Analysis (RGMA) component of the Earth and Environmental System Modeling Program of the U.S. Department of Energy's Office of Biological &amp; Environmental Research (BER) [DE-FC02-97ER62402]; National Science Foundation; Australian Research Council Centre of Excellence for Climate Extremes [CE170100023]; Australian Government; Climate Simulation Laboratory at NCAR's Computational and Information Systems Laboratory - National Science Foundation</t>
  </si>
  <si>
    <t>Regional and Global Model Analysis (RGMA) component of the Earth and Environmental System Modeling Program of the U.S. Department of Energy's Office of Biological &amp; Environmental Research (BER); National Science Foundation(National Science Foundation (NSF)); Australian Research Council Centre of Excellence for Climate Extremes(Australian Research Council); Australian Government(Australian Government); Climate Simulation Laboratory at NCAR's Computational and Information Systems Laboratory - National Science Foundation</t>
  </si>
  <si>
    <t>The authors acknowledge Peter Gent, Harry Hendon, and Guomin Wang for their constructive and helpful comments. Portions of this study were supported by the Regional and Global Model Analysis (RGMA) component of the Earth and Environmental System Modeling Program of the U.S. Department of Energy's Office of Biological &amp; Environmental Research (BER) Cooperative Agreement #DE-FC02-97ER62402, and the National Science Foundation. The National Center for Atmospheric Research is sponsored by the National Science Foundation. This work also was supported by the Australian Research Council Centre of Excellence for Climate Extremes (grant CE170100023). Most figures were created using NCAR Command Language (NCL) version 6.5.0. This research was undertaken with the assistance of resources and services from the National Computational Infrastructure (NCI), which is supported by the Australian Government, as well as the Climate Simulation Laboratory (https://doi.org/10.5065/D6RX99HX) at NCAR's Computational and Information Systems Laboratory, sponsored by the National Science Foundation and other agencies.</t>
  </si>
  <si>
    <t>10.1038/s41467-018-07865-9</t>
  </si>
  <si>
    <t>WOS:000454679900014</t>
  </si>
  <si>
    <t>Rivaro, P; Ardini, F; Grotti, M; Aulicino, G; Cotroneo, Y; Fusco, G; Mangoni, O; Bolinesi, F; Saggiomo, M; Celussi, M</t>
  </si>
  <si>
    <t>Rivaro, Paola; Ardini, Francisco; Grotti, Marco; Aulicino, Giuseppe; Cotroneo, Yuri; Fusco, Giannetta; Mangoni, Olga; Bolinesi, Francesco; Saggiomo, Maria; Celussi, Mauro</t>
  </si>
  <si>
    <t>Mesoscale variability related to iron speciation in a coastal Ross Sea area (Antarctica) during summer 2014</t>
  </si>
  <si>
    <t>CHEMISTRY AND ECOLOGY</t>
  </si>
  <si>
    <t>Ross Sea; mesoscale; dissolved iron; iron speciation; biological activity; Antarctica</t>
  </si>
  <si>
    <t>PLASMA-MASS SPECTROMETRY; NATURAL ORGANIC-LIGANDS; SOUTHERN-OCEAN; CIRCUMPOLAR CURRENT; DISSOLVED IRON; PHYTOPLANKTON GROWTH; QUANTUM YIELD; TRACE-METALS; IN-SITU; COMPLEXATION</t>
  </si>
  <si>
    <t>Dissolved iron (Fe) distribution and speciation was determined in water samples (0-200 m) collected in a coastal area near Terra Nova Bay during the austral summer of 2014. Nutrients, dissolved oxygen, chlorophyll-a, phytoplankton composition and prokaryotic biomass distribution were investigated in combination with measurements of the physical properties of the water columns and its dynamics. The dFe value was above the limiting growth concentration, ranging from 0.52 to 4.51 nM, and it showed a spatial variability with a horizontal length scale of about 10 km, according to the variability of the water column physical properties and to iron sources. The organic ligands (L) maintained the concentrations of dFe at levels much higher than the inorganic solubility of Fe, keeping it available for phytoplankton and the log K'(FeL) values found (from 22.1 to 23.6) highlighted the presence of complexes of differing stabilities.</t>
  </si>
  <si>
    <t>[Rivaro, Paola; Ardini, Francisco; Grotti, Marco] Univ Genoa, Dept Chem &amp; Ind Chem, Via Dodecaneso 31, I-16146 Genoa, Italy; [Aulicino, Giuseppe; Cotroneo, Yuri; Fusco, Giannetta] Parthenope Univ Naples, Dept Sci &amp; Technol, Naples, Italy; [Mangoni, Olga; Bolinesi, Francesco] Univ Napoli Federico II, Dept Biol, Naples, Italy; [Saggiomo, Maria] Stn Zool Anton Dohrn, Naples, Italy; [Celussi, Mauro] OGS Ist Nazl Oceanog &amp; Geofis Sperimentale, Oceanog Div, Trieste, Italy; [Aulicino, Giuseppe] Marche Polytech Univ, Dept Life &amp; Environm Sci, Ancona, Italy</t>
  </si>
  <si>
    <t>University of Genoa; Parthenope University Naples; University of Naples Federico II; Stazione Zoologica Anton Dohrn di Napoli; Istituto Nazionale di Oceanografia e di Geofisica Sperimentale; Marche Polytechnic University</t>
  </si>
  <si>
    <t>Rivaro, P (corresponding author), Univ Genoa, Dept Chem &amp; Ind Chem, Via Dodecaneso 31, I-16146 Genoa, Italy.</t>
  </si>
  <si>
    <t>rivaro@chimica.unige.it</t>
  </si>
  <si>
    <t>Fusco, Giannetta/J-5118-2019; Grotti, Marco/HGU-3949-2022; Cotroneo, Yuri/M-4010-2019; Aulicino, Giuseppe/I-8981-2019; Ardini, Francisco/Q-1965-2017</t>
  </si>
  <si>
    <t>Fusco, Giannetta/0000-0003-1769-2456; Grotti, Marco/0000-0001-6956-5761; Cotroneo, Yuri/0000-0002-0099-0142; Aulicino, Giuseppe/0000-0001-6406-8715; Ardini, Francisco/0000-0003-0094-9227; Celussi, Mauro/0000-0002-5660-6832; MANGONI, Olga/0000-0001-7789-0820; Saggiomo, Maria/0000-0001-5794-0050</t>
  </si>
  <si>
    <t>Italian National Program for Antarctic Research [PNRA] [2013/AN2.04]</t>
  </si>
  <si>
    <t>Italian National Program for Antarctic Research [PNRA]</t>
  </si>
  <si>
    <t>This study was conducted in the framework of the project 'Ross Sea Mesoscale Experiment (RoME)' funded by the Italian National Program for Antarctic Research [PNRA, 2013/AN2.04].</t>
  </si>
  <si>
    <t>0275-7540</t>
  </si>
  <si>
    <t>1029-0370</t>
  </si>
  <si>
    <t>CHEM ECOL</t>
  </si>
  <si>
    <t>Chem. Ecol.</t>
  </si>
  <si>
    <t>10.1080/02757540.2018.1531987</t>
  </si>
  <si>
    <t>Biochemistry &amp; Molecular Biology; Ecology; Environmental Sciences</t>
  </si>
  <si>
    <t>Biochemistry &amp; Molecular Biology; Environmental Sciences &amp; Ecology</t>
  </si>
  <si>
    <t>HC1JX</t>
  </si>
  <si>
    <t>WOS:000451558100001</t>
  </si>
  <si>
    <t>B</t>
  </si>
  <si>
    <t>Gardiner, J</t>
  </si>
  <si>
    <t>BENEATH THE SHADOW LEGACY AND LONGING IN THE ANTARCTIC PROLOGUE</t>
  </si>
  <si>
    <t>BENEATH THE SHADOW: LEGACY AND LONGING IN THE ANTARCTIC</t>
  </si>
  <si>
    <t>Crux-The Georgia Series in Literary Nonfiction</t>
  </si>
  <si>
    <t>Editorial Material; Book Chapter</t>
  </si>
  <si>
    <t>UNIV GEORGIA PRESS</t>
  </si>
  <si>
    <t>ATHENS</t>
  </si>
  <si>
    <t>ATHENS, GA 30602 USA</t>
  </si>
  <si>
    <t>978-0-82-035495-8; 978-0-82-035496-5</t>
  </si>
  <si>
    <t>CRUX GEORGIA SER LIT</t>
  </si>
  <si>
    <t>Literature</t>
  </si>
  <si>
    <t>Book Citation Index – Social Sciences &amp; Humanities (BKCI-SSH)</t>
  </si>
  <si>
    <t>BO5GU</t>
  </si>
  <si>
    <t>WOS:000517520900001</t>
  </si>
  <si>
    <t>S</t>
  </si>
  <si>
    <t>Castro-Sowinski, S</t>
  </si>
  <si>
    <t>CastroSowinski, S</t>
  </si>
  <si>
    <t>Castro-Sowinski, Susana</t>
  </si>
  <si>
    <t>The Ecological Role of Micro-organisms in the Antarctic Environment Preface</t>
  </si>
  <si>
    <t>ECOLOGICAL ROLE OF MICRO-ORGANISMS IN THE ANTARCTIC ENVIRONMENT</t>
  </si>
  <si>
    <t>Springer Polar Sciences</t>
  </si>
  <si>
    <t>[Castro-Sowinski, Susana] Univ Republica, Biochem &amp; Mol Biol, Fac Sci, Montevideo, Uruguay</t>
  </si>
  <si>
    <t>Universidad de la Republica, Uruguay</t>
  </si>
  <si>
    <t>Castro-Sowinski, S (corresponding author), Univ Republica, Biochem &amp; Mol Biol, Fac Sci, Montevideo, Uruguay.</t>
  </si>
  <si>
    <t>2510-0475</t>
  </si>
  <si>
    <t>2510-0483</t>
  </si>
  <si>
    <t>978-3-030-02786-5; 978-3-030-02785-8</t>
  </si>
  <si>
    <t>SPR POLAR SCI</t>
  </si>
  <si>
    <t>V</t>
  </si>
  <si>
    <t>VI</t>
  </si>
  <si>
    <t>10.1007/978-3-030-02786-5</t>
  </si>
  <si>
    <t>Book Citation Index – Science (BKCI-S)</t>
  </si>
  <si>
    <t>BM8BP</t>
  </si>
  <si>
    <t>WOS:000468822300001</t>
  </si>
  <si>
    <t>Le Heron, DP; Hogan, KA; Phillips, ER; Huuse, M; Busfield, ME; Graham, AGC</t>
  </si>
  <si>
    <t>LeHeron, DP; Hogan, KA; Phillips, ER; Huuse, M; Busfield, ME; Graham, AGC</t>
  </si>
  <si>
    <t>Le Heron, D. P.; Hogan, K. A.; Phillips, E. R.; Huuse, M.; Busfield, M. E.; Graham, A. G. C.</t>
  </si>
  <si>
    <t>An introduction to glaciated margins: the sedimentary and geophysical archive</t>
  </si>
  <si>
    <t>GLACIATED MARGINS: THE SEDIMENTARY AND GEOPHYSICAL ARCHIVE</t>
  </si>
  <si>
    <t>Geological Society Special Publication</t>
  </si>
  <si>
    <t>BURIED TUNNEL VALLEYS; NORTH FLINDERS BASIN; ICE-SHEET; NEOPROTEROZOIC GLACIATIONS; SEA; ARCHITECTURE; ENVIRONMENTS; RESERVOIRS; EXAMPLES; DELIVERY</t>
  </si>
  <si>
    <t>Aglaciated margin is a continental margin that has been occupied by a large ice mass, such that glacial processes and slope processes conspire to produce a thick sedimentary record. Ice masses take an active role in sculpting, redistributing and reorganizing the sediment that they erode on the continental shelf, and act as a supply route to large fan systems ( e.g. trough mouth fans, submarine fans) on the continental slope and continental rise. To many researchers, the term 'glaciated margin' is synonymous with modern day areas fringing Antarctica and the Arctic shelf systems, yet the geological record contains ancient examples ranging in age from Precambrian to Cenozoic. In the pre-Pleistocene record, there is a tendency for the configuration of the tectonic plates to become increasingly obscure with age. For instance, in the Neoproterozoic record, not everyone agrees on the location of rift margins and some fundamental continental boundaries remain unclear. Given these issues, this introductory paper has two simple aims: ( 1) to provide a brief commentary of relevant Geological Society publications on glaciated margins, with the landmark papers highlighted and ( 2) to explain the contents of this volume.</t>
  </si>
  <si>
    <t>[Le Heron, D. P.] Univ Vienna, Dept Geodynam &amp; Sedimentol, Althanstr 14, A-1090 Vienna, Austria; [Hogan, K. A.] British Antarctic Survey, Madingley Rd, Cambridge CB3 0ET, England; [Phillips, E. R.] Lyell Ctr, Res Ave South, Edinburgh EH14 4AP, Midlothian, Scotland; [Huuse, M.] Univ Manchester, Sch Earth &amp; Environm Sci, Oxford Rd, Manchester M13 9PL, Lancs, England; [Busfield, M. E.] Aberystwyth Univ, Dept Geog &amp; Earth Sci, Penglais Campus, Aberystwyth SY23 3DB, Dyfed, Wales; [Graham, A. G. C.] Univ Exeter, Geog Dept, Amory Bldg,Rennes Dr, Exeter EX4 4RJ, Devon, England</t>
  </si>
  <si>
    <t>University of Vienna; UK Research &amp; Innovation (UKRI); Natural Environment Research Council (NERC); NERC British Antarctic Survey; University of Manchester; Aberystwyth University; University of Exeter</t>
  </si>
  <si>
    <t>Le Heron, DP (corresponding author), Univ Vienna, Dept Geodynam &amp; Sedimentol, Althanstr 14, A-1090 Vienna, Austria.</t>
  </si>
  <si>
    <t>daniel.le-heron@univie.ac.at</t>
  </si>
  <si>
    <t>Huuse, Mads/O-9960-2014; Le Heron, Daniel/AAK-7639-2020</t>
  </si>
  <si>
    <t>Huuse, Mads/0000-0002-1766-4343; Busfield, Marie/0000-0002-5630-0809; Le Heron, Daniel/0000-0002-7213-5874</t>
  </si>
  <si>
    <t>NERC [bas0100030, bgs05019] Funding Source: UKRI</t>
  </si>
  <si>
    <t>GEOLOGICAL SOC PUBLISHING HOUSE</t>
  </si>
  <si>
    <t>BATH</t>
  </si>
  <si>
    <t>UNIT 7, BRASSMILL ENTERPRISE CTR, BRASSMILL LANE, BATH BA1 3JN, AVON, ENGLAND</t>
  </si>
  <si>
    <t>0305-8719</t>
  </si>
  <si>
    <t>978-1-78620-397-7</t>
  </si>
  <si>
    <t>GEOL SOC SPEC PUBL</t>
  </si>
  <si>
    <t>Geol. Soc. Spec. Publ.</t>
  </si>
  <si>
    <t>10.1144/SP475.12</t>
  </si>
  <si>
    <t>BN0MM</t>
  </si>
  <si>
    <t>WOS:000473224700001</t>
  </si>
  <si>
    <t>Vargo, LJ; Galewsky, J; Rupper, S; Ward, DJ</t>
  </si>
  <si>
    <t>Vargo, L. J.; Galewsky, J.; Rupper, S.; Ward, D. J.</t>
  </si>
  <si>
    <t>Reply to Comment on Sensitivity of glaciation in the arid subtropical Andes to changes in temperature, precipitation, and solar radiation by Vargo et al. (2018) by Martini and Astini (2018)</t>
  </si>
  <si>
    <t>BOLIVIA</t>
  </si>
  <si>
    <t>[Vargo, L. J.] Victoria Univ Wellington, Antarctic Res Ctr, POB 600, Wellington 6140, New Zealand; [Galewsky, J.] Univ New Mexico, Dept Earth &amp; Planetary Sci, Albuquerque, NM 87131 USA; [Rupper, S.] Univ Utah, Dept Geog, Salt Lake City, UT USA; [Ward, D. J.] Univ Cincinnati, Dept Geol, Cincinnati, OH USA</t>
  </si>
  <si>
    <t>Victoria University Wellington; University of New Mexico; Utah System of Higher Education; University of Utah; University System of Ohio; University of Cincinnati</t>
  </si>
  <si>
    <t>Vargo, LJ (corresponding author), Victoria Univ Wellington, Antarctic Res Ctr, POB 600, Wellington 6140, New Zealand.</t>
  </si>
  <si>
    <t>lauren.vargo@vuw.ac.nz</t>
  </si>
  <si>
    <t>Rupper, Summer/KHD-4492-2024; Ward, Dylan/HME-2007-2023</t>
  </si>
  <si>
    <t>Ward, Dylan/0000-0002-5741-7830; Vargo, Lauren/0000-0001-7037-0451; Galewsky, Joseph/0000-0001-8236-6839</t>
  </si>
  <si>
    <t>Victoria University of Wellington Doctoral Scholarship</t>
  </si>
  <si>
    <t>This work was supported by the Victoria University of Wellington Doctoral Scholarship. We thank James Renwick for help with eigen-vector analysis, as well as an anonymous reviewer and editor Alan Haywood for their constructive comments.</t>
  </si>
  <si>
    <t>JAN</t>
  </si>
  <si>
    <t>10.1016/j.gloplacha.2018.10.003</t>
  </si>
  <si>
    <t>HI1RN</t>
  </si>
  <si>
    <t>WOS:000456222800037</t>
  </si>
  <si>
    <t>Liu, NY; Brooks, CM; Qin, TB</t>
  </si>
  <si>
    <t>Liu, N; Brooks, CM; Qin, T</t>
  </si>
  <si>
    <t>Liu, Nengye; Brooks, Cassandra M.; Qin, Tianbao</t>
  </si>
  <si>
    <t>Governing Marine Living Resources in the Polar Regions Introduction</t>
  </si>
  <si>
    <t>GOVERNING MARINE LIVING RESOURCES IN THE POLAR REGIONS</t>
  </si>
  <si>
    <t>New Horizons in Environmental and Energy Law</t>
  </si>
  <si>
    <t>MANAGEMENT</t>
  </si>
  <si>
    <t>[Liu, Nengye] Univ Adelaide, Adelaide Law Sch, Chinese Law &amp; Law Sea, Adelaide, SA, Australia; [Liu, Nengye] Australian Res Council, Discovery Grant Geopolit Changes &amp; Antarctic Trea, Adelaide, SA, Australia; [Brooks, Cassandra M.] Univ Colorado Boulder, Environm Studies, Boulder, CO USA; [Brooks, Cassandra M.] Moss Landing Marine Labs, Pob 450, Moss Landing, CA 95039 USA; [Brooks, Cassandra M.] Univ Calif Santa Cruz, Santa Cruz, CA 95064 USA; [Qin, Tianbao] Wuhan Univ, Law, Wuhan, Peoples R China; [Qin, Tianbao] Wuhan Univ, Res Inst Environm Law RIEL, Wuhan, Peoples R China; [Qin, Tianbao] Wuhan Univ, Sch Law, Res, Wuhan, Peoples R China</t>
  </si>
  <si>
    <t>University of Adelaide; University of Colorado System; University of Colorado Boulder; Moss Landing Marine Laboratories; University of California System; University of California Santa Cruz; Wuhan University; Wuhan University; Wuhan University</t>
  </si>
  <si>
    <t>Liu, NY (corresponding author), Univ Adelaide, Adelaide Law Sch, Chinese Law &amp; Law Sea, Adelaide, SA, Australia.;Liu, NY (corresponding author), Australian Res Council, Discovery Grant Geopolit Changes &amp; Antarctic Trea, Adelaide, SA, Australia.</t>
  </si>
  <si>
    <t>EDWARD ELGAR PUBLISHING LTD</t>
  </si>
  <si>
    <t>CHELTENHAM</t>
  </si>
  <si>
    <t>THE LYPIATTS, 15 LANSDOWN RD, CHELTENHAM GL50 2JA, GLOS, ENGLAND</t>
  </si>
  <si>
    <t>978-1-78897-743-2; 978-1-78897-742-5</t>
  </si>
  <si>
    <t>NEW HOR ENV ENERG</t>
  </si>
  <si>
    <t>10.4337/9781788977432</t>
  </si>
  <si>
    <t>Biodiversity Conservation; Ecology; Environmental Studies; Law</t>
  </si>
  <si>
    <t>Biodiversity &amp; Conservation; Environmental Sciences &amp; Ecology; Government &amp; Law</t>
  </si>
  <si>
    <t>BP8ON</t>
  </si>
  <si>
    <t>WOS:000566265600003</t>
  </si>
  <si>
    <t>Wüest, A; Pasche, N; Ibelings, BW; Sharma, S; Filatov, N</t>
  </si>
  <si>
    <t>Wuest, Alfred; Pasche, Natacha; Ibelings, Bastiaan W.; Sharma, Sapna; Filatov, Nikolay</t>
  </si>
  <si>
    <t>Life under ice in Lake Onego (Russia) - an interdisciplinary winter limnology study</t>
  </si>
  <si>
    <t>INLAND WATERS</t>
  </si>
  <si>
    <t>CONVECTION</t>
  </si>
  <si>
    <t>[Wuest, Alfred; Pasche, Natacha] Ecole Polytech Fed Lausanne, ENAC, Margaretha Kamprad Chair, Phys Aquat Syst Lab, Lausanne, Switzerland; [Wuest, Alfred; Pasche, Natacha] Ecole Polytech Fed Lausanne, Limnol Ctr, Lausanne, Switzerland; [Wuest, Alfred] Eawag, Swiss Fed Inst Aquat Sci &amp; Technol, Surface Waters Res &amp; Management, CH-6047 Kastanienbaum, Switzerland; [Ibelings, Bastiaan W.] Univ Geneva, Dept Forel Environm &amp; Aquat Sci FA, 66 Blvd Carl Vogt, CH-1211 Geneva, Switzerland; [Ibelings, Bastiaan W.] Univ Geneva, Inst Environm Sci, 66 Blvd Carl Vogt, CH-1211 Geneva, Switzerland; [Sharma, Sapna] York Univ, Dept Biol, 4700 Keele St, N York, ON M3J 1P3, Canada; [Filatov, Nikolay] Russian Acad Sci, Karelian Res Ctr, Northern Water Problems Inst, Aleksander Nevsky St 50, Petrozavodsk 185030, Russia</t>
  </si>
  <si>
    <t>Swiss Federal Institutes of Technology Domain; Ecole Polytechnique Federale de Lausanne; Swiss Federal Institutes of Technology Domain; Ecole Polytechnique Federale de Lausanne; Swiss Federal Institutes of Technology Domain; Swiss Federal Institute of Aquatic Science &amp; Technology (EAWAG); University of Geneva; University of Geneva; York University - Canada; Russian Academy of Sciences; Karelian Research Centre of the Russian Academy of Sciences; Northern Water Problems Institute, Karelian Scientific Center, RAS</t>
  </si>
  <si>
    <t>Pasche, N (corresponding author), Ecole Polytech Fed Lausanne, ENAC, Margaretha Kamprad Chair, Phys Aquat Syst Lab, Lausanne, Switzerland.;Pasche, N (corresponding author), Ecole Polytech Fed Lausanne, Limnol Ctr, Lausanne, Switzerland.</t>
  </si>
  <si>
    <t>natacha.tofield-pasche@epfl.ch</t>
  </si>
  <si>
    <t>Tofield Pasche, Natacha/0000-0002-9578-9301; Filatov, Nikolai/0000-0002-3280-4375; Sharma, Sapna/0000-0003-4571-2768</t>
  </si>
  <si>
    <t>EPFL; Eawag; University of Geneva; University of Constance; University of Uppsala; INRA-Thonon-les-Bains; University of Savoie; CNRS; NWPI-KRC-RAS; Nansen International Environmental and Remote Sensing Center; Arctic and Antarctic Research Institute; Limnological Institute in St. Petersburg; Swiss nonprofit FEEL</t>
  </si>
  <si>
    <t>EPFL; Eawag; University of Geneva; University of Constance; University of Uppsala; INRA-Thonon-les-Bains; University of Savoie; CNRS(Centre National de la Recherche Scientifique (CNRS)); NWPI-KRC-RAS; Nansen International Environmental and Remote Sensing Center; Arctic and Antarctic Research Institute; Limnological Institute in St. Petersburg; Swiss nonprofit FEEL</t>
  </si>
  <si>
    <t>The 7 publications in this Special Issue of Inland Waters entitled Life under ice in Lake Onego (Russia) - an interdisciplinary winter limnology study resulted from the international, interdisciplinary research project Life Under Ice (https://www.epfl.ch/research/domains/limnc/projects/onego/), which had the objective to investigate the processes during and after the ice-covered periods from 2015 to 2017. Funding for this study was mainly provided by the Swiss nonprofit FEEL, whose president, Prof Patrick Aebischer, and vice-president, Dr. Frederik Paulsen, provided generous support for this project to the NWPI-KRC-RAS and to the LIMNC-EPFL. Some of the work described in those papers received additional funding and staff contribution from EPFL, Eawag, University of Geneva, University of Constance, University of Uppsala, INRA-Thonon-les-Bains, University of Savoie, CNRS, NWPI-KRC-RAS, Nansen International Environmental and Remote Sensing Center, Arctic and Antarctic Research Institute, and the Limnological Institute in St. Petersburg. We are grateful for the various financial support we received.</t>
  </si>
  <si>
    <t>2044-2041</t>
  </si>
  <si>
    <t>2044-205X</t>
  </si>
  <si>
    <t>Inland Waters</t>
  </si>
  <si>
    <t>10.1080/20442041.2019.1634450</t>
  </si>
  <si>
    <t>Limnology; Marine &amp; Freshwater Biology</t>
  </si>
  <si>
    <t>IS7GG</t>
  </si>
  <si>
    <t>WOS:000482317700001</t>
  </si>
  <si>
    <t>Extreme Rain and the Huge Cavity in the Antarctic Glacier</t>
  </si>
  <si>
    <t>KEMIJA U INDUSTRIJI-JOURNAL OF CHEMISTS AND CHEMICAL ENGINEERS</t>
  </si>
  <si>
    <t>Croatian</t>
  </si>
  <si>
    <t>HRVATSKO DRUSTVO KEMJIJSKIH INZENJERA I TEHNOLOGA</t>
  </si>
  <si>
    <t>ZAGREB</t>
  </si>
  <si>
    <t>BERISLAVICEVA 6-1 P O BOX 123, 41001 ZAGREB, CROATIA</t>
  </si>
  <si>
    <t>0022-9830</t>
  </si>
  <si>
    <t>1334-9090</t>
  </si>
  <si>
    <t>KEM IND</t>
  </si>
  <si>
    <t>Kem. Ind.</t>
  </si>
  <si>
    <t>HY8GK</t>
  </si>
  <si>
    <t>WOS:000468375200010</t>
  </si>
  <si>
    <t>An enormous cavity on the Antarctic glacier signals rapid degeneration</t>
  </si>
  <si>
    <t>WOS:000468375200011</t>
  </si>
  <si>
    <t>Truswell, E</t>
  </si>
  <si>
    <t>Truswell, Elizabeth</t>
  </si>
  <si>
    <t>A MEMORY OF ICE THE ANTARCTIC VOYAGE OF THE GLOMAR CHALLENGER Preface</t>
  </si>
  <si>
    <t>MEMORY OF ICE: THE ANTARCTIC VOYAGE OF THE GLOMAR CHALLENGER</t>
  </si>
  <si>
    <t>GLACIATION; FORESTS</t>
  </si>
  <si>
    <t>AUSTRALIAN NATL UNIV</t>
  </si>
  <si>
    <t>CANBERRA ACT</t>
  </si>
  <si>
    <t>P O BOX 4, 2600 CANBERRA ACT, AUSTRALIA</t>
  </si>
  <si>
    <t>978-1-76-046295-6; 978-1-76-046294-9</t>
  </si>
  <si>
    <t>XI</t>
  </si>
  <si>
    <t>10.1007/978-981-13-6386-3</t>
  </si>
  <si>
    <t>Engineering, Ocean; Geosciences, Multidisciplinary; History &amp; Philosophy Of Science</t>
  </si>
  <si>
    <t>Book Citation Index – Social Sciences &amp; Humanities (BKCI-SSH); Book Citation Index – Science (BKCI-S)</t>
  </si>
  <si>
    <t>Engineering; Geology; History &amp; Philosophy of Science</t>
  </si>
  <si>
    <t>BO2IR</t>
  </si>
  <si>
    <t>WOS:000505954100001</t>
  </si>
  <si>
    <t>A MEMORY OF ICE THE ANTARCTIC VOYAGE OF THE GLOMAR CHALLENGER Prologue</t>
  </si>
  <si>
    <t>XXI</t>
  </si>
  <si>
    <t>XXVI</t>
  </si>
  <si>
    <t>WOS:000505954100002</t>
  </si>
  <si>
    <t>Polishchuk, LV; Blanchard, JL</t>
  </si>
  <si>
    <t>Polishchuk, Leonard V.; Blanchard, Julia L.</t>
  </si>
  <si>
    <t>Uniting Discoveries of Abundance-Size Distributions from Soils and Seas</t>
  </si>
  <si>
    <t>SPECTRA</t>
  </si>
  <si>
    <t>Science is a search for patterns but there are few cross-habitat patterns in ecology. We propose key questions following the findings of consistent scaling of abundance versus body mass from bacteria to earthworms and whales, based on an almost forgotten study of soils and a well-known one from the open ocean.</t>
  </si>
  <si>
    <t>[Polishchuk, Leonard V.] Moscow MV Lomonosov State Univ, Fac Biol, Dept Gen Ecol, Moscow 119991, Russia; [Blanchard, Julia L.] Univ Tasmania, Inst Marine &amp; Antarctic Studies, 20 Castray Esplanade, Hobart, Tas 7001, Australia; [Blanchard, Julia L.] Univ Tasmania, Ctr Marine Socioecol, 20 Castray Esplanade, Hobart, Tas 7001, Australia</t>
  </si>
  <si>
    <t>Lomonosov Moscow State University; University of Tasmania; University of Tasmania</t>
  </si>
  <si>
    <t>Polishchuk, LV (corresponding author), Moscow MV Lomonosov State Univ, Fac Biol, Dept Gen Ecol, Moscow 119991, Russia.;Blanchard, JL (corresponding author), Univ Tasmania, Inst Marine &amp; Antarctic Studies, 20 Castray Esplanade, Hobart, Tas 7001, Australia.;Blanchard, JL (corresponding author), Univ Tasmania, Ctr Marine Socioecol, 20 Castray Esplanade, Hobart, Tas 7001, Australia.</t>
  </si>
  <si>
    <t>leonard_polishchuk@hotmail.com; julia.blanchard@utas.edu.au</t>
  </si>
  <si>
    <t>Blanchard, Julia L/E-4919-2010; Polishchuk, Leonard/I-9342-2012</t>
  </si>
  <si>
    <t>Blanchard, Julia/0000-0003-0532-4824; Polishchuk, Leonard/0000-0002-4546-1674</t>
  </si>
  <si>
    <t>Russian Foundation for Basic Research [18-04-01143]; Australian Research Council [DP170104240]</t>
  </si>
  <si>
    <t>Russian Foundation for Basic Research(Russian Foundation for Basic Research (RFBR)Spanish Government); Australian Research Council(Australian Research Council)</t>
  </si>
  <si>
    <t>L.V.P. was supported by the Russian Foundation for Basic Research (grant 18-04-01143). J.L.B. acknowledges Australian Research Council (Discovery Grant DP170104240 'Rewiring Marine Food Webs'). Both authors thank Iliya Kopnin for digitizing M.S. Ghilarov's original figure and Kira Askaroff for illustrations.</t>
  </si>
  <si>
    <t>10.1016/j.tree.2018.10.007</t>
  </si>
  <si>
    <t>HG3JM</t>
  </si>
  <si>
    <t>WOS:000454871000008</t>
  </si>
  <si>
    <t>Jones, D; Shuckburgh, E; Hawkins, E</t>
  </si>
  <si>
    <t>Jones, Dan; Shuckburgh, Emily; Hawkins, Ed</t>
  </si>
  <si>
    <t>How is sea ice in the Arctic and Antarctic changing?</t>
  </si>
  <si>
    <t>WEATHER</t>
  </si>
  <si>
    <t>[Jones, Dan; Shuckburgh, Emily; Hawkins, Ed] Royal Meteorol Soc, Climate Sci Commun Grp, Reading, Berks, England</t>
  </si>
  <si>
    <t>Jones, D (corresponding author), Royal Meteorol Soc, Climate Sci Commun Grp, Reading, Berks, England.</t>
  </si>
  <si>
    <t>dannes@bas.ac.uk</t>
  </si>
  <si>
    <t>Hawkins, Ed/B-7921-2011</t>
  </si>
  <si>
    <t>Hawkins, Ed/0000-0001-9477-3677; Jones, Dani/0000-0002-8701-4506; Shuckburgh, Emily/0000-0001-9206-3444</t>
  </si>
  <si>
    <t>0043-1656</t>
  </si>
  <si>
    <t>1477-8696</t>
  </si>
  <si>
    <t>Weather</t>
  </si>
  <si>
    <t>10.1002/wea.3381</t>
  </si>
  <si>
    <t>HG0AZ</t>
  </si>
  <si>
    <t>WOS:000454605800011</t>
  </si>
  <si>
    <t>To sea in search of the forests</t>
  </si>
  <si>
    <t>Article; Book Chapter</t>
  </si>
  <si>
    <t>WOS:000505954100003</t>
  </si>
  <si>
    <t>Zalasiewicz, J; Waters, CN; Williams, M; Summerhayes, CP; Head, MJ; Leinfelder, R; Grinevald, J; McNeill, J; Oreskes, N; Steffen, W; Wing, S; Gibbard, P; Vidas, D; Hancock, T; Barnosky, A</t>
  </si>
  <si>
    <t>Zalasiewicz, J; Waters, CN; Williams, M; Summerhayes, CP</t>
  </si>
  <si>
    <t>Zalasiewicz, Jan; Waters, Colin N.; Williams, Mark; Summerhayes, Colin P.; Head, Martin J.; Leinfelder, Reinhold; Grinevald, Jacques; McNeill, John; Oreskes, Naomi; Steffen, Will; Wing, Scott; Gibbard, Phil; Vidas, Davor; Hancock, Trevor; Barnosky, Anthony</t>
  </si>
  <si>
    <t>History and Development of the Anthropocene as a Stratigraphic Concept</t>
  </si>
  <si>
    <t>ANTHROPOCENE AS A GEOLOGICAL TIME UNIT: A GUIDE TO THE SCIENTIFIC EVIDENCE AND CURRENT DEBATE</t>
  </si>
  <si>
    <t>ANTARCTIC ICE-SHEET; SEA-LEVEL RISE; PERSISTENT ORGANIC POLLUTANTS; POLYCYCLIC AROMATIC-HYDROCARBONS; EOCENE THERMAL MAXIMUM; POLYETHYLENE BIO-DEGRADATION; SANTA-BARBARA BASIN; POLYBROMINATED DIPHENYL ETHERS; CARBON-DIOXIDE CONCENTRATION; BOUNDARY STRATOTYPE SECTION</t>
  </si>
  <si>
    <t>[Zalasiewicz, Jan; Waters, Colin N.; Williams, Mark] Univ Leicester, Leicester, Leics, England; [Summerhayes, Colin P.; Gibbard, Phil] Univ Cambridge, Cambridge, England; [Head, Martin J.] Brock Univ, St Catharines, ON, Canada; [Leinfelder, Reinhold] Free Univ Berlin, Berlin, Germany; [Grinevald, Jacques] Grad Inst Int &amp; Dev Studies, Geneva, Switzerland; [McNeill, John] Georgetown Univ, Washington, DC 20057 USA; [Oreskes, Naomi] Harvard Univ, Cambridge, MA 02138 USA; [Steffen, Will] Australian Natl Univ, Canberra, ACT, Australia; [Wing, Scott] Smithsonian Inst, Washington, DC 20560 USA; [Vidas, Davor] Fridtjof Nansen Inst Polhogda, Lysaker, Norway; [Hancock, Trevor] Univ Victoria, Victoria, BC, Canada; [Barnosky, Anthony] Stanford Univ, Stanford, CA 94305 USA</t>
  </si>
  <si>
    <t>University of Leicester; University of Cambridge; Brock University; Free University of Berlin; Georgetown University; Harvard University; Australian National University; Smithsonian Institution; University of Victoria; Stanford University</t>
  </si>
  <si>
    <t>Zalasiewicz, J (corresponding author), Univ Leicester, Leicester, Leics, England.</t>
  </si>
  <si>
    <t>Gibbard, Phil/AAU-8014-2021; Wing, Scott L/IYJ-5681-2023; Williams, Mark/B-7590-2009</t>
  </si>
  <si>
    <t>Wing, Scott L/0000-0002-2954-8905;</t>
  </si>
  <si>
    <t>THE PITT BUILDING, TRUMPINGTON ST, CAMBRIDGE CB2 1RP, CAMBS, ENGLAND</t>
  </si>
  <si>
    <t>978-1-108-47523-5</t>
  </si>
  <si>
    <t>10.1017/9781108621359</t>
  </si>
  <si>
    <t>Environmental Sciences; Geology</t>
  </si>
  <si>
    <t>BQ4DQ</t>
  </si>
  <si>
    <t>WOS:000589171200001</t>
  </si>
  <si>
    <t>C</t>
  </si>
  <si>
    <t>Chen, JJ; Hai, G; Dou, YK; Tian, YX; Xie, H; Li, RX</t>
  </si>
  <si>
    <t>IEEE</t>
  </si>
  <si>
    <t>Chen, Jiajin; Hai, Gang; Dou, Yinke; Tian, Yixiang; Xie, Huan; Li, Rongxing</t>
  </si>
  <si>
    <t>Comparison between field-measured and multitemporal modeled temperature for firn compaction modelling in Taishan Station, Antarctica</t>
  </si>
  <si>
    <t>2019 10TH INTERNATIONAL WORKSHOP ON THE ANALYSIS OF MULTITEMPORAL REMOTE SENSING IMAGES (MULTITEMP)</t>
  </si>
  <si>
    <t>Proceedings Paper</t>
  </si>
  <si>
    <t>10th International Workshop on the Analysis of Multitemporal Remote Sensing Images (MultiTemp)</t>
  </si>
  <si>
    <t>AUG 05-07, 2019</t>
  </si>
  <si>
    <t>Shanghai, PEOPLES R CHINA</t>
  </si>
  <si>
    <t>firn compaction modelling; heat transfer; multitemporal modeled temperature; Taishan Station</t>
  </si>
  <si>
    <t>DENSIFICATION; GREENLAND; ELEVATION</t>
  </si>
  <si>
    <t>In Antarctic ice sheet, firn compaction corrections should be applied to the elevation changes estimated from multi-year satellite altimetry to reduce components without mass change contribution. Firn compaction rate is mainly affected by firn temperature and density in the vertical column during the yearly and decadal scale compaction processes and it's essential to account for these two parameters in the firn compaction modelling. In this paper, we solved the temperature along depth and time given initial and boundary conditions based on published physical principles and both our experimental software and an open-source package. We have performed a comparison analysis between the modeled and field temporal temperature profiles at the Taishan Station, East Antarctica. The mean temperature differences of the results with the 12-hour and 1-month time steps are-0.36 K and-0.45 K, and the standard deviations are 1.7 K and 3.2 K, respectively. The temperature modelling process is a part of the firn compaction correction estimation modeling.</t>
  </si>
  <si>
    <t>[Chen, Jiajin; Hai, Gang; Tian, Yixiang; Xie, Huan; Li, Rongxing] Tongji Univ, Coll Surveying &amp; Geoinformat, Ctr Spatial Informat Sci &amp; Sustainable Dev Applic, Shanghai, Peoples R China; [Dou, Yinke] Taiyuan Univ Technol, Coll Elect &amp; Power Engn, Taiyuan, Peoples R China</t>
  </si>
  <si>
    <t>Tongji University; Taiyuan University of Technology</t>
  </si>
  <si>
    <t>Chen, JJ (corresponding author), Tongji Univ, Coll Surveying &amp; Geoinformat, Ctr Spatial Informat Sci &amp; Sustainable Dev Applic, Shanghai, Peoples R China.</t>
  </si>
  <si>
    <t>1995jiajinchen@tongji.edu.cn; ganghai@tongji.edu.cn; douyk8888cn@126.com; tianyixiang@tongji.edu.cn; huanxie@tongji.edu.cn; rli@tongji.edu.cn</t>
  </si>
  <si>
    <t>xie, huan/GQQ-4398-2022</t>
  </si>
  <si>
    <t>National Key Basic Research Program of China [2017YFA0603102]; National Natural Science Foundation of China [41571407, 41822106]</t>
  </si>
  <si>
    <t>National Key Basic Research Program of China(National Basic Research Program of China); National Natural Science Foundation of China(National Natural Science Foundation of China (NSFC))</t>
  </si>
  <si>
    <t>This work has been supported by National Key Basic Research Program of China (Project No. 2017YFA0603102) and the National Natural Science Foundation of China (Project No. 41571407 and Project No. 41822106).</t>
  </si>
  <si>
    <t>345 E 47TH ST, NEW YORK, NY 10017 USA</t>
  </si>
  <si>
    <t>978-1-7281-4615-7</t>
  </si>
  <si>
    <t>10.1109/multi-temp.2019.8866984</t>
  </si>
  <si>
    <t>Conference Proceedings Citation Index - Science (CPCI-S)</t>
  </si>
  <si>
    <t>BQ3OX</t>
  </si>
  <si>
    <t>WOS:000587591800066</t>
  </si>
  <si>
    <t>Liu, JX; Cui, XB; Tian, YX; Sun, B; Markov, A; Lv, D; Hai, G; Qiao, G; Feng, TT; Li, RX</t>
  </si>
  <si>
    <t>Liu, Jiaxin; Cui, Xiangbin; Tian, Yixiang; Sun, Bo; Markov, Alexey; Lv, Da; Hai, Gang; Qiao, Gang; Feng, Tiantian; Li, Rongxing</t>
  </si>
  <si>
    <t>Feasibility analysis of airfield selection based on multi-temporal and multi-mission remote sensing data</t>
  </si>
  <si>
    <t>airfield; Antarctic; blue ice; multi-temporal</t>
  </si>
  <si>
    <t>BLUE-ICE AREAS; ETM PLUS; SNOW</t>
  </si>
  <si>
    <t>As the polar region has attracted growing attention around the world, field expeditions to Antarctica have become increasingly frequent. To provide take-off and landing capabilities for the wheeled aircraft of Chinese Antarctic Research Expeditions (CHINAREs), we use multi-mission and multitemporal remote sensing data to analyse the feasibility of blue ice airfield selection near Zhongshan Station, East Antarctica, and recommended two top-ranked runway candidates. This airfield selection method may be applied to other areas of Antarctica as well as Greenland and Arctic regions.</t>
  </si>
  <si>
    <t>[Liu, Jiaxin; Tian, Yixiang; Lv, Da; Hai, Gang; Qiao, Gang; Feng, Tiantian; Li, Rongxing] Tongji Univ, Coll Surveying &amp; Geoinformat, Ctr Spatial Informat Sci &amp; Sustainable Dev Applic, Shanghai, Peoples R China; [Cui, Xiangbin; Sun, Bo] Polar Res Inst China, Shanghai, Peoples R China; [Markov, Alexey] Jilin Univ, Polar Res Ctr, Coll Construct Engn, Changchun, Peoples R China</t>
  </si>
  <si>
    <t>Tongji University; Polar Research Institute of China; Jilin University</t>
  </si>
  <si>
    <t>Liu, JX (corresponding author), Tongji Univ, Coll Surveying &amp; Geoinformat, Ctr Spatial Informat Sci &amp; Sustainable Dev Applic, Shanghai, Peoples R China.</t>
  </si>
  <si>
    <t>1731974@tongji.edu.cn; cuixiangbin@pric.org.cn; tianyixiang@tongji.edu.cn; sunbo@pric.org.cn; am100@inbox.ru; lvda@tongji.edu.cn; ganghai@tongji.edu.cn; qiaogang@tongji.edu.cn; fengtiantian@tongji.edu.cn; rli@tongji.edu.cn</t>
  </si>
  <si>
    <t>sun, bo/JFA-9978-2023; Qiao, Gang/AAU-5717-2020; Markov, Alexey/E-1695-2014</t>
  </si>
  <si>
    <t>Qiao, Gang/0000-0002-2010-6238</t>
  </si>
  <si>
    <t>National Key Research and Development Program of China [2017YFA0603102]; National Science Foundation of China [41730102, 41776186]; Fundamental Research Funds for the Central Universities [22120170152]; Beijing Normal University</t>
  </si>
  <si>
    <t>National Key Research and Development Program of China; National Science Foundation of China(National Natural Science Foundation of China (NSFC)); Fundamental Research Funds for the Central Universities(Fundamental Research Funds for the Central Universities); Beijing Normal University</t>
  </si>
  <si>
    <t>This research was supported by the National Key Research and Development Program of China (2017YFA0603102), the National Science Foundation of China (41730102, 41776186), and the Fundamental Research Funds for the Central Universities (22120170152). Data from the Ice Data Center (NSIDC) and Beijing Normal University are greatly appreciated.</t>
  </si>
  <si>
    <t>10.1109/multi-temp.2019.8866931</t>
  </si>
  <si>
    <t>WOS:000587591800033</t>
  </si>
  <si>
    <t>Haward, M</t>
  </si>
  <si>
    <t>Harris, PG</t>
  </si>
  <si>
    <t>Haward, Marcus</t>
  </si>
  <si>
    <t>Climate Change and the Southern Ocean The Regime Complex for Regional Governance</t>
  </si>
  <si>
    <t>CLIMATE CHANGE AND OCEAN GOVERNANCE: POLITICS AND POLICY FOR THREATENED SEAS</t>
  </si>
  <si>
    <t>[Haward, Marcus] Univ Tasmania, Inst Marine &amp; Antarctic Studies, Ocean &amp; Antarctic Governance, Hobart, Tas, Australia</t>
  </si>
  <si>
    <t>Haward, M (corresponding author), Univ Tasmania, Inst Marine &amp; Antarctic Studies, Ocean &amp; Antarctic Governance, Hobart, Tas, Australia.</t>
  </si>
  <si>
    <t>Haward, Marcus/G-3369-2014</t>
  </si>
  <si>
    <t>978-1-108-42248-2</t>
  </si>
  <si>
    <t>10.1017/9781108502238</t>
  </si>
  <si>
    <t>Environmental Sciences; Environmental Studies; Law; Water Resources</t>
  </si>
  <si>
    <t>Environmental Sciences &amp; Ecology; Government &amp; Law; Water Resources</t>
  </si>
  <si>
    <t>BQ3KN</t>
  </si>
  <si>
    <t>WOS:000585262300013</t>
  </si>
  <si>
    <t>Archambault, S</t>
  </si>
  <si>
    <t>Riccobene, G; Biagi, S; Capone, A; Distefano, C; Piattelli, P</t>
  </si>
  <si>
    <t>Archambault, Simon</t>
  </si>
  <si>
    <t>ARA Collaboration</t>
  </si>
  <si>
    <t>Sensitivity Study of the 5-station configuration of ARA</t>
  </si>
  <si>
    <t>8TH INTERNATIONAL CONFERENCE ON ACOUSTIC AND RADIO EEV NEUTRINO DETECTION ACTIVITIES (ARENA 2018)</t>
  </si>
  <si>
    <t>EPJ Web of Conferences</t>
  </si>
  <si>
    <t>8th International Conference on Acoustic and Radio EeV Neutrino Detection Activities (ARENA)</t>
  </si>
  <si>
    <t>JUN 12-18, 2015</t>
  </si>
  <si>
    <t>Ist Nazl Fisica Nucl, Lab Nazl Sud, Catania, ITALY</t>
  </si>
  <si>
    <t>Ist Nazl Fisica Nucl, Lab Nazl Sud</t>
  </si>
  <si>
    <t>The Askaryan Radio Array (ARA) is an experiment looking for the Askaryan emission of cosmogenic neutrinos interacting in the Antarctic ice. During the last Antarctic summer, two new stations have been added to the experiment, as well as a prototype version of a phased array, attached to one of the new stations. With these stations, ARA sensitivity should become comparable to IceCube's from 10(18) eV and above. To confirm this, the sensitivity is going to be calculated through new simulations developed in the IceCube framework, with an antenna model built from in-situ calibration measurements.</t>
  </si>
  <si>
    <t>[Archambault, Simon] Chiba Univ, Chiba, Japan</t>
  </si>
  <si>
    <t>Chiba University</t>
  </si>
  <si>
    <t>Archambault, S (corresponding author), Chiba Univ, Chiba, Japan.</t>
  </si>
  <si>
    <t>sarchambault@icecube.wisc.edu</t>
  </si>
  <si>
    <t>E D P SCIENCES</t>
  </si>
  <si>
    <t>CEDEX A</t>
  </si>
  <si>
    <t>17 AVE DU HOGGAR PARC D ACTIVITES COUTABOEUF BP 112, F-91944 CEDEX A, FRANCE</t>
  </si>
  <si>
    <t>2100-014X</t>
  </si>
  <si>
    <t>978-2-7598-9080-4</t>
  </si>
  <si>
    <t>EPJ WEB CONF</t>
  </si>
  <si>
    <t>10.1051/epjconf/201921602009</t>
  </si>
  <si>
    <t>Astronomy &amp; Astrophysics; Physics, Nuclear; Physics, Particles &amp; Fields</t>
  </si>
  <si>
    <t>BP9PJ</t>
  </si>
  <si>
    <t>WOS:000570244200019</t>
  </si>
  <si>
    <t>Glaser, C</t>
  </si>
  <si>
    <t>Glaser, Christian</t>
  </si>
  <si>
    <t>ARIANNA Collaboration</t>
  </si>
  <si>
    <t>ARIANNA: Measurement of cosmic rays with a radio neutrino detector in Antarctica</t>
  </si>
  <si>
    <t>The ARIANNA detector aims to detect neutrinos with energies above 10(16) eV by instrumenting 0.5 Teratons of ice with a surface array of a thousand independent radio detector stations in Antarctica. The Antarctic ice is transparent to the radio signals caused by the Askaryan effect which allows for a cost-effective instrumentation of large volumes. Several pilot stations are currently operating successfully at the Moore's Bay site (Ross Ice Shelf) and at the South Pole. As the ARIANNA detector stations are positioned at the surface, the more abundant cosmic-ray air showers are also measured and serve as a direct way to prove the capabilities of the detector. We will present measured cosmic rays and will show how the incoming direction, polarization and electric field of the cosmic ray pulse can be reconstructed from single detector stations comprising 4 upward and 4 downward facing LPDA antennas.</t>
  </si>
  <si>
    <t>[Glaser, Christian] Univ Calif Irvine, Dept Phys &amp; Astron, Irvine, CA 92697 USA</t>
  </si>
  <si>
    <t>Glaser, C (corresponding author), Univ Calif Irvine, Dept Phys &amp; Astron, Irvine, CA 92697 USA.</t>
  </si>
  <si>
    <t>christian.glaser@uci.edu</t>
  </si>
  <si>
    <t>Glaser, Christian/R-3021-2019</t>
  </si>
  <si>
    <t>Glaser, Christian/0000-0001-5998-2553</t>
  </si>
  <si>
    <t>10.1051/epjconf/201921602008</t>
  </si>
  <si>
    <t>WOS:000570244200018</t>
  </si>
  <si>
    <t>Vieregg, A</t>
  </si>
  <si>
    <t>Vieregg, Abigail</t>
  </si>
  <si>
    <t>ANITA Collaboration</t>
  </si>
  <si>
    <t>Results from the third flight of ANITA</t>
  </si>
  <si>
    <t>We summarize results from the third flight of the Antarctic Impulsive Transient Antenna (ANITA), a NASA long-duration balloon payload that searches for radio emission from the interactions of ultra-high-energy neutrinos and cosmic rays. ANITA-III was launched in December 2014 and flew for 22 days. We report the results from multiple analyses of the data, which search for Askaryan radio emission from neutrinos interacting in the Antarctic ice as well as geomagnetic radio emission from extensive air showers (EASs) induced by cosmic rays or a tau lepton created in an in-earth tau neutrino interaction. In the most sensitive Askaryan neutrino search, we find one event on a pre-unblinding background of 0.7(-0.3)(+0.5). Across all searches, including a dedicated EAS search, we find a total of 28 EAS-like events. One of these events is consistent with an upward-traveling EAS, with a post-unblinding background estimate of less than or similar to 10(-2).</t>
  </si>
  <si>
    <t>[Vieregg, Abigail] Univ Chicago, Dept Phys, Enrico Fermi Inst, Kavli Inst Cosmol Phys, Chicago, IL 60637 USA</t>
  </si>
  <si>
    <t>University of Chicago</t>
  </si>
  <si>
    <t>Vieregg, A (corresponding author), Univ Chicago, Dept Phys, Enrico Fermi Inst, Kavli Inst Cosmol Phys, Chicago, IL 60637 USA.</t>
  </si>
  <si>
    <t>avieregg@kicp.uchicago.edu</t>
  </si>
  <si>
    <t>10.1051/epjconf/201921601009</t>
  </si>
  <si>
    <t>WOS:000570244200009</t>
  </si>
  <si>
    <t>Lozada, M; Dionisi, HM; Espínola, FE; Calderoli, PA; Musumeci, MA; González, JA; López, JL; MacCormack, WP; Jansson, JK</t>
  </si>
  <si>
    <t>Marco, DE</t>
  </si>
  <si>
    <t>Lozada, Mariana; Dionisi, Hebe M.; Espinola, Fernando E.; Calderoli, Priscila A.; Musumeci, Matias A.; Gonzalez, Jessica A.; Lopez, Jose L.; MacCormack, Walter P.; Jansson, Janet K.</t>
  </si>
  <si>
    <t>Contribution of Metagenomics to Our Understanding of Microbial Processes in Antarctic and Sub-Antarctic Coastal Sediments</t>
  </si>
  <si>
    <t>MICROBIAL ECOLOGY: CURRENT ADVANCES FROM GENOMICS, METAGENOMICS AND OTHER OMICS</t>
  </si>
  <si>
    <t>MULTIPLE SEQUENCE ALIGNMENT; AMMONIA-OXIDIZING BACTERIA; KING GEORGE ISLAND; TIERRA-DEL-FUEGO; POTTER COVE; MARINE BACTERIUM; SCALE ANALYSIS; SP-NOV.; DIVERSITY; GENES</t>
  </si>
  <si>
    <t>Despite recent advances in metagenomics, increasing our understanding of sediment microbial communities remains a challenge because of their remarkable diversity. In this chapter we describe various strategies for the analysis of metagenomes from complex microbial communities, using a sequence dataset of coastal sediments from Antarctic and sub-Antarctic sheltered environments as a case study. Microbial diversity and community structure were analysed by 16S rRNA gene amplicon sequencing, and shotgun sequencing was used to unveil key metabolic processes at multiple levels. The phylogenetic analysis of biomarker genes (nitrogen cycle, anaerobic hydrocarbon biodegradation) allowed us to shed light on the structure of environmentally relevant, yet low-abundance microbial populations. Gene content and shared synteny in brown algae polysaccharide utilization loci provided evidence on the evolution of a relevant process for coastal carbon cycling. The statistical analysis of putative microbial rhodopsin sequences showed two levels of phylogeographical segregation, providing evidence on the evolutionary origin of viral sequences. Finally, a workflow was designed for the rational selection of metagenomic sequences encoding enzymes with promising biotechnological features. Each of these analyses provided a glimpse into the biology, ecology and biotechnological potential of these microbial communities, overcoming limitations in coverage and assembly of metagenomes from high-complexity communities.</t>
  </si>
  <si>
    <t>[Lozada, Mariana; Dionisi, Hebe M.; Espinola, Fernando E.; Calderoli, Priscila A.; Musumeci, Matias A.; Gonzalez, Jessica A.] Consejo Nacl Invest Cient &amp; Tecn, Ctr Estudio Sistemas Marinos CESIMAR, Lab Microbiol Ambiental, Puerto Madryn, Chubut, Argentina; [Musumeci, Matias A.] Consejo Nacl Invest Cient &amp; Tecn, Ctr Invest &amp; Transferencia Entre Rios CITER, Concordia, Entre Rios, Argentina; [Lopez, Jose L.] Univ Buenos Aires, Fac Farm &amp; Bioquim, Catedra Virol, Caba, Argentina; [MacCormack, Walter P.] Univ Buenos Aires, Fac Farm &amp; Bioquim, CONICET, Inst Nanobiotec, Buenos Aires, DF, Argentina; [MacCormack, Walter P.] Inst Antartico Argentino, Buenos Aires, DF, Argentina; [Jansson, Janet K.] Pacific Northwest Natl Lab, Earth &amp; Biol Sci Directorate, Richland, WA 99352 USA</t>
  </si>
  <si>
    <t>Consejo Nacional de Investigaciones Cientificas y Tecnicas (CONICET); Consejo Nacional de Investigaciones Cientificas y Tecnicas (CONICET); University of Buenos Aires; University of Buenos Aires; Consejo Nacional de Investigaciones Cientificas y Tecnicas (CONICET); Instituto Antartico Argentino; United States Department of Energy (DOE); Pacific Northwest National Laboratory</t>
  </si>
  <si>
    <t>Lozada, M (corresponding author), Consejo Nacl Invest Cient &amp; Tecn, Ctr Estudio Sistemas Marinos CESIMAR, Lab Microbiol Ambiental, Puerto Madryn, Chubut, Argentina.</t>
  </si>
  <si>
    <t>lozada@cenpat-conicet.gob.ar</t>
  </si>
  <si>
    <t>Mac Cormack, Walter/0000-0002-5280-5463; Dionisi, Hebe Monica/0000-0002-8075-2311</t>
  </si>
  <si>
    <t>Department of Energy-Joint Genome Institute (DOE-JGI) under the Community Sequencing Program (CSP) [328, 403959, 404206, 404777, 404782, 404786, 404788, 404801]; CONICET [112-200801-01736]; ANPCyT [PICT 2016-2101, PICT 2015-2102, PICTO 2010-0124]; Universidad de Buenos Aires [20020130100569BA]; US Department of Energy [DE-AC05-76RL01830]</t>
  </si>
  <si>
    <t>Department of Energy-Joint Genome Institute (DOE-JGI) under the Community Sequencing Program (CSP); CONICET(Consejo Nacional de Investigaciones Cientificas y Tecnicas (CONICET)); ANPCyT(ANPCyT); Universidad de Buenos Aires(University of Buenos Aires); US Department of Energy(United States Department of Energy (DOE))</t>
  </si>
  <si>
    <t>ML, HMD and MM are staff members from the Argentinean National Research Council (CONICET). PC, FE and JG are fellows from CONICET. The amplicon dataset was generated by the Earth Microbiome Project (www.earthmicrobiome.org/).The metagenomic dataset was generated at the Department of Energy-Joint Genome Institute (DOE-JGI) under the Community Sequencing Program (CSP proposal ID 328, project IDs 403959, 404206, 404777, 404782, 404786, 404788, 404801). This research was also partly funded by CONICET (project no. 112-200801-01736) and ANPCyT (PICT 2016-2101, PICT 2015-2102 and PICTO 2010-0124), by the Universidad de Buenos Aires (project 20020130100569BA) and under the Laboratory Directed Research and Development Program at PNNL, a multi-program national laboratory operated by Battelle for the US Department of Energy under Contract DE-AC05-76RL01830.</t>
  </si>
  <si>
    <t>CAISTER ACADEMIC PRESS</t>
  </si>
  <si>
    <t>WYMONDHAM</t>
  </si>
  <si>
    <t>32 HEWITTS LANE, WYMONDHAM NR 18 0JA, ENGLAND</t>
  </si>
  <si>
    <t>978-1-912530-03-8; 978-1-912530-02-1</t>
  </si>
  <si>
    <t>10.21775/9781912530021.05</t>
  </si>
  <si>
    <t>10.21775/9781912530021</t>
  </si>
  <si>
    <t>Biochemical Research Methods; Ecology; Microbiology</t>
  </si>
  <si>
    <t>Biochemistry &amp; Molecular Biology; Environmental Sciences &amp; Ecology; Microbiology</t>
  </si>
  <si>
    <t>BQ0MT</t>
  </si>
  <si>
    <t>WOS:000573228500006</t>
  </si>
  <si>
    <t>Savas, C; Dovis, F</t>
  </si>
  <si>
    <t>Inst Navigat</t>
  </si>
  <si>
    <t>Savas, Caner; Dovis, Fabio</t>
  </si>
  <si>
    <t>Multipath Detection based on K-means Clustering</t>
  </si>
  <si>
    <t>PROCEEDINGS OF THE 32ND INTERNATIONAL TECHNICAL MEETING OF THE SATELLITE DIVISION OF THE INSTITUTE OF NAVIGATION (ION GNSS+ 2019)</t>
  </si>
  <si>
    <t>Institute of Navigation Satellite Division Proceedings of the International Technical Meeting</t>
  </si>
  <si>
    <t>32nd International Technical Meeting of the Satellite-Division-of-The-Institute-of-Navigation (ION GNSS)</t>
  </si>
  <si>
    <t>SEP 16-20, 2019</t>
  </si>
  <si>
    <t>Miami, FL</t>
  </si>
  <si>
    <t>MITIGATION</t>
  </si>
  <si>
    <t>The aim of this paper is to propose a multipath detection algorithm, which is based on K-means clustering that belongs to the class of unsupervised machine learning algorithms. The algorithm processes measurement sets computed for each satellite, namely, carrier phase, pseudorange and carrier-to-noise ratio, creating clusters of consistent measurements, thus allowing the identification of satellite signals suffering from the multipath error. Since it is an unsupervised method, it overcomes one of the most limiting features of supervised algorithms that require training data sets a-priori obtained as representative of multipath and no-multipath conditions. The study exploits both the real GNSS data affected by the multipath in the surrounding environment that were collected at South African Antarctic research base SANAE-IV and the simulated data where the ionospheric, tropospheric and multipath errors are modelled. Receiver Autonomous Integrity Monitoring (RAIM) algorithm with parity method was also implemented and tested for the same datasets, and it will be used as a term of comparison for the algorithm performance.</t>
  </si>
  <si>
    <t>[Savas, Caner; Dovis, Fabio] Politecn Torino, Dept Elect &amp; Telecommun, Turin, Italy</t>
  </si>
  <si>
    <t>Polytechnic University of Turin</t>
  </si>
  <si>
    <t>Savas, C (corresponding author), Politecn Torino, Dept Elect &amp; Telecommun, Turin, Italy.</t>
  </si>
  <si>
    <t>Dovis, Fabio/F-3843-2012; SAVAS, Caner/AAJ-7383-2021</t>
  </si>
  <si>
    <t>Dovis, Fabio/0000-0001-6078-9099; SAVAS, Caner/0000-0001-7626-9899</t>
  </si>
  <si>
    <t>European Union's Horizon 2020 Research and Innovation Programme within Marie Sklodowska-Curie Actions Innovative Training Network [722023]</t>
  </si>
  <si>
    <t>European Union's Horizon 2020 Research and Innovation Programme within Marie Sklodowska-Curie Actions Innovative Training Network(European Union (EU))</t>
  </si>
  <si>
    <t>This research work is undertaken under the framework of the TREASURE project (Grant Agreement N. 722023) funded by European Union's Horizon 2020 Research and Innovation Programme within Marie Sklodowska-Curie Actions Innovative Training Network.</t>
  </si>
  <si>
    <t>INST NAVIGATION</t>
  </si>
  <si>
    <t>815 15TH ST NW, STE 832, WASHINGTON, DC 20005 USA</t>
  </si>
  <si>
    <t>2331-5911</t>
  </si>
  <si>
    <t>2331-5954</t>
  </si>
  <si>
    <t>I NAVIG SAT DIV INT</t>
  </si>
  <si>
    <t>10.33012/2019.17028</t>
  </si>
  <si>
    <t>Remote Sensing; Telecommunications</t>
  </si>
  <si>
    <t>BP9AE</t>
  </si>
  <si>
    <t>WOS:000568618903069</t>
  </si>
  <si>
    <t>Abramov, VM; Istomin, EP; Popov, NN; Shilin, MB; Lukyanov, SV; Frolova, NS; Golosovskaya, VA; Drabenko, DV</t>
  </si>
  <si>
    <t>Soliman, KS</t>
  </si>
  <si>
    <t>Abramov, Valery M.; Istomin, Eugene P.; Popov, Nikolay N.; Shilin, Mikhail B.; Lukyanov, Sergey, V; Frolova, Natalia S.; Golosovskaya, Vera A.; Drabenko, Dmitry, V</t>
  </si>
  <si>
    <t>Innovative Digital Technologies Development for Projects Management within Northern Sea Route area</t>
  </si>
  <si>
    <t>VISION 2025: EDUCATION EXCELLENCE AND MANAGEMENT OF INNOVATIONS THROUGH SUSTAINABLE ECONOMIC COMPETITIVE ADVANTAGE</t>
  </si>
  <si>
    <t>34th International-Business-Information-Management-Association (IBIMA) Conference</t>
  </si>
  <si>
    <t>NOV 13-14, 2019</t>
  </si>
  <si>
    <t>Madrid, SPAIN</t>
  </si>
  <si>
    <t>information technologies; large arctic projects; Northern Sea Route</t>
  </si>
  <si>
    <t>We consider results of information technologies development for projects management of large arctic projects within natural-industrial systems while climate change. Our geographical object of study is Northern Sea Route area, which have major logistic value for Russian national environmental economics. In research, we used: Foresight technologies, remote sensing methods, theory of decision making under uncertainties, risk management approach, methods of data bases constructing. Recently, geo-information management for large arctic projects while climate demonstrates new digitalization peculiarities in data obtaining and presenting. We gave preference to the remote sensing using in digital management platforms, which integrate heterogeneous hardware and software resources with the use of web-technologies in distributed networks and wide application of cloud services. We proposed to use geo-information support decision within in environmental economics while climate change, as the base model for large arctic projects management within Northern Sea Route area. While study for preliminary data exchange and discussion, we used platform https://www.researchgate.net/profile/Valery_Abramov2/.</t>
  </si>
  <si>
    <t>[Abramov, Valery M.; Istomin, Eugene P.; Popov, Nikolay N.; Shilin, Mikhail B.; Lukyanov, Sergey, V; Frolova, Natalia S.; Golosovskaya, Vera A.] Russian State Hydrometeorol Univ, St Petersburg, Russia; [Drabenko, Dmitry, V] Arctic &amp; Antarctic Res Inst, St Petersburg, Russia</t>
  </si>
  <si>
    <t>Russian State Hydrometeorological University; Arctic &amp; Antarctic Research Institute</t>
  </si>
  <si>
    <t>Abramov, VM (corresponding author), Russian State Hydrometeorol Univ, St Petersburg, Russia.</t>
  </si>
  <si>
    <t>val.abramov@mail.ru; eug.istom@mail.ru; nikk.popovv@mail.ru; mik.shilin@mail.ru; serg.luknv@mail.ru; n.frolva@mail.ru; verr.gol@mail.ru; xdrub@mail.ru</t>
  </si>
  <si>
    <t>Istomin, Eugene/R-9917-2016; Popov, Nikolay/AAI-6737-2021; Popov, Nikolay/AAB-3833-2021; Abramov, Valery M/N-2789-2013</t>
  </si>
  <si>
    <t>Popov, Nikolay/0000-0002-2217-4648;</t>
  </si>
  <si>
    <t>INT BUSINESS INFORMATION MANAGEMENT ASSOC-IBIMA</t>
  </si>
  <si>
    <t>NORRISTOWN</t>
  </si>
  <si>
    <t>34 E GERMANTOWN PIKE, NO. 327, NORRISTOWN, PA 19401 USA</t>
  </si>
  <si>
    <t>978-0-9998551-3-3</t>
  </si>
  <si>
    <t>Business; Economics; Management</t>
  </si>
  <si>
    <t>Conference Proceedings Citation Index - Social Science &amp; Humanities (CPCI-SSH)</t>
  </si>
  <si>
    <t>Business &amp; Economics</t>
  </si>
  <si>
    <t>BP7AN</t>
  </si>
  <si>
    <t>WOS:000561117204033</t>
  </si>
  <si>
    <t>Wang, XX; Qiu, YB; Xie, PF; Lemmetyinen, J; Liang, WS; Cheng, B</t>
  </si>
  <si>
    <t>Wang, Xingxing; Qiu, Yubao; Xie, Pengfei; Lemmetyinen, Juha; Liang, Wenshan; Cheng, Bin</t>
  </si>
  <si>
    <t>Comparative Analysis to the Lake Ice Phenology Changes of Mongolian Plateau, Tibetan Plateau and Northern Europe through Passive Microwave</t>
  </si>
  <si>
    <t>2019 PHOTONICS &amp; ELECTROMAGNETICS RESEARCH SYMPOSIUM - FALL (PIERS - FALL)</t>
  </si>
  <si>
    <t>Progress in Electromagnetics Research Symposium</t>
  </si>
  <si>
    <t>Photonics and Electromagnetics Research Symposium - Fall (PIERS - Fall)</t>
  </si>
  <si>
    <t>DEC 17-20, 2019</t>
  </si>
  <si>
    <t>Xiamen, PEOPLES R CHINA</t>
  </si>
  <si>
    <t>Lake ice is a sensitive indicator for the environment and climate change. In the comparative study of climate change from the three poles (Antarctic, Arctic, and the Tibetan Plateau), the lake ice phenology which is mirrored the seasonal changes of lake ice, and it is an important index for assessing the synchronization and difference of climate change. Based on passive microwave, lake ice phenology of 48 lakes from 1978 to 2017 were extracted for northern Europe, Tibetan Plateau and Mongolia Plateau. A comparative analysis of the temporal variation for the lake ice phenology shows that from 1978 to 2017, the average ice cover duration showed a shortening trend of all regions, and the Northern Europe with the most dramatic shortening. The year of 2000 may be a turning of the lake ice cover duration in three regions. Especially in the northern Tibetan Plateau where is a trend of prolonged ice cover duration after 2000, and the delay of the break-up end date plays a more important role than the advance of the freeze-up start date. For the spatial changes, the variation of lake ice cover duration in the Tibetan Plateau shows a spatially aggregate phenomenon, and both the Northern Europe and Mongolian Plateau show changes with latitude. The comparison of lake ice phenology changes of three regions can provide more basis for climate characteristics analysis or climate change research. In the future work, various remote sensing data will be comprehensively used to obtain more information on lake ice phenology in High Mountain and cold regions. Meanwhile, it will combine other reanalysis data to find the reasons that affect the lake ice phenology, and provide support for the comparative study of the three-pole environment.</t>
  </si>
  <si>
    <t>[Wang, Xingxing; Qiu, Yubao; Xie, Pengfei; Liang, Wenshan] Chinese Acad Sci, Aerosp Informat Res Inst, Beijing 100094, Peoples R China; [Wang, Xingxing; Qiu, Yubao; Lemmetyinen, Juha; Cheng, Bin] Chinese Acad Sci, AIR FMI Joint Res Ctr Arctic Observat, Aerosp Informat Res Inst, Sodankyla, Finland; [Wang, Xingxing; Qiu, Yubao; Lemmetyinen, Juha; Cheng, Bin] Finnish Meteorol Inst, Sodankyla, Finland; [Lemmetyinen, Juha] Finnish Meteorol Inst, Arctic Space Ctr, Helsinki, Finland; [Cheng, Bin] Finnish Meteorol Inst, Helsinki, Finland</t>
  </si>
  <si>
    <t>Chinese Academy of Sciences; Aerospace Information Research Institute, CAS; Finnish Meteorological Institute; Finnish Meteorological Institute; Finnish Meteorological Institute</t>
  </si>
  <si>
    <t>Wang, XX (corresponding author), Chinese Acad Sci, Aerosp Informat Res Inst, Beijing 100094, Peoples R China.;Wang, XX (corresponding author), Chinese Acad Sci, AIR FMI Joint Res Ctr Arctic Observat, Aerosp Informat Res Inst, Sodankyla, Finland.;Wang, XX (corresponding author), Finnish Meteorol Inst, Sodankyla, Finland.</t>
  </si>
  <si>
    <t>Xie, Pengfei/Q-6424-2016; Qiu, Yubao/P-8103-2016</t>
  </si>
  <si>
    <t>Qiu, Yubao/0000-0003-1313-6313</t>
  </si>
  <si>
    <t>Strategic Priority Research Program of the Chinese Academy of Sciences [XDA19070201, 2017YFE0111700]; Big Earth Data - Based environment monitoring and information service for arctic sea way of Polar Silk Road [131211KYSB2017004-1]</t>
  </si>
  <si>
    <t>Strategic Priority Research Program of the Chinese Academy of Sciences(Chinese Academy of Sciences); Big Earth Data - Based environment monitoring and information service for arctic sea way of Polar Silk Road</t>
  </si>
  <si>
    <t>Supported by the Strategic Priority Research Program of the Chinese Academy of Sciences (grant number XDA19070201), Multi-Parameters Arctic Environmental Observations and Information Services (grant number 2017YFE0111700) and Big Earth Data - Based environment monitoring and information service for arctic sea way of Polar Silk Road(grant number 131211KYSB2017004-1).</t>
  </si>
  <si>
    <t>1559-9450</t>
  </si>
  <si>
    <t>978-1-7281-5304-9</t>
  </si>
  <si>
    <t>PR ELECTROMAGN RES S</t>
  </si>
  <si>
    <t>Engineering, Electrical &amp; Electronic; Physics, Applied</t>
  </si>
  <si>
    <t>BP6PH</t>
  </si>
  <si>
    <t>WOS:000560305103048</t>
  </si>
  <si>
    <t>Traversa, G; Fugazza, D; Senese, A; Diolaiuti, GA</t>
  </si>
  <si>
    <t>Traversa, Giacomo; Fugazza, Davide; Senese, Antonella; Diolaiuti, Guglielmina A.</t>
  </si>
  <si>
    <t>PRELIMINARY RESULTS ON ANTARCTIC ALBEDO FROM REMOTE SENSING OBSERVATIONS</t>
  </si>
  <si>
    <t>GEOGRAFIA FISICA E DINAMICA QUATERNARIA</t>
  </si>
  <si>
    <t>Antarctic albedo; Remote sensing; GLASS</t>
  </si>
  <si>
    <t>SURFACE MASS-BALANCE; DRONNING MAUD LAND; BLUE-ICE AREAS; DOME C; SNOW; GREENLAND; SUMMER; SHEET</t>
  </si>
  <si>
    <t>The aim of the study is to analyse the surface albedo of the Antarctica and investigate eventual signals of variations in space and time between summer 2000/2001 and 2011/2012 by means of the GLASS albedo product. We followed a step-by-step procedure from micro- to macro-scale. At first, we analysed 95 glaciers around the continent, and we found limited temporal variability. Then, looking at spatial variations, we divided Antarctica based on oceanic basins and by continentality. We found spatial signals, since mean albedo values range between 0.79 (Pacific and Atlantic basins) and 0.82 (Indian basin) and between 0.76 (along the shore) and 0.81 (inner continent). An increasing variability was found from the inner continent to the shore, and heterogeneous patterns among the basins, most likely due to meteorological and environmental conditions (mainly: temperature, precipitation, katabatic winds). Finally, the general patterns observed (considering the specific glaciers, the three basins and the three continentality sectors) were verified by the analysis of the whole continent and we did not find a significant change of summer averages over time, as they range between 0.79 and 0.80.</t>
  </si>
  <si>
    <t>[Traversa, Giacomo] Univ Siena, Dept Phys Sci Earth &amp; Environm DSFTA, I-53100 Siena, Italy; [Traversa, Giacomo; Fugazza, Davide; Senese, Antonella; Diolaiuti, Guglielmina A.] Univ Milan, Dept Environm Sci &amp; Policy ESP, I-20133 Milan, Italy</t>
  </si>
  <si>
    <t>University of Siena; University of Milan</t>
  </si>
  <si>
    <t>Senese, A (corresponding author), Univ Milan, Dept Environm Sci &amp; Policy ESP, I-20133 Milan, Italy.</t>
  </si>
  <si>
    <t>antonella.senese@unimi.it</t>
  </si>
  <si>
    <t>Traversa, Giacomo/HPC-6524-2023; Fugazza, Davide/ABD-4914-2020; Senese, Antonella/AFN-4831-2022</t>
  </si>
  <si>
    <t>Traversa, Giacomo/0000-0003-3108-887X; Fugazza, Davide/0000-0003-4523-9085; Senese, Antonella/0000-0001-7190-3272</t>
  </si>
  <si>
    <t>DARA - Department for Regional Affairs and Autonomies - of the Italian Presidency of the Council of Ministers; Sanpellegrino Levissima Spa</t>
  </si>
  <si>
    <t>We are grateful to Prof. Massimo Frezzotti and two anonymous referees for their precious suggestions, which have improved the manuscript. Researchers involved in the study were supported by DARA - Department for Regional Affairs and Autonomies - of the Italian Presidency of the Council of Ministers and by Sanpellegrino Levissima Spa.</t>
  </si>
  <si>
    <t>COMITATO GLACIOLOGICO ITALIANO</t>
  </si>
  <si>
    <t>TORINO</t>
  </si>
  <si>
    <t>VIA VALPERGA CALUSO 35, TORINO, 10125, ITALY</t>
  </si>
  <si>
    <t>0391-9838</t>
  </si>
  <si>
    <t>1724-4781</t>
  </si>
  <si>
    <t>GEOGR FIS DIN QUAT</t>
  </si>
  <si>
    <t>Geogr. Fis. Din. Quat.</t>
  </si>
  <si>
    <t>10.4461/GFDQ.2019.42.14</t>
  </si>
  <si>
    <t>NK7HY</t>
  </si>
  <si>
    <t>WOS:000566905100006</t>
  </si>
  <si>
    <t>Press, AJ; Hodgson-Johnston, I; Constable, AJ</t>
  </si>
  <si>
    <t>Press, Anthony J.; Hodgson-Johnston, Indi; Constable, Andrew J.</t>
  </si>
  <si>
    <t>The principles of the Convention on the Conservation of Antarctic Marine Living Resources: why its Commission is not a Regional Fisheries Management Organisation</t>
  </si>
  <si>
    <t>[Press, Anthony J.] Univ Tasmania, Antarctic Climate &amp; Ecosyst Cooperat Res Ctr, Hobart, Tas, Australia; [Press, Anthony J.] Univ Tasmania, Inst Marine &amp; Antarctic Studies, Hobart, Tas, Australia; [Press, Anthony J.] ACE CRC, Hobart, Tas, Australia; [Press, Anthony J.; Constable, Andrew J.] Australian Antarctic Div, Hobart, Tas, Australia; [Press, Anthony J.] Antarctic Sci Fdn, Hobart, Tas, Australia; [Press, Anthony J.] Antarctic Treatys Comm Environm Protect, Hobart, Tas, Australia; [Hodgson-Johnston, Indi] Conservat Antarctic Marine Living Resources Secre, Antarctic Treaty &amp; Commiss, Hobart, Tas, Australia; [Hodgson-Johnston, Indi] Australias Integrated Marine Observing Syst, Hobart, Tas, Australia; [Constable, Andrew J.] Antarctic Climate &amp; Ecosyst Cooperat Res Ctr, Hobart, Tas, Australia; [Constable, Andrew J.] Commiss Conservat Antarctic Marine Living Resourc, Hobart, Tas, Australia; [Constable, Andrew J.] Marine Ecosyst Assessment Southern Ocean, Hobart, Tas, Australia</t>
  </si>
  <si>
    <t>University of Tasmania; Antarctic Climate &amp; Ecosystems Cooperative Research Centre (ACE CRC); University of Tasmania; Antarctic Climate &amp; Ecosystems Cooperative Research Centre (ACE CRC); Australian Antarctic Division; Antarctic Climate &amp; Ecosystems Cooperative Research Centre (ACE CRC)</t>
  </si>
  <si>
    <t>Press, AJ (corresponding author), Univ Tasmania, Antarctic Climate &amp; Ecosyst Cooperat Res Ctr, Hobart, Tas, Australia.;Press, AJ (corresponding author), Univ Tasmania, Inst Marine &amp; Antarctic Studies, Hobart, Tas, Australia.;Press, AJ (corresponding author), Antarctic Sci Fdn, Hobart, Tas, Australia.</t>
  </si>
  <si>
    <t>Hodgson-Johnston, Indi/B-8054-2014</t>
  </si>
  <si>
    <t>Hodgson-Johnston, Indi/0000-0002-0305-9468; Press, Anthony/0000-0002-3233-8933</t>
  </si>
  <si>
    <t>WOS:000566265600004</t>
  </si>
  <si>
    <t>Reid, K</t>
  </si>
  <si>
    <t>Reid, Keith</t>
  </si>
  <si>
    <t>Commission for the Conservation of Antarctic Marine Living Resources (CCAMLR): implementation of conservation of Southern Ocean marine living resources</t>
  </si>
  <si>
    <t>FISHERIES; ECOSYSTEM</t>
  </si>
  <si>
    <t>[Reid, Keith] Commiss Conservat Antarctic Marine Living Resourc, Hobart, Tas, Australia; [Reid, Keith] British Antarctic Survey, Cambridge, England; [Reid, Keith] Shanghai Ocean Univ, Coll Marine Sci, Shanghai, Peoples R China; [Reid, Keith] Univ Tasmania, Hobart, Tas, Australia</t>
  </si>
  <si>
    <t>UK Research &amp; Innovation (UKRI); Natural Environment Research Council (NERC); NERC British Antarctic Survey; Shanghai Ocean University; University of Tasmania</t>
  </si>
  <si>
    <t>Reid, K (corresponding author), Commiss Conservat Antarctic Marine Living Resourc, Hobart, Tas, Australia.;Reid, K (corresponding author), Shanghai Ocean Univ, Coll Marine Sci, Shanghai, Peoples R China.;Reid, K (corresponding author), Univ Tasmania, Hobart, Tas, Australia.</t>
  </si>
  <si>
    <t>WOS:000566265600005</t>
  </si>
  <si>
    <t>Leary, D</t>
  </si>
  <si>
    <t>Leary, David</t>
  </si>
  <si>
    <t>Frozen robots: autonomous underwater vehicles and unmanned aerial vehicles in the Antarctic: a new tool or a new challenge for sustainable ocean governance?</t>
  </si>
  <si>
    <t>PENINSULA; GLIDERS</t>
  </si>
  <si>
    <t>[Leary, David] Univ Technol Sydney, Fac Law, Publ Int Law Law Sea Int Environm Law &amp; Private I, Sydney, NSW, Australia</t>
  </si>
  <si>
    <t>University of Technology Sydney</t>
  </si>
  <si>
    <t>Leary, D (corresponding author), Univ Technol Sydney, Fac Law, Publ Int Law Law Sea Int Environm Law &amp; Private I, Sydney, NSW, Australia.</t>
  </si>
  <si>
    <t>Leary, David/0000-0003-3852-4769</t>
  </si>
  <si>
    <t>WOS:000566265600011</t>
  </si>
  <si>
    <t>Schatz, VJ</t>
  </si>
  <si>
    <t>Schatz, Valentin J.</t>
  </si>
  <si>
    <t>The settlement of disputes concerning conservation of fish stocks in the Arctic and Antarctic high seas: towards comprehensive compulsory jurisdiction?</t>
  </si>
  <si>
    <t>AGREEMENT; OCEAN</t>
  </si>
  <si>
    <t>[Schatz, Valentin J.] Univ Hamburg, Fac Law, Publ Int Law, Hamburg, Germany; [Schatz, Valentin J.] Univ Hamburg, Fac Law, Int Law Sea &amp; Int Environm Law, Hamburg, Germany</t>
  </si>
  <si>
    <t>University of Hamburg; University of Hamburg</t>
  </si>
  <si>
    <t>Schatz, VJ (corresponding author), Univ Hamburg, Fac Law, Publ Int Law, Hamburg, Germany.;Schatz, VJ (corresponding author), Univ Hamburg, Fac Law, Int Law Sea &amp; Int Environm Law, Hamburg, Germany.</t>
  </si>
  <si>
    <t>Schatz, Valentin/0000-0002-4033-2996</t>
  </si>
  <si>
    <t>WOS:000566265600013</t>
  </si>
  <si>
    <t>Duque, MR</t>
  </si>
  <si>
    <t>IOP</t>
  </si>
  <si>
    <t>Duque, Maria Rosa</t>
  </si>
  <si>
    <t>Speaking about Heat Flow, Ice Fusion and Temperature Alterations</t>
  </si>
  <si>
    <t>WORLD MULTIDISCIPLINARY EARTH SCIENCES SYMPOSIUM (WMESS 2018)</t>
  </si>
  <si>
    <t>IOP Conference Series-Earth and Environmental Science</t>
  </si>
  <si>
    <t>World Multidisciplinary Earth Sciences Symposium (WMESS)</t>
  </si>
  <si>
    <t>SEP 03-07, 2018</t>
  </si>
  <si>
    <t>Prague, CZECH REPUBLIC</t>
  </si>
  <si>
    <t>Heat flow density measurements are difficult to obtain in Antarctica and Greenland due to climate and ice thickness in those regions. The works published about that subject shows that spatial distribution of the heat flux values is highly heterogeneous. Maximum and minimum values of heat flux vary with different authors and method used, but all of them say that East Antarctic is characterized by low heat flux values (45-85 mW m(-2)) with the lowest values found especially in the central part. The values obtained in West Antarctic (65-180 mW m(-2)) and in the Antarctic Peninsula (maximum of 170 mW m(-2)). In the work whose data is used high values were obtained in the West Antarctic Rift system (maximum value of 130 mW m(-2)). Some local geothermal anomalies have been reported such as Lake Wilhams (285 mW m(-2)) or Siple Dome (69 mW m(-2)). Elevated heat flux values are obtained in volcanic regions and in regions with relatively recent tectonic activity, in West Antarctic. The east Antarctic is characterized by low values, however the Coastal part of Queen Mary Land, the Lambert Rift and Victoria Land, show higher values, suggesting Cenozoic processes in the region, including volcanism or extension. Ice fusion occurs near the base of the ice sheet. In order to study these fact relations between heat flux, bed, thickness and ice altitude were studied. In regions with bottom of the ice below sea level ice melting of the ice occurs. The amount of ice obtained is under the measured value. The effect of sea water interacting with ice must be considered. Temperature values alterations at the surface may be found in the ice, including alterations due to last glaciations must they are not the cause of ice melting.</t>
  </si>
  <si>
    <t>[Duque, Maria Rosa] Univ Evora, Dept Fis, ECT, Rua Romao Ramalho 59, Evora, Portugal</t>
  </si>
  <si>
    <t>University of Evora</t>
  </si>
  <si>
    <t>Duque, MR (corresponding author), Univ Evora, Dept Fis, ECT, Rua Romao Ramalho 59, Evora, Portugal.</t>
  </si>
  <si>
    <t>mrad@uevora.pt</t>
  </si>
  <si>
    <t>DIRAC HOUSE, TEMPLE BACK, BRISTOL BS1 6BE, ENGLAND</t>
  </si>
  <si>
    <t>1755-1307</t>
  </si>
  <si>
    <t>IOP C SER EARTH ENV</t>
  </si>
  <si>
    <t>IOP Conf. Ser. Earth Envir. Sci.</t>
  </si>
  <si>
    <t>10.1088/1755-1315/221/1/012060</t>
  </si>
  <si>
    <t>BP6TR</t>
  </si>
  <si>
    <t>WOS:000560708000060</t>
  </si>
  <si>
    <t>Bhattacharya, A</t>
  </si>
  <si>
    <t>Bhattacharya, A.</t>
  </si>
  <si>
    <t>Effect of High Temperature on Carbohydrate Metabolism in Plants</t>
  </si>
  <si>
    <t>EFFECT OF HIGH TEMPERATURE ON CROP PRODUCTIVITY AND METABOLISM OF MACRO MOLECULES</t>
  </si>
  <si>
    <t>SUCROSE-PHOSPHATE SYNTHASE; HEAT-STRESS TOLERANCE; PHOTOSYNTHETIC ELECTRON-TRANSPORT; INDUCED OXIDATIVE STRESS; CARBON-DIOXIDE EXCHANGE; INDUCED TREE MORTALITY; ATMOSPHERIC CO2 CONCENTRATION; CREEPING BENTGRASS CULTIVARS; ALTERNATIVE OXIDASE PROTEIN; ANTARCTIC VASCULAR PLANTS</t>
  </si>
  <si>
    <t>[Bhattacharya, A.] Indian Inst Pulses Res, Dept Plant Physiol, Kanpur, Uttar Pradesh, India</t>
  </si>
  <si>
    <t>Indian Council of Agricultural Research (ICAR); ICAR - Indian Institute of Pulses Research</t>
  </si>
  <si>
    <t>Bhattacharya, A (corresponding author), Indian Inst Pulses Res, Dept Plant Physiol, Kanpur, Uttar Pradesh, India.</t>
  </si>
  <si>
    <t>ACADEMIC PRESS LTD-ELSEVIER SCIENCE LTD</t>
  </si>
  <si>
    <t>125 LONDON WALL, LONDON EC2Y 5AS, ENGLAND</t>
  </si>
  <si>
    <t>978-0-12-817605-4; 978-0-12-817562-0</t>
  </si>
  <si>
    <t>10.1016/B978-0-12-817562-0.00002-1</t>
  </si>
  <si>
    <t>10.1016/C2018-0-02297-5</t>
  </si>
  <si>
    <t>Agronomy; Plant Sciences</t>
  </si>
  <si>
    <t>Agriculture; Plant Sciences</t>
  </si>
  <si>
    <t>BP6IQ</t>
  </si>
  <si>
    <t>WOS:000559759900003</t>
  </si>
  <si>
    <t>Cheng, XY; Föhst, S; Redenbach, C; Schladitz, K</t>
  </si>
  <si>
    <t>Burgeth, B; Kleefeld, A; Naegel, B; Passat, N; Perret, B</t>
  </si>
  <si>
    <t>Cheng, Xiaoyin; Foehst, Sonja; Redenbach, Claudia; Schladitz, Katja</t>
  </si>
  <si>
    <t>Detecting Branching Nodes of Multiply Connected 3D Structures</t>
  </si>
  <si>
    <t>MATHEMATICAL MORPHOLOGY AND ITS APPLICATIONS TO SIGNAL AND IMAGE PROCESSING, ISMM 2019</t>
  </si>
  <si>
    <t>Lecture Notes in Computer Science</t>
  </si>
  <si>
    <t>14th International Symposium on Mathematical Morphology (ISMM)</t>
  </si>
  <si>
    <t>JUL 08-10, 2019</t>
  </si>
  <si>
    <t>Saarbrucken, GERMANY</t>
  </si>
  <si>
    <t>Topology preserving skeletonization; Spherical granulometry; Maximal inscribed spheres; Branch counting; Connectivity analysis</t>
  </si>
  <si>
    <t>MEDIAL AXIS; MODELS; PORE</t>
  </si>
  <si>
    <t>In order to detect and analyze branching nodes in 3D images of micro-structures, the topology preserving thinning algorithm of Couprie and Zrour is jointly used with a constraint set derived from the spherical granulometry image. The branching points in the thus derived skeleton are subsequently merged guided by the local structure thickness as provided by the spherical granulometry. This enables correct merging of nodes and thus a correct calculation of the nodes' valences. The algorithm is validated using two synthetic foam structures with known vertices and valences. Subsequently, the algorithm is applied to micro-computed tomography data of a rigid aluminium foam where the valence is known, to the pore space of polar firn samples, and to corrosion casts of mice livers.</t>
  </si>
  <si>
    <t>[Cheng, Xiaoyin; Foehst, Sonja; Schladitz, Katja] Fraunhofer Inst Techno &amp; Wirtschaftsmath, Kaiserslautern, Germany; [Foehst, Sonja; Redenbach, Claudia] Tech Univ Kaiserslautern, Kaiserslautern, Germany</t>
  </si>
  <si>
    <t>Fraunhofer Gesellschaft; University of Kaiserslautern</t>
  </si>
  <si>
    <t>Cheng, XY (corresponding author), Fraunhofer Inst Techno &amp; Wirtschaftsmath, Kaiserslautern, Germany.</t>
  </si>
  <si>
    <t>xiaoyin.cheng@itwm.fraunhofer.de</t>
  </si>
  <si>
    <t>Redenbach, Claudia/0000-0002-8030-069X; Schladitz, Katja/0000-0003-4903-3180</t>
  </si>
  <si>
    <t>Fraunhofer High Performance Center for Simulation-and Software-Based Innovation; Deutsche Forschungsgemeinschaft (DFG) [RE 3002/3-1]; German Federal Ministry of Education and Research (BMBF) [05M16UKA]</t>
  </si>
  <si>
    <t>Fraunhofer High Performance Center for Simulation-and Software-Based Innovation; Deutsche Forschungsgemeinschaft (DFG)(German Research Foundation (DFG)); German Federal Ministry of Education and Research (BMBF)(Federal Ministry of Education &amp; Research (BMBF))</t>
  </si>
  <si>
    <t>We thank Andr ' e Liebscher for providing the foam data, Johannes Freitag and Tetsuro Taranczewski for the firn data, and Maximilian Ackermann and Willi Wagner for the mice liver data. This work was supported by the Fraunhofer High Performance Center for Simulation-and Software-Based Innovation, by the Deutsche Forschungsgemeinschaft (DFG) in the framework of the priority programme Antarctic Research with comparative investigations in Arctic ice areas, grant RE 3002/3-1, and by the German Federal Ministry of Education and Research (BMBF), grant 05M16UKA (AMSCHA).</t>
  </si>
  <si>
    <t>0302-9743</t>
  </si>
  <si>
    <t>1611-3349</t>
  </si>
  <si>
    <t>978-3-030-20867-7; 978-3-030-20866-0</t>
  </si>
  <si>
    <t>LECT NOTES COMPUT SC</t>
  </si>
  <si>
    <t>10.1007/978-3-030-20867-7_34</t>
  </si>
  <si>
    <t>Computer Science, Artificial Intelligence; Computer Science, Software Engineering; Engineering, Electrical &amp; Electronic; Mathematics, Applied; Imaging Science &amp; Photographic Technology</t>
  </si>
  <si>
    <t>Computer Science; Engineering; Mathematics; Imaging Science &amp; Photographic Technology</t>
  </si>
  <si>
    <t>BP5UQ</t>
  </si>
  <si>
    <t>WOS:000558276600034</t>
  </si>
  <si>
    <t>Mishev, A; Usoskin, I</t>
  </si>
  <si>
    <t>Lagutin, A; Moskalenko, I; Panasyuk, M</t>
  </si>
  <si>
    <t>Mishev, A.; Usoskin, I.</t>
  </si>
  <si>
    <t>Analysis of sub-GLE and GLE events using NM data: space weather applications</t>
  </si>
  <si>
    <t>26TH EXTENDED EUROPEAN COSMIC RAY SYMPOSIUM</t>
  </si>
  <si>
    <t>Journal of Physics Conference Series</t>
  </si>
  <si>
    <t>26th Extended European Cosmic Ray Symposium (E+CRS)</t>
  </si>
  <si>
    <t>JUL 06-10, 2018</t>
  </si>
  <si>
    <t>Altai State Univ, RUSSIA</t>
  </si>
  <si>
    <t>Altai State Univ</t>
  </si>
  <si>
    <t>GROUND-LEVEL ENHANCEMENT; COSMIC-RAYS; DOSE-RATE; MODEL; COMPUTATION; ATMOSPHERE</t>
  </si>
  <si>
    <t>Detailed study of solar energetic particle events is important to understand their acceleration and propagation in the interplanetary space and allows one to model various processes related to space weather and space climate e.g. radiation environment at flight altitudes and atmospheric ionization. A special class of events, called ground level enhancements, registered by ground based detectors, can dramatically change the radiation environment in the Earth's atmosphere. New recently installed high-altitude polar neutron monitors NMs, namely DOMC/B and historically installed South Pole, have made the worldwide neutron monitor network more sensitive to strong solar energetic particle events, registered at ground level. The two high-altitude polar stations are able to detect lower energy events, which most likely would not be registered by the other (near sea level) neutron monitor stations. Here, using the worldwide neutron monitor database (NMDB) records and an optimization procedure combined with simulations, we assess the spectral and angular characteristics of a new class of events sub-GLEs. With the estimated spectral characteristics as an input, we evaluate the effective dose rate in polar and sub-polar regions at typical commercial flight altitude during such events as well as during GLEs.</t>
  </si>
  <si>
    <t>[Mishev, A.; Usoskin, I.] Univ Oulu, Space Climate Res Unit, Oulu, Finland; [Mishev, A.; Usoskin, I.] Univ Oulu, Sodankyla Geophys Observ, Oulu, Finland</t>
  </si>
  <si>
    <t>University of Oulu; University of Oulu</t>
  </si>
  <si>
    <t>Mishev, A (corresponding author), Univ Oulu, Space Climate Res Unit, Oulu, Finland.;Mishev, A (corresponding author), Univ Oulu, Sodankyla Geophys Observ, Oulu, Finland.</t>
  </si>
  <si>
    <t>alexander.mishev@oulu.fi</t>
  </si>
  <si>
    <t>Usoskin, Ilya/E-5089-2014</t>
  </si>
  <si>
    <t>Usoskin, Ilya/0000-0001-8227-9081</t>
  </si>
  <si>
    <t>Academy of Finland (Center of Excellence ReSoLVE) [272157]; French-Italian Concordia Station (IPEV program) [903]; French-Italian Concordia Station (PNRA Project) [LTCPAA PNRA14 00091]; project CRIPA [304435]; project CRIPA-X [304435]; Finnish Antarctic Research Program (FINNARP); Academy of Finland [267186]; Academy of Finland (AKA) [267186] Funding Source: Academy of Finland (AKA)</t>
  </si>
  <si>
    <t>Academy of Finland (Center of Excellence ReSoLVE); French-Italian Concordia Station (IPEV program); French-Italian Concordia Station (PNRA Project); project CRIPA; project CRIPA-X; Finnish Antarctic Research Program (FINNARP); Academy of Finland(Research Council of Finland); Academy of Finland (AKA)</t>
  </si>
  <si>
    <t>This work was supported by the Academy of Finland (project No. 272157, Center of Excellence ReSoLVE and project No. 267186). The operation of the DOMC/DOMB NM is supported by the French-Italian Concordia Station (IPEV program n903 and PNRA Project LTCPAA PNRA14 00091), projects CRIPA and CRIPA-X No. 304435 and Finnish Antarctic Research Program (FINNARP). We acknowledge NMDB and all of the colleagues and PIs from the neutron monitor stations who kindly provided the data used in this analysis, namely: AATB, APTY, ATHN, BKSN, BRBG, CALG, CAPS, DOMC, DRBS, FSMT, INVK, IRKT, JBGO, JUNG, KERG, KIEL, KGST, LMKS, MCMD, MGDN, MWSN,MXCO, MOSC, NAIN, NWRK, OULU, PWNK, PTFM, ROME, SOPO, TERA, THUL, TXBY.</t>
  </si>
  <si>
    <t>1742-6588</t>
  </si>
  <si>
    <t>1742-6596</t>
  </si>
  <si>
    <t>J PHYS CONF SER</t>
  </si>
  <si>
    <t>10.1088/1742-6596/1181/1/012006</t>
  </si>
  <si>
    <t>Astronomy &amp; Astrophysics; Physics, Multidisciplinary</t>
  </si>
  <si>
    <t>BP5MO</t>
  </si>
  <si>
    <t>WOS:000556332900006</t>
  </si>
  <si>
    <t>Banerjee, S; Mandal, NC</t>
  </si>
  <si>
    <t>Satyanarayana, T; Das, SK; Johri, BN</t>
  </si>
  <si>
    <t>Banerjee, Sandipan; Mandal, Narayan Chandra</t>
  </si>
  <si>
    <t>Diversity of Chitinase-Producing Bacteria and Their Possible Role in Plant Pest Control</t>
  </si>
  <si>
    <t>MICROBIAL DIVERSITY IN ECOSYSTEM SUSTAINABILITY AND BIOTECHNOLOGICAL APPLICATIONS, VOL 2: SOIL &amp; AGROECOSYSTEMS</t>
  </si>
  <si>
    <t>Chitinase; Bacteria; Diversity; Biocontrol; Plant pest</t>
  </si>
  <si>
    <t>SHRIMP SHELL WASTE; AEROMONAS-HYDROPHILA SBK1; CHITINOLYTIC ENZYMES; BIOLOGICAL-CONTROL; ANTIFUNGAL ACTIVITY; STENOTROPHOMONAS-MALTOPHILIA; EXTRACELLULAR CHITINASE; SERRATIA-MARCESCENS; BACILLUS-SUBTILIS; GUT MICROBIOTA</t>
  </si>
  <si>
    <t>In nature, chitin is the second most plentiful and renewable polysaccharide and is present among versatile group of organisms from fungi and nematodes to arthropods and crustaceans. Enzymatic degradation is the preferable environmentally safe mode of bioprocessing of this inert biopolymer. Chitin-scavenging enzyme-producing sources are covering the living groups from prokaryotes to plants, viruses, vertebrates, and even human. Current-day biotechnologies have raised the development of bioprocesses by using microbes especially bacteria. Bacteria that produce chitinases are with varieties of habitats ranging from Antarctic soil to hot spring, crustacean waste site, animal gut, and endophytic ecosystems. Chitin metabolism is a necessary life-supporting goings-on in agronomic plant pests like fungi, insects, and parasitic nematodes which are negatively proportionate to the agricultural production systems. Placement of such potent chitinolytic bacteria for plant fortification against attacking pests is a well-practiced, biotechnologically equipped biocontrol strategy. By-products of chitin by enzymatic hydrolysis, like oligomers or monomers, have several applications in persuading the plant defense systems. Carrying the host-defensive activity to biocontrol potentiality against plant pests, bacteria with chitinolytic property also behaved as a plant growth-promoting biofertilizing employee in modern-day sustainable agricultural practices. In this context, the distribution of chitinase-producing bacteria according to their diversity of habitats is studied, and the less explored habitats can be an arsenal for biocontrolling agents against plant pests.</t>
  </si>
  <si>
    <t>[Banerjee, Sandipan; Mandal, Narayan Chandra] Visva Bharati, Dept Bot, Mycol &amp; Plant Pathol Res Lab, Santini Ketan, W Bengal, India</t>
  </si>
  <si>
    <t>Visva Bharati University</t>
  </si>
  <si>
    <t>Mandal, NC (corresponding author), Visva Bharati, Dept Bot, Mycol &amp; Plant Pathol Res Lab, Santini Ketan, W Bengal, India.</t>
  </si>
  <si>
    <t>Mandal, Narayan Chandra/GOP-0560-2022; BANERJEE, SANDIPAN/A-3289-2019</t>
  </si>
  <si>
    <t>BANERJEE, SANDIPAN/0000-0002-2102-8809</t>
  </si>
  <si>
    <t>SPRINGER-VERLAG SINGAPORE PTE LTD</t>
  </si>
  <si>
    <t>SINGAPORE</t>
  </si>
  <si>
    <t>152 BEACH ROAD, #21-01/04 GATEWAY EAST, SINGAPORE, 189721, SINGAPORE</t>
  </si>
  <si>
    <t>978-981-13-8487-5; 978-981-13-8486-8</t>
  </si>
  <si>
    <t>10.1007/978-981-13-8487-5_18</t>
  </si>
  <si>
    <t>10.1007/978-981-13-8487-5</t>
  </si>
  <si>
    <t>Agronomy; Biotechnology &amp; Applied Microbiology; Microbiology; Soil Science</t>
  </si>
  <si>
    <t>Agriculture; Biotechnology &amp; Applied Microbiology; Microbiology</t>
  </si>
  <si>
    <t>BP5DZ</t>
  </si>
  <si>
    <t>WOS:000555333300019</t>
  </si>
  <si>
    <t>Vance, D; Little, SH</t>
  </si>
  <si>
    <t>Mingos, DMP</t>
  </si>
  <si>
    <t>Vance, Derek; Little, Susan H.</t>
  </si>
  <si>
    <t>The History, Relevance, and Applications of the Periodic System in Geochemistry</t>
  </si>
  <si>
    <t>PERIODIC TABLE I: HISTORICAL DEVELOPMENT AND ESSENTIAL FEATURES</t>
  </si>
  <si>
    <t>Structure and Bonding</t>
  </si>
  <si>
    <t>Review; Book Chapter</t>
  </si>
  <si>
    <t>Element classification; Element discovery; Geochemistry; Periodic law; Periodic table; Radiogenic isotopes; Stable isotopes</t>
  </si>
  <si>
    <t>RARE-EARTH-ELEMENTS; MOLYBDENUM ISOTOPE FRACTIONATION; MASS-DEPENDENT VARIATIONS; ANTARCTIC ICE-SHEET; CONTINENTAL-CRUST; DOUBLE-SPIKE; MANTLE DIFFERENTIATION; STABLE-ISOTOPES; SOUTHERN-OCEAN; ZINC</t>
  </si>
  <si>
    <t>Geochemistry is a discipline in the earth sciences concerned with understanding the chemistry of the Earth and what that chemistry tells us about the processes that control the formation and evolution of Earth materials and the planet itself. The periodic table and the periodic system, as developed by Mendeleev and others in the nineteenth century, are as important in geochemistry as in other areas of chemistry. In fact, systemisation of the myriad of observations that geochemists make is perhaps even more important in this branch of chemistry, given the huge variability in the nature of Earth materials - from the Fe-rich core, through the silicate-dominated mantle and crust, to the volatile-rich ocean and atmosphere. This systemisation started in the eighteenth century, when geochemistry did not yet exist as a separate pursuit in itself. Mineralogy, one of the disciplines that eventually became geochemistry, was central to the discovery of the elements, and nineteenth-century mineralogists played a key role in this endeavour. Early geochemists continued this systemisation effort into the twentieth century, particularly highlighted in the career of V.M. Goldschmidt. The focus of the modern discipline of geochemistry has moved well beyond classification, in order to invert the information held in the properties of elements across the periodic table and their distribution across Earth and planetary materials, to learn about the physicochemical processes that shaped the Earth and other planets, on all scales. We illustrate this approach with key examples, those rooted in the patterns inherent in the periodic law as well as those that exploit concepts that only became familiar after Mendeleev, such as stable and radiogenic isotopes.</t>
  </si>
  <si>
    <t>[Vance, Derek] Swiss Fed Inst Technol, Inst Geochem &amp; Petrol, Dept Earth Sci, Zurich, Switzerland; [Little, Susan H.] Imperial Coll London, Dept Earth Sci &amp; Engn, London, England; [Little, Susan H.] UCL, Dept Earth Sci, London, England</t>
  </si>
  <si>
    <t>Swiss Federal Institutes of Technology Domain; ETH Zurich; Imperial College London; University of London; University College London</t>
  </si>
  <si>
    <t>Vance, D (corresponding author), Swiss Fed Inst Technol, Inst Geochem &amp; Petrol, Dept Earth Sci, Zurich, Switzerland.</t>
  </si>
  <si>
    <t>derek.vance@erdw.ethz.ch</t>
  </si>
  <si>
    <t>Little, Susan/0000-0002-9957-2636</t>
  </si>
  <si>
    <t>0081-5993</t>
  </si>
  <si>
    <t>1616-8550</t>
  </si>
  <si>
    <t>978-3-030-40025-5; 978-3-030-40024-8</t>
  </si>
  <si>
    <t>STRUCT BOND</t>
  </si>
  <si>
    <t>Struct. Bond.</t>
  </si>
  <si>
    <t>10.1007/430_2019_44</t>
  </si>
  <si>
    <t>10.1007/978-3-030-40025-5</t>
  </si>
  <si>
    <t>Chemistry, Inorganic &amp; Nuclear; Chemistry, Physical</t>
  </si>
  <si>
    <t>Book Citation Index – Science (BKCI-S); Science Citation Index Expanded (SCI-EXPANDED)</t>
  </si>
  <si>
    <t>BP4WJ</t>
  </si>
  <si>
    <t>WOS:000554828400005</t>
  </si>
  <si>
    <t>Ivanets, OB; Kosheva, LO</t>
  </si>
  <si>
    <t>Shulika, OV; Maslov, VA</t>
  </si>
  <si>
    <t>Ivanets, O. B.; Kosheva, L. O.</t>
  </si>
  <si>
    <t>Approach to the evaluation of the functional state of the human body taking into account the variability of medical and biological indicators</t>
  </si>
  <si>
    <t>2019 IEEE 8TH INTERNATIONAL CONFERENCE ON ADVANCED OPTOELECTRONICS AND LASERS (CAOL)</t>
  </si>
  <si>
    <t>International Conference on Advanced Optoelectronics and Lasers</t>
  </si>
  <si>
    <t>8th IEEE Int Conf on Advanced Optoelectron and Lasers (CAOL) / Sci Workshop on Data Sci in Modern Optoelectronics and Laser Engineering (DSMOLE) / 16th Sci Workshop on Measurement Uncertainty - Scientific, Normative, Appl and Methodical Aspects (UM)</t>
  </si>
  <si>
    <t>SEP 06-08, 2019</t>
  </si>
  <si>
    <t>Sozopol, BULGARIA</t>
  </si>
  <si>
    <t>biological object; functional state; homeostasis; integral index; system of organism; decision making; variability; uncertainty</t>
  </si>
  <si>
    <t>The approach to the evaluation of the functional state of the human body as a system with a set of interrelated functional subsystems of the homeostatic type is proposed The approach is considered on the basis of an assessment of the state of the respiratory subsystem, which can be described by a complex of statistically stable medical and biological indicators. Indicators obtained during monitoring of the state of polar explorers of the XXI Antarctic expedition at the station Academician Vernadsky in difficult conditions that can be attributed to the extreme It was established that when forming the rules for making decisions on the suitability of winterers for further staying in the conditions of the action of extreme factors it is necessary to consider not only the values of the indicators of the state of the subsystems of the organism, but also their accuracy parameters. The analysis of the uncertainty of the obtained indicators by the proposed information model is carried out. It is shown that in this case it is necessary to take into account the features of a biological object, which has an individual and group variation.</t>
  </si>
  <si>
    <t>[Ivanets, O. B.; Kosheva, L. O.] Natl Aviat Univ, Dept Biocybernet &amp; Aerosp Med, Kiev, Ukraine</t>
  </si>
  <si>
    <t>Ministry of Education &amp; Science of Ukraine; National Aviation University</t>
  </si>
  <si>
    <t>Ivanets, OB (corresponding author), Natl Aviat Univ, Dept Biocybernet &amp; Aerosp Med, Kiev, Ukraine.</t>
  </si>
  <si>
    <t>olchik2104@ukr.net; l.kosh@ukr.net</t>
  </si>
  <si>
    <t>Ivanets, Olga/ABG-5626-2020</t>
  </si>
  <si>
    <t>Ivanets, Olga/0000-0002-0897-4219</t>
  </si>
  <si>
    <t>2160-1518</t>
  </si>
  <si>
    <t>978-1-7281-1814-7</t>
  </si>
  <si>
    <t>INT CONF ADV OPTOEL</t>
  </si>
  <si>
    <t>10.1109/caol46282.2019.9019500</t>
  </si>
  <si>
    <t>Engineering, Electrical &amp; Electronic; Optics; Physics, Applied</t>
  </si>
  <si>
    <t>Engineering; Optics; Physics</t>
  </si>
  <si>
    <t>BP4BT</t>
  </si>
  <si>
    <t>WOS:000550774400150</t>
  </si>
  <si>
    <t>Vyacheslav, K; Olena, B; Karyna, B</t>
  </si>
  <si>
    <t>Vyacheslav, Kuzovyk; Olena, Bulygina; Karyna, Bezvershniuk</t>
  </si>
  <si>
    <t>Establishment of reference intervals blood parameters wintering operators based measurement uncertainty</t>
  </si>
  <si>
    <t>uncertainty; blood parameters; winterers; extreme conditions; reference interval</t>
  </si>
  <si>
    <t>The research of the psychophysiological state of winterers of the Antarctic station Academician Vernadsky was carried out in order to establish the feasibility of their subsequent stay at the station and fulfill their service tasks. Short-term stay of polar explorers under difficult conditions causes stressful effects and nonspecific adaptive reactions. Their organisms must adapt to the exposure of various extreme factors and, in the first turn, natural ones. Considering that hematopoiesis is an important mechanism on which the ultimate adaptive result depends, a study of blood parameters was performed. It has been found that there are some changes in certain blood parameters that are not relevant with the reference norms for the studied polar groups. In this connection, there is a problem in adjusting the reference intervals for them. In order to determine the reference intervals, it is necessary to take into account the uncertainty of their establishment, having previously analyzed the sources of uncertainty.</t>
  </si>
  <si>
    <t>[Vyacheslav, Kuzovyk; Olena, Bulygina; Karyna, Bezvershniuk] Natl Aviat Univ, Dept Biocybemet &amp; Aerosp Med, Kiev, Ukraine</t>
  </si>
  <si>
    <t>Vyacheslav, K (corresponding author), Natl Aviat Univ, Dept Biocybemet &amp; Aerosp Med, Kiev, Ukraine.</t>
  </si>
  <si>
    <t>kyzovyk@nau.edu.ua; bulygina@nau.edu.ua; bezvershniuk@nau.edu.ua</t>
  </si>
  <si>
    <t>Karyna, Bezvershniuk/0000-0002-7811-8768</t>
  </si>
  <si>
    <t>10.1109/caol46282.2019.9019580</t>
  </si>
  <si>
    <t>WOS:000550774400166</t>
  </si>
  <si>
    <t>Papa, M; Mattioli, V; Avbelj, J; Marzano, FS</t>
  </si>
  <si>
    <t>Papa, Mario; Mattioli, Vinia; Avbelj, Janja; Marzano, Frank Silvio</t>
  </si>
  <si>
    <t>Geocalibrating Millimeter-wave Spaceborne Radiometers for Global-scale Cloud Retrieval</t>
  </si>
  <si>
    <t>2019 PHOTONICS &amp; ELECTROMAGNETICS RESEARCH SYMPOSIUM - SPRING (PIERS-SPRING)</t>
  </si>
  <si>
    <t>PhotonIcs and Electromagnetics Research Symposium - Spring (PIERS-Spring)</t>
  </si>
  <si>
    <t>JUN 17-20, 2019</t>
  </si>
  <si>
    <t>Rome, ITALY</t>
  </si>
  <si>
    <t>GEOLOCATION</t>
  </si>
  <si>
    <t>The planned EUMETSAT Polar System-Second Generation (EPS-SG) Ice Cloud Imager (ICI) radiometer will provide quantitative estimates of ice clouds and snowfall from space. ICI has 11 channels in the millimeter and sub-millimeter wave range (from 183 up to 664 GHz). These wavelengths allow to detect ice clouds, whereas the emission signal from the surface is predominantly masked by high water vapor opacity. The latter is a problem for the geolocation assessment because current methods, comparing coastlines in imagery data with the known geographic locations, are not readily applicable to ICI channels. However, in very dry atmospheric conditions the geolocation validation technique could be still based on the observations at 183.3 +/- 7 GHz. This work proposes to evaluate geolocation error over the two biggest ice shelves (Ross and Filchner-Ronne) in the Antarctic region as surface natural targets, using as a coastline reference, data derived from Sentinel-1 synthetic aperture radar (SAR) imagery.</t>
  </si>
  <si>
    <t>[Papa, Mario; Marzano, Frank Silvio] Sapienza Univ Roma, Dipartimento Informaz Elettron &amp; Telecomunicaz, Rome, Italy; [Mattioli, Vinia; Avbelj, Janja] European Org Exploitat Meteorol Satellites EUMETS, Darmstadt, Germany; [Papa, Mario; Marzano, Frank Silvio] Univ Aquila, Ctr Eccellenza CETEMPS, Laquila, Italy</t>
  </si>
  <si>
    <t>Sapienza University Rome; European Organisation for the Exploitation of Meteorological Satellites; University of L'Aquila</t>
  </si>
  <si>
    <t>Papa, M (corresponding author), Sapienza Univ Roma, Dipartimento Informaz Elettron &amp; Telecomunicaz, Rome, Italy.;Papa, M (corresponding author), Univ Aquila, Ctr Eccellenza CETEMPS, Laquila, Italy.</t>
  </si>
  <si>
    <t>Marzano, Frank S/X-9052-2018</t>
  </si>
  <si>
    <t>Marzano, Frank S/0000-0002-5873-204X; PAPA, Mario/0000-0002-9135-2452</t>
  </si>
  <si>
    <t>978-1-7281-3403-1</t>
  </si>
  <si>
    <t>10.1109/piers-spring46901.2019.9017272</t>
  </si>
  <si>
    <t>BP4BS</t>
  </si>
  <si>
    <t>WOS:000550769302034</t>
  </si>
  <si>
    <t>Zhivotovskaya, MA; Zabolotskikh, EV; Chapron, B</t>
  </si>
  <si>
    <t>Zhivotovskaya, M. A.; Zabolotskikh, E., V; Chapron, B.</t>
  </si>
  <si>
    <t>Performance of Operational AMSR2 Based Sea Ice Concentration Retrieval Algorithms under Extreme Weather Conditions</t>
  </si>
  <si>
    <t>SATELLITE PASSIVE MICROWAVE</t>
  </si>
  <si>
    <t>Satellite products on sea ice concentration (SIC), based on the measurements of the Advanced Microwave Scanning Radiometer 2 (AMSR2), are analyzed in the extreme weather events of Polar Lows (PLs) and Extratropical Cyclones (ECs) in the Arctic, associated with high values of total atmospheric water vapor content (WVC), total cloud liquid water content (CLW) and sea surface wind speed (SWS). The database of PLs and ECs in the Arctic is created for the period of 2015-2018. For this database optical and radar images as well as the sea ice maps from the Norwegian Meteorological Institution and the Arctic and Antarctic Research Institution are collected as ground truth data for SIC in the considered extreme weather events. The two SIC products - a daily averaged one (Level 3), provided by the University of Bremen and produced with an ARTIST Sea Ice algorithm (ASI), and the SIC product of original temporal resolution (Level 2), produced with a Bootstrap algorithm, provided by the Japan Aerospace Exploration Agency (JAXA), - are searched for the areas of spurious sea ice concentrations (SSIC) in the regions of open water, confirmed by collected ground-truth data. The values of WVC, CLW and SWS are calculated from the AMSR2 data with advanced retrieval methods. Their influence on the SSIC appearance is investigated for both SIC products. It is found that SSIC appears in the product of the University of Bremen mostly due to the atmospheric water whereas in the product of the JAXA - mostly due to high winds. The largest number of SSIC events is observed in the regions of most frequent ECs and PLs. The areas of spuriously detected sea ice in the product of JAXA are much lower in summer, but almost the same in winter as compared with those in the product of the University of Bremen.</t>
  </si>
  <si>
    <t>[Zhivotovskaya, M. A.; Zabolotskikh, E., V; Chapron, B.] Russian State Hydrometeorol Univ, Satellite Oceanog Lab, St Petersburg, Russia; [Chapron, B.] IFREMER, Dept Oceanog &amp; Ecosyst Dynam, Brest, France</t>
  </si>
  <si>
    <t>Russian State Hydrometeorological University; Ifremer</t>
  </si>
  <si>
    <t>Zhivotovskaya, MA (corresponding author), Russian State Hydrometeorol Univ, Satellite Oceanog Lab, St Petersburg, Russia.</t>
  </si>
  <si>
    <t>Chapron, Bertrand/O-6527-2015</t>
  </si>
  <si>
    <t>chapron, bertrand/0000-0001-6088-8775</t>
  </si>
  <si>
    <t>Russian Science Foundation [17-77-30019]; Russian Science Foundation [17-77-30019] Funding Source: Russian Science Foundation</t>
  </si>
  <si>
    <t>The work under this project is supported by the Russian Science Foundation through the Project #17-77-30019.</t>
  </si>
  <si>
    <t>10.1109/piers-spring46901.2019.9017330</t>
  </si>
  <si>
    <t>WOS:000550769303154</t>
  </si>
  <si>
    <t>Papadopoulos, K</t>
  </si>
  <si>
    <t>Papadopoulos, Konstantinos</t>
  </si>
  <si>
    <t>Single Domain Nanoparticle Transmitters</t>
  </si>
  <si>
    <t>PROCEEDINGS OF THE 2019 INTERNATIONAL CONFERENCE ON ELECTROMAGNETICS IN ADVANCED APPLICATIONS (ICEAA)</t>
  </si>
  <si>
    <t>21st International Conference on Electromagnetics in Advanced Applications (ICEAA)</t>
  </si>
  <si>
    <t>SEP 09-13, 2019</t>
  </si>
  <si>
    <t>Granada, SPAIN</t>
  </si>
  <si>
    <t>space-based ELF transmitters; ion cyclotron waves; radiation belts; active experiments</t>
  </si>
  <si>
    <t>LOOP ANTENNA; WAVES</t>
  </si>
  <si>
    <t>Recent magnetospheric missions have revolutionized our understanding of Relativistic Electron (RE) Radiation Belt (RB) precipitation. The old concepts were based on stationary wave-particle interactions with broadband whistler hiss. The models relied on stationary marginal stability theory and quasilinear analysis with the loss resembling quasi-static drizzle. The new missions revealed the dominant role of non-linear, dynamic Triggered Emissions (TE) especiall the omnipresent L-mode Electromagnetic Ion Cyclotron (EMIC) waves driving microbursts that precipitate more than 10(26) RE/day. In addition to the presence of anisotropic particle distributions a necessary requirement for TE is a threshold amplitude of the triggering wave. The triggering wave can be monochromatic or broadband while the triggered wave is amplified by several tens of dB, has a rising frequency and is composed by a number of subpackets. A resonant interaction between the triggered wave and RE is repeated many times during the triggering period while a substantial number of RE is precipitated through nonlinear wave trapping by the rising-tone emission. While under natural conditions the triggering wave is driven by anisotropic instability of energetic particles, Artificially Stimulated Emissions (ASE) have been observed only in the whistler mode when a VLF wave was injected in the magnetosphere from ground-based facilities such as the Siple station in the Antarctic and the HAARP facility in Alaska. While serious and sophisticated theories supported by simulations have been developed, there lack of cause and effect verification of the physics underlying ASE in the EMIC mode in both space and laboratory. In this paper we argue that new artificial magnetic materials allow for the first-time space-based injection of EMIC waves from small satellites with amplitude in excess of the theoretical threshold for triggering ASE. Theoretical analysis supported by observations and computer modeling indicates that a threshold amplitude of approximately 1 nT is required for EMIC triggering in the RBs and the vicinity of the ring current. Given the fact that at EMIC frequencies close to .8-.9 of the proton gyrofrequency fcp the injection cone is of the order or less than 1 degrees spanning 10(-4) steradian, injection of 1 W radiated power will result in magnetic field exceeding 1 nT over distances of several hundred km, sufficient to ignite EMIC triggering and precipitation. The radiation resistance of a conventional magnetic loop with radius 15 meter in the RB plasma at a frequency .8 f(pc) is of the order 10(-4) Ohm requiring 100 A current to radiate 1 Watt with efficiency less than 10(-4). The new transmitter concept is based on Single Domain Magnetic Nanoparticles (SDMN) and referred here as Magnetic Nano-Transmitter (MNT). SDMNs are small (10-20 nm radius), single domain, non-interacting magnetic grains with uniaxial magnetic anisotropy, dispersed in liquid or solid non-conducting matrix. They can be described as ensembles of non-interacting magnetic moments that when driven by an AC magnetic field, behave in manner similar to ordinary paramagnets, with exception that SDMNs are composed by many thousands of magnetic atoms and as a result have susceptibilities comparable to ferromagnets but with very low coercivity and almost no hysteresis loss. Depending on the size and matrix viscosity they can have response time smaller than microsec. It will be shown that an assembly of 50-50 Co-Fe SMDN diluted to 10 % in epoxy and driven by 1A AC current will produce the required magnetic field amplitude with more than 70% radiation efficiency. Proof of principle laboratory experiments using Ferrite Loop Antenna (FLA) as a substitute for the SDMNs are presented.</t>
  </si>
  <si>
    <t>[Papadopoulos, Konstantinos] Univ Maryland, Dept Phys &amp; Astron, College Pk, MD 20742 USA</t>
  </si>
  <si>
    <t>University System of Maryland; University of Maryland College Park</t>
  </si>
  <si>
    <t>Papadopoulos, K (corresponding author), Univ Maryland, Dept Phys &amp; Astron, College Pk, MD 20742 USA.</t>
  </si>
  <si>
    <t>Dennis.papadopoulos@gmail.com</t>
  </si>
  <si>
    <t>AFOSR MURI Grant [F9550-14-1-0019]</t>
  </si>
  <si>
    <t>AFOSR MURI Grant</t>
  </si>
  <si>
    <t>This work was supported by AFOSR MURI Grant No. F9550-14-1-0019</t>
  </si>
  <si>
    <t>978-1-7281-0563-5</t>
  </si>
  <si>
    <t>10.1109/iceaa.2019.8879361</t>
  </si>
  <si>
    <t>Engineering, Electrical &amp; Electronic</t>
  </si>
  <si>
    <t>BP4FH</t>
  </si>
  <si>
    <t>WOS:000551337100057</t>
  </si>
  <si>
    <t>Herman, K; Saez, P; Fernandez, W; Bravo, L; Sanhueza, C; Gonzalez, L; Montanares, M; Guajardo, S; Reyes, A; Palma, A; Saez, A</t>
  </si>
  <si>
    <t>Herman, Krzysztof; Saez, Patricia; Fernandez, Washington; Bravo, Leon; Sanhueza, Carolina; Gonzalez, Loreto; Montanares, Mauricio; Guajardo, Sebastian; Reyes, Agustin; Palma, Alvaro; Saez, Alonso</t>
  </si>
  <si>
    <t>Distributed Sensor Actuator Network for Antarctic Plants Studies</t>
  </si>
  <si>
    <t>2019 IEEE CHILEAN CONFERENCE ON ELECTRICAL, ELECTRONICS ENGINEERING, INFORMATION AND COMMUNICATION TECHNOLOGIES (CHILECON)</t>
  </si>
  <si>
    <t>IEEE CHILEAN Conference on Electrical, Electronics Engineering, Information and Communication Technologies (CHILECON)</t>
  </si>
  <si>
    <t>OCT 29-31, 2019</t>
  </si>
  <si>
    <t>Valparaiso, CHILE</t>
  </si>
  <si>
    <t>temperature sensor; sensor networks; Antarctic plants; climate change</t>
  </si>
  <si>
    <t>VASCULAR PLANTS; COLOBANTHUS-QUITENSIS; LEAVES</t>
  </si>
  <si>
    <t>This paper describes some problems related to design and implementation of a custom sensor actuator network, which is going be applied in the Antarctic studies. The article draws an extensive biological context, describes the details of a biological experiment to be taken and addresses issues related with the environmental and logistics condition in the Antarctic area. The rest of the article describes the design process under certain constrains that originates form the specific methodology and specific place. The case study terminates with a detailed description of a prototype of a generic scalable sensor actuator network based on CAN protocol and results of temperature and humidity data acquisition using contact and contact less sensors.</t>
  </si>
  <si>
    <t>[Herman, Krzysztof; Fernandez, Washington; Gonzalez, Loreto; Montanares, Mauricio; Guajardo, Sebastian; Reyes, Agustin; Palma, Alvaro; Saez, Alonso] Univ Bio Bio, Concepcion, Chile; [Saez, Patricia; Sanhueza, Carolina] Univ Concepcion, Concepcion, Chile; [Bravo, Leon] Univ Frontier, Temuco, Chile</t>
  </si>
  <si>
    <t>Universidad del Bio-Bio; Universidad de Concepcion</t>
  </si>
  <si>
    <t>Herman, K (corresponding author), Univ Bio Bio, Concepcion, Chile.</t>
  </si>
  <si>
    <t>Guajardo, Sebastian/KHE-1549-2024; Bravo, León/AAO-8437-2020; Sanhueza, Carolina/JQW-9959-2023; Sanhueza, Carolina/AAG-7456-2019</t>
  </si>
  <si>
    <t>Bravo, León/0000-0003-4705-4842; Sanhueza, Carolina/0000-0002-1564-2490; Palma Mora, Alvaro Vicente/0009-0005-4943-607X</t>
  </si>
  <si>
    <t>Chilean Antarctic Institute INACH [RT_18 _18]; University of the Bio Bio innovation grant [INN I+D 19-04]</t>
  </si>
  <si>
    <t>Chilean Antarctic Institute INACH; University of the Bio Bio innovation grant</t>
  </si>
  <si>
    <t>The project was supported by the Chilean Antarctic Institute INACH regular grant No. RT_18 _18 and University of the Bio Bio innovation grant No. INN I+D 19-04.</t>
  </si>
  <si>
    <t>978-1-7281-3185-6</t>
  </si>
  <si>
    <t>10.1109/chilecon47746.2019.8988065</t>
  </si>
  <si>
    <t>Computer Science, Information Systems; Engineering, Electrical &amp; Electronic; Telecommunications</t>
  </si>
  <si>
    <t>Computer Science; Engineering; Telecommunications</t>
  </si>
  <si>
    <t>BP2JG</t>
  </si>
  <si>
    <t>WOS:000542919100168</t>
  </si>
  <si>
    <t>Savas, C; Falco, G; Dovis, F</t>
  </si>
  <si>
    <t>Savas, Caner; Falco, Gianluca; Dovis, Fabio</t>
  </si>
  <si>
    <t>A Comparative Analysis of Polar and Equatorial Scintillation Effects on GPS L1 and L5 Tracking Loops</t>
  </si>
  <si>
    <t>PROCEEDINGS OF THE 2019 INTERNATIONAL TECHNICAL MEETING OF THE INSTITUTE OF NAVIGATION</t>
  </si>
  <si>
    <t>Proceedings of the International Technical Meeting of the Institute of Navigation</t>
  </si>
  <si>
    <t>International Technical Meeting of the Institute-of-Navigation</t>
  </si>
  <si>
    <t>JAN 28-31, 2019</t>
  </si>
  <si>
    <t>Reston, VA</t>
  </si>
  <si>
    <t>This paper addresses a comparative analysis of both amplitude and phase scintillation effects on the carrier tracking stages processing GPS L1 C/A, L5-data and L5-pilot signals. Robust architectures that are optimized to operate in a harsh ionospheric environment are considered. Traditional Phase-Locked Loop (PLL) and Kalman filter based-PLL carrier tracking algorithms have been employed and the performance of the methods have been evaluated and compared in terms of the standard deviation of Doppler estimation, phase error, phase lock indicator (PLI) and phase jitter. The comparison considers different parameter settings of the loop filters, and the performance assessment is done exploiting a fully software GNSS receiver. This study is based on real GNSS signals affected by significant phase and amplitude scintillation effects, collected at the South African Antarctic research base SANAE IV and Brazilian Centro de Radioastronomia e Astrofisica Mackenzie (CRAAM) monitoring station.</t>
  </si>
  <si>
    <t>[Savas, Caner; Dovis, Fabio] Politecn Torino, Turin, Italy; [Falco, Gianluca] LINKS Fdn, Turin, Italy</t>
  </si>
  <si>
    <t>Savas, C (corresponding author), Politecn Torino, Turin, Italy.</t>
  </si>
  <si>
    <t>SAVAS, Caner/AAJ-7383-2021; Dovis, Fabio/F-3843-2012</t>
  </si>
  <si>
    <t>SAVAS, Caner/0000-0001-7626-9899; Dovis, Fabio/0000-0001-6078-9099; FALCO, GIANLUCA/0000-0002-3370-7091</t>
  </si>
  <si>
    <t>2330-3646</t>
  </si>
  <si>
    <t>2330-3662</t>
  </si>
  <si>
    <t>978-0-936406-21-3</t>
  </si>
  <si>
    <t>P INT TECH M I NAVIG</t>
  </si>
  <si>
    <t>10.33012/2019.16677</t>
  </si>
  <si>
    <t>BP2JI</t>
  </si>
  <si>
    <t>WOS:000542920400048</t>
  </si>
  <si>
    <t>Borisanova, AO</t>
  </si>
  <si>
    <t>SchmidtRhaesa, A</t>
  </si>
  <si>
    <t>Borisanova, Anastasia O.</t>
  </si>
  <si>
    <t>Entoprocta (Kamptozoa)</t>
  </si>
  <si>
    <t>MISCELLANEOUS INVERTEBRATES</t>
  </si>
  <si>
    <t>Handbook of Zoology</t>
  </si>
  <si>
    <t>BARENTSIA-DISCRETA BUSK; SP-NOV KAMPTOZOA; LOXOSOMATIDAE ENTOPROCTA; LOXOSOMELLA ENTOPROCTA; PHYLOGENETIC POSITION; RYUKYU ARCHIPELAGO; ANTARCTIC ENTOPROCTA; SOLITARY ENTOPROCT; FINE-STRUCTURE; LARVA</t>
  </si>
  <si>
    <t>[Borisanova, Anastasia O.] Moscow MV Lomonosov State Univ, Fac Biol, Dept Invertebrates Zool, 1-12 Leninskie Gory, Moscow 119991, Russia</t>
  </si>
  <si>
    <t>Lomonosov Moscow State University</t>
  </si>
  <si>
    <t>Borisanova, AO (corresponding author), Moscow MV Lomonosov State Univ, Fac Biol, Dept Invertebrates Zool, 1-12 Leninskie Gory, Moscow 119991, Russia.</t>
  </si>
  <si>
    <t>borisanovaao@mail.ru</t>
  </si>
  <si>
    <t>Borisanova, Anastasia/AAG-4427-2020</t>
  </si>
  <si>
    <t>WALTER DE GRUYTER GMBH</t>
  </si>
  <si>
    <t>GENTHINER STRASSE 13, D-10785 BERLIN, GERMANY</t>
  </si>
  <si>
    <t>2193-4231</t>
  </si>
  <si>
    <t>978-3-11-048927-9; 978-3-11-048833-3</t>
  </si>
  <si>
    <t>HBK ZOOL</t>
  </si>
  <si>
    <t>10.1515/9783110489279-006</t>
  </si>
  <si>
    <t>10.1515/9783110489279</t>
  </si>
  <si>
    <t>BP2OS</t>
  </si>
  <si>
    <t>WOS:000544036800007</t>
  </si>
  <si>
    <t>Krummel, PB; Klekociuk, AR; Tully, MB; Gies, HP; Alexander, SP; Fraser, PJ; Henderson, SI; Schofield, R; Shanklin, JD; Stone, KA</t>
  </si>
  <si>
    <t>Krummel, Paul B.; Klekociuk, Andrew R.; Tully, Matthew B.; Gies, H. Peter; Alexander, Simon P.; Fraser, Paul J.; Henderson, Stuart, I; Schofield, Robyn; Shanklin, Jonathan D.; Stone, Kane A.</t>
  </si>
  <si>
    <t>The Antarctic ozone hole during 2014</t>
  </si>
  <si>
    <t>JOURNAL OF SOUTHERN HEMISPHERE EARTH SYSTEMS SCIENCE</t>
  </si>
  <si>
    <t>POLAR VORTEX; SOUTHERN; PINATUBO</t>
  </si>
  <si>
    <t>We review the 2014 Antarctic ozone hole, making use of a variety of ground-based and space-based measurements of ozone and ultra-violet radiation, supplemented by meteorological reanalyses. Although the polar vortex was relatively stable in 2014 and persisted some weeks longer into November than was the case in 2012 or 2013, the vortex temperature was close to the long-term mean in September and October with modest warming events occurring in both months, preventing severe depletion from taking place. Of the seven metrics reported here, all were close to their respective median values of the 1979 2014 record, being ranked between 16th and 21st of the 35 years for which adequate satellite observations exist.</t>
  </si>
  <si>
    <t>[Krummel, Paul B.; Fraser, Paul J.] CSIRO Oceans &amp; Atmosphere, Climate Sci Ctr, Private Bag 1, Aspendale, Vic 3195, Australia; [Klekociuk, Andrew R.; Alexander, Simon P.] Australian Antarctic Div, Antarctica &amp; Global Syst, Kingston, ACT, Australia; [Klekociuk, Andrew R.; Alexander, Simon P.] Antarctic Climate &amp; Ecosyst Cooperat Res Ctr, Hobart, Tas, Australia; [Tully, Matthew B.] Bur Meteorol, Melbourne, Vic, Australia; [Gies, H. Peter; Henderson, Stuart, I] Australian Radiat Protect &amp; Nucl Safety Agcy, Melbourne, Vic, Australia; [Schofield, Robyn; Stone, Kane A.] Univ Melbourne, Sch Earth Sci, Melbourne, Vic, Australia; [Schofield, Robyn; Stone, Kane A.] Univ New South Wales, ARC Ctr Excellence Climate Syst Sci, Sydney, NSW, Australia; [Shanklin, Jonathan D.] British Antarctic Survey, Cambridge, England</t>
  </si>
  <si>
    <t>Commonwealth Scientific &amp; Industrial Research Organisation (CSIRO); Australian Antarctic Division; Antarctic Climate &amp; Ecosystems Cooperative Research Centre (ACE CRC); Bureau of Meteorology - Australia; University of Melbourne; Melbourne Bioinformatics; University of New South Wales Sydney; ARC Centre of Excellence for Climate System Science; UK Research &amp; Innovation (UKRI); Natural Environment Research Council (NERC); NERC British Antarctic Survey</t>
  </si>
  <si>
    <t>Krummel, PB (corresponding author), CSIRO Oceans &amp; Atmosphere, Climate Sci Ctr, Private Bag 1, Aspendale, Vic 3195, Australia.</t>
  </si>
  <si>
    <t>Paul.Krummel@csiro.au</t>
  </si>
  <si>
    <t>Krummel, Paul B/A-4293-2013; Schofield, Robyn/A-4062-2010; Klekociuk, Andrew R/A-4498-2015; Tully, Matthew/AAG-1730-2020; Fraser, Paul J. B./D-1755-2012</t>
  </si>
  <si>
    <t>Krummel, Paul B/0000-0002-4884-3678; Schofield, Robyn/0000-0002-4230-717X; Tully, Matthew/0000-0002-6153-5610; Henderson, Stuart/0000-0002-9147-5727; Alexander, Simon/0000-0001-6823-8857</t>
  </si>
  <si>
    <t>Australian Department of Environment and Energy; Canadian Space Agency; Australian Antarctic Science programme [4012, 4293]; CSIRO; NASA Goddard Space Flight Center, Atmospheric Chemistry &amp; Dynamics Branch [613.3]; Bureau of Meteorology</t>
  </si>
  <si>
    <t>Australian Department of Environment and Energy; Canadian Space Agency(Canadian Space Agency); Australian Antarctic Science programme; CSIRO(Commonwealth Scientific &amp; Industrial Research Organisation (CSIRO)); NASA Goddard Space Flight Center, Atmospheric Chemistry &amp; Dynamics Branch; Bureau of Meteorology(Bureau of Meteorology - Australia)</t>
  </si>
  <si>
    <t>We acknowledge the Australian Department of Environment and Energy for support of this work, and the assistance of the following people: Jeff Ayton and the AAD's Antarctic Medical Practitioners in collecting the solar UV data, BoM observers for collecting upper air measurements and for expeditioners of the British Antarctic Survey for collecting the Halley measurements. Odin is currently a third-party mission for the European Space Agency. OSIRIS operations and data retrievals are primarily supported by the Canadian Space Agency. The TOMS, OMI and OMPS data used in this study are provided by the NASA Goddard Space Flight Center, Atmospheric Chemistry &amp; Dynamics Branch, Code 613.3. Aura MLS data used in this study were acquired as part of the NASA's Earth-Sun System Division and archived and distributed by the Goddard Earth Sciences (GES) Data and Information Services Center (DISC) Distributed Active Archive Center (DAAC). MERRA datawere acquired fromthe GES DISC. UKMO data were obtained from the British Atmospheric Data Centre (http://badc.nerc.ac.uk, accessed 30 April 2020). NCEP Reanalysis-2 data were obtained from the National Oceanic and Atmospheric Administration Earth System Research laboratory, Physical Sciences Division. Part of this work was performed under Projects 4012 and 4293 of the Australian Antarctic Science programme. EESC data are derived from ODS observations at Cape Grim, Tasmania - we acknowledge the Cape Grimstaff and funding from CSIRO and the YBureau of Meteorology in support of these measurements.</t>
  </si>
  <si>
    <t>CSIRO PUBLISHING</t>
  </si>
  <si>
    <t>CLAYTON</t>
  </si>
  <si>
    <t>UNIPARK, BLDG 1, LEVEL 1, 195 WELLINGTON RD, LOCKED BAG 10, CLAYTON, VIC 3168, AUSTRALIA</t>
  </si>
  <si>
    <t>2206-5865</t>
  </si>
  <si>
    <t>J SO HEMISPH EARTH</t>
  </si>
  <si>
    <t>J. South Hemisph. Earth Syst. Sci.</t>
  </si>
  <si>
    <t>10.1071/US19023</t>
  </si>
  <si>
    <t>MA2VD</t>
  </si>
  <si>
    <t>WOS:000541775000002</t>
  </si>
  <si>
    <t>Tully, MB; Klekociuk, AR; Krummel, PB; Gies, HP; Alexander, SP; Fraser, PJ; Henderson, SI; Schofield, R; Shanklin, JD; Stone, KA</t>
  </si>
  <si>
    <t>Tully, Matthew B.; Klekociuk, Andrew R.; Krummel, Paul B.; Gies, H. Peter; Alexander, Simon P.; Fraser, Paul J.; Henderson, Stuart, I; Schofield, Robyn; Shanklin, Jonathon D.; Stone, Kane A.</t>
  </si>
  <si>
    <t>The Antarctic ozone hole during 2015 and 2016</t>
  </si>
  <si>
    <t>DEPLETION; MODULATION</t>
  </si>
  <si>
    <t>We reviewed the 2015 and 2016 Antarctic ozone holes, making use of a variety of ground-based and space based measurements of ozone and ultraviolet radiation, supplemented by meteorological reanalyses. The ozone hole of 2015 was one of the most severe on record with respect to maximum area and integrated deficit and was notably long-lasting, with many values above previous extremes in October, November and December. In contrast, all assessed metrics for the 2016 ozone hole were at or below their median values for the 37 ozone holes since 1979 for which adequate satellite observations exist. The 2015 ozone hole was influenced both by very cold conditions and enhanced ozone depletion caused by stratospheric aerosol resulting from the April 2015 volcanic eruption of Calbuco (Chile).</t>
  </si>
  <si>
    <t>[Tully, Matthew B.; Fraser, Paul J.] Bur Meteorol, Melbourne, Vic, Australia; [Klekociuk, Andrew R.; Alexander, Simon P.] Australian Antarctic Div, Antarct &amp; Global Syst, 203 Channel Highway, Kingston, Tas 7050, Australia; [Klekociuk, Andrew R.; Alexander, Simon P.] Antarctic Climate &amp; Ecosyst Cooperat Res Ctr, Hobart, Tas, Australia; [Krummel, Paul B.] CSIRO Oceans &amp; Atmosphere, Climate Sci Ctr, Aspendale, Vic, Australia; [Gies, H. Peter; Henderson, Stuart, I] Australian Radiat Protect &amp; Nucl Safety Agcy, Melbourne, Vic, Australia; [Schofield, Robyn] Univ Melbourne, Sch Earth Sci, Melbourne, Vic, Australia; [Schofield, Robyn] Univ New South Wales, ARC Ctr Excellence Climate Syst Sci, Sydney, NSW, Australia; [Shanklin, Jonathon D.] British Antarctic Survey, Cambridge, England; [Stone, Kane A.] MIT, 77 Massachusetts Ave, Cambridge, MA 02139 USA</t>
  </si>
  <si>
    <t>Bureau of Meteorology - Australia; Australian Antarctic Division; Antarctic Climate &amp; Ecosystems Cooperative Research Centre (ACE CRC); Commonwealth Scientific &amp; Industrial Research Organisation (CSIRO); University of Melbourne; Melbourne Bioinformatics; ARC Centre of Excellence for Climate System Science; University of New South Wales Sydney; UK Research &amp; Innovation (UKRI); Natural Environment Research Council (NERC); NERC British Antarctic Survey; Massachusetts Institute of Technology (MIT)</t>
  </si>
  <si>
    <t>Klekociuk, AR (corresponding author), Australian Antarctic Div, Antarct &amp; Global Syst, 203 Channel Highway, Kingston, Tas 7050, Australia.;Klekociuk, AR (corresponding author), Antarctic Climate &amp; Ecosyst Cooperat Res Ctr, Hobart, Tas, Australia.</t>
  </si>
  <si>
    <t>Andrew.Klekociuk@aad.gov.au</t>
  </si>
  <si>
    <t>Tully, Matthew/AAG-1730-2020; Fraser, Paul J. B./D-1755-2012; Krummel, Paul B/A-4293-2013; Schofield, Robyn/A-4062-2010; Klekociuk, Andrew R/A-4498-2015</t>
  </si>
  <si>
    <t>Tully, Matthew/0000-0002-6153-5610; Krummel, Paul B/0000-0002-4884-3678; Schofield, Robyn/0000-0002-4230-717X; Henderson, Stuart/0000-0002-9147-5727; Alexander, Simon/0000-0001-6823-8857</t>
  </si>
  <si>
    <t>Australian Antarctic Science programme [4293]; NASA Goddard Space Flight Center, Atmospheric Chemistry&amp; Dynamics Branch [613.3]; Department of Environment and Energy; NERC [bas010011] Funding Source: UKRI</t>
  </si>
  <si>
    <t>Australian Antarctic Science programme; NASA Goddard Space Flight Center, Atmospheric Chemistry&amp; Dynamics Branch; Department of Environment and Energy; NERC(UK Research &amp; Innovation (UKRI)Natural Environment Research Council (NERC))</t>
  </si>
  <si>
    <t>We acknowledge the Department of Environment and Energy for the support of this work, and the assistance of the following people: Jeff Ayton and the AAD's Antarctic Medical Practitioners in collecting the solarUVdata, BoM observers for collecting upper air measurements and the expeditioners of the British Antarctic Survey for collecting the Halley measurements. The TOMS, OMI and OMPS data used in this study are provided by the NASA Goddard Space Flight Center, Atmospheric Chemistry&amp; Dynamics Branch, Code 613.3. Aura/MLS data used in this study were acquired as part of the NASA's Earth-Sun System Division and archived and distributed by the Goddard Earth Sciences (GES) Data and Information Services Center (DISC) Distributed Active Archive Center (DAAC). UKMO data were obtained from the British Atmospheric Data Centre (http://badc.nerc.ac.uk, accessed 22 April 2020). NCEP Reanalysis-2 data were obtained from the National Oceanic and Atmospheric Administration Earth System Research laboratory, Physical Sciences Division. Part of this work was performed under Project 4293 of the Australian Antarctic Science programme. This research did not receive any specific grant funding.</t>
  </si>
  <si>
    <t>10.1071/ES19021</t>
  </si>
  <si>
    <t>WOS:000541775000003</t>
  </si>
  <si>
    <t>Klekociuk, AR; Tully, MB; Krummel, PB; Evtushevsky, O; Kravchenko, V; Henderson, SI; Alexander, SP; Querel, RR; Nichol, S; Smale, D; Milinevsky, GP; Grytsai, A; Fraser, PJ; Zheng, XD; Gies, HP; Schofield, R; Shanklin, JD</t>
  </si>
  <si>
    <t>Klekociuk, Andrew R.; Tully, Matthew B.; Krummel, Paul B.; Evtushevsky, Oleksandr; Kravchenko, Volodymyr; Henderson, Stuart, I; Alexander, Simon P.; Querel, Richard R.; Nichol, Sylvia; Smale, Dan; Milinevsky, Gennadi P.; Grytsai, Asen; Fraser, Paul J.; Zheng Xiangdong; Gies, H. Peter; Schofield, Robyn; Shanklin, Jonathan D.</t>
  </si>
  <si>
    <t>The Antarctic ozone hole during 2017</t>
  </si>
  <si>
    <t>QUASI-BIENNIAL OSCILLATION; STATIONARY PLANETARY-WAVES; STRATOSPHERE; ASSIMILATION; CLIMATOLOGY; TEMPERATURE; VARIABILITY; MODULATION; DEPLETION; TRENDS</t>
  </si>
  <si>
    <t>We review the 2017 Antarctic ozone hole, making use of various meteorological reanalyses, and in-situ, satellite and ground-based measurements of ozone and related trace gases, and ground-based measurements of ultraviolet radiation. The 2017 ozone hole was associated with relatively high-ozone concentrations over the Antarctic region compared to other years, and our analysis ranked it in the smallest 25 of observed ozone holes in terms of size. The severity of stratospheric ozone loss was comparable with that which occurred in 2002 (when the stratospheric vortex exhibited an unprecedented major warming) and most years prior to 1989 (which were early in the development of the ozone hole). Disturbances to the polar vortex in August and September that were associated with intervals of anomalous planetary wave activity resulted in significant erosion of the polar vortex and the mitigation of the overall level of ozone depletion. The enhanced wave activity was favoured by below-average westerly winds at high southern latitudes during winter, and the prevailing easterly phase of the quasi-biennial oscillation (Q130). Using proxy information on the chemical make-up of the polar vortex based on the analysis of nitrous oxide and the likely influence of the QBO, We suggest that the concentration of inorganic chlorine, which plays a key role in ozone loss, was likely similar to that in 2014 and 2016, when the ozone hole was larger than that in 2017. Finally, we found that the overall severity of Antarctic ozone loss in 2017 was largely dictated by the timing of the disturbances to the polar vortex rather than interannual variability in the level of inorganic chlorine.</t>
  </si>
  <si>
    <t>[Klekociuk, Andrew R.; Alexander, Simon P.] Australian Antarctic Div, Antarctica &amp; Global Syst, 203 Channel Highway, Kingston, Tas 7050, Australia; [Klekociuk, Andrew R.; Alexander, Simon P.] Antarctic Climate &amp; Ecosyst Cooperat Res Ctr, Hobart, Tas, Australia; [Tully, Matthew B.] Bur Meteorol, Melbourne, Vic, Australia; [Krummel, Paul B.; Fraser, Paul J.] CSIRO Oceans &amp; Atmosphere, Climate Sci Ctr, Aspendale, Vic, Australia; [Evtushevsky, Oleksandr; Kravchenko, Volodymyr; Milinevsky, Gennadi P.; Grytsai, Asen] Taras Shevchenko Natl Univ Kyiv, Kiev, Ukraine; [Henderson, Stuart, I; Gies, H. Peter] Australian Radiat Protect &amp; Nucl Safety Agcy, Melbourne, Vic, Australia; [Querel, Richard R.; Smale, Dan] Natl Inst Water &amp; Atmospher Res, Lauder, New Zealand; [Nichol, Sylvia] Natl Inst Water &amp; Atmospher Res, Wellington, New Zealand; [Milinevsky, Gennadi P.] Jilin Univ, Int Ctr Future Sci, Changchun, Peoples R China; [Zheng Xiangdong] Chinese Acad Meteorol Sci, Beijing, Peoples R China; [Schofield, Robyn] Univ Melbourne, Sch Earth Sci, Melbourne, Vic, Australia; [Schofield, Robyn] Univ New South Wales, ARC Ctr Excellence Climate Syst Sci, Sydney, NSW, Australia; [Shanklin, Jonathan D.] British Antarctic Survey, Cambridge, England</t>
  </si>
  <si>
    <t>Australian Antarctic Division; Antarctic Climate &amp; Ecosystems Cooperative Research Centre (ACE CRC); Bureau of Meteorology - Australia; Commonwealth Scientific &amp; Industrial Research Organisation (CSIRO); Ministry of Education &amp; Science of Ukraine; Taras Shevchenko National University of Kyiv; National Institute of Water &amp; Atmospheric Research (NIWA) - New Zealand; National Institute of Water &amp; Atmospheric Research (NIWA) - New Zealand; Jilin University; China Meteorological Administration; Chinese Academy of Meteorological Sciences (CAMS); University of Melbourne; Melbourne Bioinformatics; University of New South Wales Sydney; ARC Centre of Excellence for Climate System Science; UK Research &amp; Innovation (UKRI); Natural Environment Research Council (NERC); NERC British Antarctic Survey</t>
  </si>
  <si>
    <t>Klekociuk, AR (corresponding author), Australian Antarctic Div, Antarctica &amp; Global Syst, 203 Channel Highway, Kingston, Tas 7050, Australia.;Klekociuk, AR (corresponding author), Antarctic Climate &amp; Ecosyst Cooperat Res Ctr, Hobart, Tas, Australia.</t>
  </si>
  <si>
    <t>Milinevsky, Gennadi/AAD-8801-2019; Grytsai, Asen/AAS-7114-2020; Tully, Matthew/AAG-1730-2020; Krummel, Paul B/A-4293-2013; Klekociuk, Andrew R/A-4498-2015; Schofield, Robyn/A-4062-2010; Fraser, Paul J. B./D-1755-2012; Evtushevsky, Oleksandr O.M./F-2065-2017; Querel, Richard/D-3770-2015</t>
  </si>
  <si>
    <t>Milinevsky, Gennadi/0000-0002-2342-2615; Tully, Matthew/0000-0002-6153-5610; Krummel, Paul B/0000-0002-4884-3678; Schofield, Robyn/0000-0002-4230-717X; Evtushevsky, Oleksandr O.M./0000-0003-0582-559X; Grytsai, Asen/0000-0002-2545-9833; Henderson, Stuart/0000-0002-9147-5727; Alexander, Simon/0000-0001-6823-8857; Querel, Richard/0000-0001-8792-2486</t>
  </si>
  <si>
    <t>Department of Environment and Energy of the Australian Government; NIWA through New Zealand's Ministry of Business, Innovation and Employment; NASA Goddard Space Flight Center, Atmospheric Chemistry &amp; Dynamics Branch [613.3]; Australian Antarctic Science program [4293]</t>
  </si>
  <si>
    <t>Department of Environment and Energy of the Australian Government; NIWA through New Zealand's Ministry of Business, Innovation and Employment(New Zealand Ministry of Business, Innovation and Employment (MBIE)); NASA Goddard Space Flight Center, Atmospheric Chemistry &amp; Dynamics Branch; Australian Antarctic Science program</t>
  </si>
  <si>
    <t>We acknowledge the Department of Environment and Energy of the Australian Government for support of this work, and the assistance of the following people: Jeff Ayton and the AAD's Antarctic Medical Practitioners in collecting the solar UV data, BoM staff/observers in collecting surface and upper air measurements at Cape Grim, Macquarie Island and Davis, and Antarctica New Zealand expeditioners in collecting measurements at Arrival Heights. Measurements at Arrival Heights are core-funded byNIWA through New Zealand's Ministry of Business, Innovation and Employment. The TOMS, OMI and OMPS data used in this study are provided by the NASA Goddard Space Flight Center, Atmospheric Chemistry &amp; Dynamics Branch, Code 613.3. Aura/MLS data used in this study were acquired as part of the NASA's Earth-Sun System Division and archived and distributed by the Goddard Earth Sciences (GES) Data and Information Services Center (DISC) Distributed Active Archive Center (DAAC). UKMO reanalysis data were obtained from the British Atmospheric Data Centre (http://badc.nerc.ac.uk, accessed 1 May 2020). NCEP-NCAR reanalysis data were obtained from the National Oceanic and Atmospheric Administration Earth System Research laboratory, Physical Sciences Division. ERA-Interim reanalysis data were obtained from the data portal of the European Centre for Medium-Range Weather Forecasts (https://apps.ecmwf.int/datasets/, accessed 1 May 2020). Davis ozonesonde measurements are available from the World Ozone and Ultraviolet Radiation Data Centre (https://woudc.org, accessed 1 May 2020). Part of this work was performed under Project 4293 of the Australian Antarctic Science program. This research did not receive any specific grant funding.</t>
  </si>
  <si>
    <t>10.1071/US19019</t>
  </si>
  <si>
    <t>WOS:000541775000004</t>
  </si>
  <si>
    <t>Tully, MB; Krummel, PB; Klekociuk, AR</t>
  </si>
  <si>
    <t>Tully, Matthew B.; Krummel, Paul B.; Klekociuk, Andrew R.</t>
  </si>
  <si>
    <t>Trends in Antarctic ozone hole metrics 2001-17</t>
  </si>
  <si>
    <t>STRATOSPHERIC OZONE; RECOVERY; BROMINE; IMPACT; VSLS</t>
  </si>
  <si>
    <t>Linear trends over the years 2001-17 are reported of a number of standard metrics used to describe the severity of the Antarctic ozone hole, both with and without a simple adjustment to account for meteorological variability. The trends were compared to those from the years 1979-2001. All metrics considered showed a trend towards reduced ozone depletion since 2001, at significance levels ranging from 2.4 to 3.9 standard errors of the trend after the adjustment was performed. The adjustment for meteorological variability had little effect on the values of the trends but did substantially reduce the scatter and, therefore, uncertainty of the trends.</t>
  </si>
  <si>
    <t>[Tully, Matthew B.] Bur Meteorol, GPO Box 1289, Melbourne, Vic 3001, Australia; [Krummel, Paul B.] CSIRO Oceans &amp; Atmosphere, Climate Sci Ctr, Aspendale, Vic, Australia; [Klekociuk, Andrew R.] Australian Antarctic Div, Antarctica &amp; Global Syst, Kingston, ACT, Australia; [Klekociuk, Andrew R.] Antarctic Climate &amp; Ecosyst Cooperat Res Ctr, Hobart, Tas, Australia</t>
  </si>
  <si>
    <t>Bureau of Meteorology - Australia; Commonwealth Scientific &amp; Industrial Research Organisation (CSIRO); Australian Antarctic Division; Antarctic Climate &amp; Ecosystems Cooperative Research Centre (ACE CRC)</t>
  </si>
  <si>
    <t>Tully, MB (corresponding author), Bur Meteorol, GPO Box 1289, Melbourne, Vic 3001, Australia.</t>
  </si>
  <si>
    <t>matt.tully@bom.gov.au</t>
  </si>
  <si>
    <t>Krummel, Paul B/A-4293-2013; Tully, Matthew/AAG-1730-2020; Klekociuk, Andrew R/A-4498-2015</t>
  </si>
  <si>
    <t>Krummel, Paul B/0000-0002-4884-3678; Tully, Matthew/0000-0002-6153-5610;</t>
  </si>
  <si>
    <t>Australian Government Department of the Environment and Energy; NASA Goddard Space Flight Center, Atmospheric Chemistry &amp; Dynamics Branch [613.3]</t>
  </si>
  <si>
    <t>Australian Government Department of the Environment and Energy(Australian Government); NASA Goddard Space Flight Center, Atmospheric Chemistry &amp; Dynamics Branch</t>
  </si>
  <si>
    <t>We acknowledge the Australian Government Department of the Environment and Energy for support of this work. The TOMS, OMI and OMPS data used in this study are provided by the NASA Goddard Space Flight Center, Atmospheric Chemistry &amp; Dynamics Branch, Code 613.3. MERRA2 data were obtained from the NASA ozone watch website (https://ozonewatch.gsfc.nasa.gov/, accessed 21 April 2020). This research did not receive any specific grant funding.</t>
  </si>
  <si>
    <t>10.1071/LS19020</t>
  </si>
  <si>
    <t>WOS:000541775000005</t>
  </si>
  <si>
    <t>Evtushevsky, O; Klekociuk, AR; Kravchenko, V; Milinevsky, G; Grytsai, A</t>
  </si>
  <si>
    <t>Evtushevsky, Oleksandr; Klekociuk, Andrew R.; Kravchenko, Volodymyr; Milinevsky, Gennadi; Grytsai, Asen</t>
  </si>
  <si>
    <t>The influence of large amplitude planetary waves on the Antarctic ozone hole of austral spring 2017</t>
  </si>
  <si>
    <t>STRATOSPHERE; VORTEX; DISTURBANCES; TEMPERATURE; CLIMATOLOGY</t>
  </si>
  <si>
    <t>Quasi-stationary planetary wave activity in the lower Antarctic stratosphere in the late austral winter was an important contributor to the preconditioning of the ozone hole in spring 2017. Observations show that the ozone hole area (OHA) in spring 2017 was at the level of 1980s, that is, almost half the maximum size in 2000s, The observed OHA was close to that forecasted based on a least-squares linear regression between wave amplitude in August and OHA in September November. We show that the key factor which contributed to the preconditioning of the Antarctic stratosphere for a relatively small ozone hole in the spring of 2017 was the development oflarge-amplitude stratospheric planetary waves of zonal wave numbers 1 and 2 in late winter. The waves likely originated from tropospheric wave trains and promoted the development of strong mid-latitude anticyclones in the lower stratosphere which interacted with the stratospheric polar vortex and strongly eroded the vortex in August and September, mitigating the overall level of ozone loss.</t>
  </si>
  <si>
    <t>[Evtushevsky, Oleksandr; Kravchenko, Volodymyr; Milinevsky, Gennadi; Grytsai, Asen] Taras Shevchenko Natl Univ Kyiv, Astron &amp; Space Phys Dept, Fac Phys, 64-13 Volodymyrska St, UA-01601 Kiev, Ukraine; [Klekociuk, Andrew R.] Australian Antarctic Div, Kingston, Tas, Australia; [Klekociuk, Andrew R.] Antarctic Climate &amp; Ecosyst Cooperat Res Ctr, Hobart, Tas, Australia; [Milinevsky, Gennadi] Jilin Univ, Coll Phys, Int Ctr Future Sci, Changchun, Peoples R China</t>
  </si>
  <si>
    <t>Ministry of Education &amp; Science of Ukraine; Taras Shevchenko National University of Kyiv; Australian Antarctic Division; Antarctic Climate &amp; Ecosystems Cooperative Research Centre (ACE CRC); Jilin University</t>
  </si>
  <si>
    <t>Evtushevsky, O (corresponding author), Taras Shevchenko Natl Univ Kyiv, Astron &amp; Space Phys Dept, Fac Phys, 64-13 Volodymyrska St, UA-01601 Kiev, Ukraine.</t>
  </si>
  <si>
    <t>o_evtush@ukr.net</t>
  </si>
  <si>
    <t>Klekociuk, Andrew R/A-4498-2015; Grytsai, Asen/AAS-7114-2020; Milinevsky, Gennadi/AAD-8801-2019; Evtushevsky, Oleksandr O.M./F-2065-2017</t>
  </si>
  <si>
    <t>Taras Shevchenko National University of Kyiv [19BF051-08]; Australian Antarctic Science project [4293]</t>
  </si>
  <si>
    <t>Taras Shevchenko National University of Kyiv; Australian Antarctic Science project</t>
  </si>
  <si>
    <t>Authors thank the two anonymous reviewers for their careful reading of the manuscript and helpful comments and suggestions. NCEP-NCAR reanalysis data were provided by the NOAA/OAR/ESRL Physical Sciences Division, Boulder, CO, USA, from their website at http://www.esrl.noaa.gov/psd/, accessed 30 April 2020. The ozone hole area was obtained from the Ozone Hole Watch website at https://ozonewatch.gsfc.nasa.gov/meteorology/SH.html, accessed 30 April 2020. The OMI total ozone fields have been obtained from the ESA TEMIS website at http://www.temis.nl/protocols/O3global.html, accessed 30 April 2020. The stratospheric layer ozone column images are based on the Aura/MLS ozone data at https://mls.jpl.nasa.gov/, accessed 30 April 2020, and were acquired as part of the NASA's Earth-Sun System Division and archived and distributed by the Goddard Earth Sciences (GES), Data and Information Services Center (DISC) and Distributed Active Archive Center (DAAC). The SH stratospheric air trajectories from GFS/NCEP/US National Weather Service at https://earth.nullschool.net/, accessed 30 April 2020, are used. This work was supported by Taras Shevchenko National University of Kyiv, project 19BF051-08, and Australian Antarctic Science project 4293. This research did not receive any specific funding.</t>
  </si>
  <si>
    <t>10.1071/ES19022</t>
  </si>
  <si>
    <t>WOS:000541775000006</t>
  </si>
  <si>
    <t>Le Marshall, J; Norman, R; Howard, D; Rennie, S; Moore, M; Kaplon, J; Xiao, Y; Zhang, KF; Wang, C; Cate, A; Lehmann, P; Wang, XM; Steinle, P; Tingwell, C; Le, T; Rohm, W; Ren, DD</t>
  </si>
  <si>
    <t>Le Marshall, John; Norman, Robert; Howard, David; Rennie, Susan; Moore, Michael; Kaplon, Jan; Xiao, Yi; Zhang, Kefei; Wang, Carl; Cate, Ara; Lehmann, Paul; Wang, Xiaoming; Steinle, Peter; Tingwell, Chris; Le, Tan; Rohm, Witold; Ren, Diandong</t>
  </si>
  <si>
    <t>Using global navigation satellite system data for real-time moisture analysis and forecasting over the Australian region I. The system</t>
  </si>
  <si>
    <t>VARIATIONAL DATA ASSIMILATION; GPS ZENITH DELAY; HIGH-RESOLUTION; IMPACT; PREDICTION; VERIFICATION; ZTD</t>
  </si>
  <si>
    <t>The use of high spatial and temporal resolution data assimilation and forecasting around Australia's capital cities and rural land provided an opportunity to improve moisture analysis and forecasting. To support this endeavour, RMIT University and Geoscience Australia worked with the Bureau of Meteorology (BoM) to provide real-time GNSS (global navigation satellite system) zenith total delay (ZTD) data over the Australian region, from which a high-resolution total water vapour field for SE Australia could be determined. The ZTD data could play an important role in high-resolution data assimilation by providing mesoscale moisture data coverage from existing GNSS surface stations over significant areas of the Australian continent. The data were used by the BoM's high-resolution ACCESS-C3 capital city numerical weather prediction (NWP) systems, the ACCESS-G3 Global system and had been used by the ACCESS-R2-Regional NWP model. A description of the data collection and analysis system is provided. An example of the application of these local GLASS data for a heavy rainfall event over SE Australia/Victoria is shown using the 1.5-km resolution ACCESS-C3 model, which was being prepared for operational use. The results-from the test were assessed qualitatively, synoptically and also examined quantitatively using the Fractions Skills Score which showed the reasonableness of the forecasts and demonstrated the potential for improving rainfall forecasts over south-eastern Australia by the inclusion of ZTD data in constructing the moisture field. These data have been accepted for operational use in NWT.</t>
  </si>
  <si>
    <t>[Le Marshall, John; Howard, David; Rennie, Susan; Xiao, Yi; Lehmann, Paul; Steinle, Peter; Tingwell, Chris; Le, Tan; Ren, Diandong] Bur Meteorol, GPO Box 1289, Melbourne, Vic 3001, Australia; [Le Marshall, John; Norman, Robert; Zhang, Kefei; Cate, Ara; Wang, Xiaoming] RMIT Univ, Melbourne, Vic, Australia; [Moore, Michael; Wang, Carl] Geosci Australia, Canberra, ACT, Australia; [Kaplon, Jan; Rohm, Witold] Wroclaw Univ Environm &amp; Life Sci, Inst Geodesy &amp; Geoinformat, Grunwaldzka 53, PL-50357 Wroclaw, Poland</t>
  </si>
  <si>
    <t>Bureau of Meteorology - Australia; Royal Melbourne Institute of Technology (RMIT); Geoscience Australia; Wroclaw University of Environmental &amp; Life Sciences</t>
  </si>
  <si>
    <t>Le Marshall, J (corresponding author), Bur Meteorol, GPO Box 1289, Melbourne, Vic 3001, Australia.;Le Marshall, J (corresponding author), RMIT Univ, Melbourne, Vic, Australia.</t>
  </si>
  <si>
    <t>john.lemarshall@bom.gov.au</t>
  </si>
  <si>
    <t>wang, xiao/HZI-9156-2023; Rohm, Witold/AAV-1648-2020; Kapłon, Jan/AAF-6693-2019; Li, June/JEF-1173-2023</t>
  </si>
  <si>
    <t>Rohm, Witold/0000-0002-2082-6366; Kapłon, Jan/0000-0002-0068-0865;</t>
  </si>
  <si>
    <t>Natural Disaster Resilience Grants Scheme (Victoria) - National Disaster Resilience Program (NDRP); Australian Antarctic Science [4469]</t>
  </si>
  <si>
    <t>Natural Disaster Resilience Grants Scheme (Victoria) - National Disaster Resilience Program (NDRP); Australian Antarctic Science</t>
  </si>
  <si>
    <t>We wish to acknowledge support through the Natural Disaster Resilience Grants Scheme (Victoria), funded by the National Disaster Resilience Program (NDRP) and the Australian Antarctic Science grant 4469. These grants have contributed to the efficient development and use of GNSS applications in meteorology inAustralia and theAntarctic region. Wewish to thank Ian Senior andQuangQuach of the Bureau ofMeteorology andDaveOffler, OwenLewis and Johnathon Jones of the UK Meteorological Office for their assistance in the establishment of this data collection, analysis and prediction system.</t>
  </si>
  <si>
    <t>10.1071/ES19009</t>
  </si>
  <si>
    <t>WOS:000541775000013</t>
  </si>
  <si>
    <t>Trewin, B; Ganter, C</t>
  </si>
  <si>
    <t>Trewin, Blair; Ganter, Catherine</t>
  </si>
  <si>
    <t>Seasonal climate summary for the southern hemisphere (spring 2016): strong negative Indian Ocean Dipole ends, bringing second wettest September to Australia</t>
  </si>
  <si>
    <t>SEA-SURFACE-TEMPERATURE; RAINFALL; OSCILLATION; VARIABILITY; WIND; MODE</t>
  </si>
  <si>
    <t>This summary looks at the southern hemisphere and equatorial climate patterns for spring 2016, with particular attention given to the Australasian and equatorial regions of the Pacific and Indian Ocean basins. Spring 2016 was marked by the later part of a strong negative phase of the Indian Ocean Dipole, alongside cool neutral El Nino-Southern Oscillation conditions. September was exceptionally wet over much of Australia, contributing to a wet spring with near-average temperatures. The spring was one of the warmest on record over the southern hemisphere as a whole, with Antarctic Sea ice extent dropping to record low levels for the season.</t>
  </si>
  <si>
    <t>[Trewin, Blair; Ganter, Catherine] Bur Meteorol, GPO Box 1289, Melbourne, Vic, Australia</t>
  </si>
  <si>
    <t>Melbourne Genomics Health Alliance; Bureau of Meteorology - Australia</t>
  </si>
  <si>
    <t>Trewin, B (corresponding author), Bur Meteorol, GPO Box 1289, Melbourne, Vic, Australia.</t>
  </si>
  <si>
    <t>blair.trewin@bom.gov.au</t>
  </si>
  <si>
    <t>10.1071/ES19013</t>
  </si>
  <si>
    <t>WOS:000541775000021</t>
  </si>
  <si>
    <t>Smith, GA</t>
  </si>
  <si>
    <t>Smith, Grant A.</t>
  </si>
  <si>
    <t>Seasonal climate summary for the southern hemisphere (autumn 2017): the Great Barrier Reef experiences coral bleaching during El Nino-Southern Oscillation neutral conditions</t>
  </si>
  <si>
    <t>SEA-SURFACE-TEMPERATURE; VARIABILITY; RAINFALL; MODE</t>
  </si>
  <si>
    <t>Austral autumn 2017 was classified neutral in terms of the El Nino-Southern Oscillation (ENSO), although tropical rainfall and sub-surface Pacific Ocean temperature anomalies were indicative of a weak La Nina. Despite this, autumn 2017 was anomalously warm for most of Australia, consistent with the warming trend that has been observed for the last several decades due to global warming. The mean temperatures for Queensland, New South Wales, Victoria, Tasmania and South Australia were all amongst the top 10. The mean maximum temperature for all of Australia was seventh warmest on record, and amongst the top 10 for all states but Western Australia, with a region of warmest maximum temperature on record in western Queensland. The mean minimum temperature was also above average nationally, and amongst top 10 for Queensland, Victoria and Tasmania. In terms of rainfall, there were very mixed results, with wetter than average for the east coast, western Victoria and parts of Western Australia, and drier than average for western Tasmania, western Queensland, the southeastern portion of the Northern Territory and the far western portion of Western Australia. Dry conditions in Tasmania and southwest Western Australia were likely due to a positive Southern Annular Mode, and the broader west coast and central dry conditions were likely due to cooler eastern Indian Ocean sea-surface temperatures (SSTs) that limited the supply of moisture available to the atmosphere across the country. Other significant events during autumn 2017 were the coral bleaching in the Great Barrier Reef (GBR), cyclone Debbie and much lower than average Antarctic sea-ice extent. Coral bleaching in the GBR is usually associated on broad scales with strong El Nino events but is becoming more common in ENSO neutral years due to global warming. The southern GBR was saved from warm SST anomalies by severe tropical cyclone Debbie which caused ocean cooling in late March and flooding in Queensland and New South Wales. The Antarctic sea-ice extent was second lowest on record for autumn, with the March extent being lowest on record.</t>
  </si>
  <si>
    <t>[Smith, Grant A.] Bur Meteorol, 700 Collins St, Melbourne, Vic, Australia</t>
  </si>
  <si>
    <t>Bureau of Meteorology - Australia; Melbourne Genomics Health Alliance</t>
  </si>
  <si>
    <t>Smith, GA (corresponding author), Bur Meteorol, 700 Collins St, Melbourne, Vic, Australia.</t>
  </si>
  <si>
    <t>grant.smith@bom.gov.au</t>
  </si>
  <si>
    <t>Smith, Grant Alexander/HTP-8656-2023</t>
  </si>
  <si>
    <t>Smith, Grant Alexander/0000-0003-4692-6565</t>
  </si>
  <si>
    <t>10.1071/ES19006</t>
  </si>
  <si>
    <t>WOS:000541775000023</t>
  </si>
  <si>
    <t>Stark, JS; Raymond, T; Deppeler, SL; Morrison, AK</t>
  </si>
  <si>
    <t>Sheppard, C</t>
  </si>
  <si>
    <t>Stark, Jonathan; Raymond, Tania; Deppeler, Stacy; Morrison, Adele</t>
  </si>
  <si>
    <t>Antarctic Seas</t>
  </si>
  <si>
    <t>WORLD SEAS: AN ENVIRONMENTAL EVALUATION, VOL I: EUROPE, THE AMERICAS AND WEST AFRICA, 2ND EDITION</t>
  </si>
  <si>
    <t>SOUTHERN-OCEAN; CLIMATE-CHANGE; WASTE-WATER; DAVIS STATION; CASEY STATION; MCMURDO SOUND; ICE SHELVES; PACK-ICE; ROSS SEA; PETROLEUM-HYDROCARBONS</t>
  </si>
  <si>
    <t>[Stark, Jonathan; Raymond, Tania] Australian Antarctic Div, Antarctic Conservat &amp; Management Program, Kingston, Tas, Australia; [Deppeler, Stacy] Univ Tasmania, Inst Marine &amp; Antarctic Studies, Hobart, Tas, Australia; [Morrison, Adele] Australian Natl Univ, Res Sch Earth Sci, Acton, ACT, Australia; [Morrison, Adele] Australian Natl Univ, ARC Ctr Excellence Climate Syst Sci, Acton, ACT, Australia</t>
  </si>
  <si>
    <t>Australian Antarctic Division; University of Tasmania; Australian National University; Australian National University</t>
  </si>
  <si>
    <t>Stark, JS (corresponding author), Australian Antarctic Div, Antarctic Conservat &amp; Management Program, Kingston, Tas, Australia.</t>
  </si>
  <si>
    <t>Stark, Jonathan/ABF-4025-2020; Morrison, Adele/C-1774-2012</t>
  </si>
  <si>
    <t>Stark, Jonathan/0000-0002-4268-8072; Morrison, Adele/0000-0002-9904-4980</t>
  </si>
  <si>
    <t>978-0-12-805202-0; 978-0-12-805068-2</t>
  </si>
  <si>
    <t>10.1016/B978-0-12-805068-2.00002-4</t>
  </si>
  <si>
    <t>10.1016/C2015-0-04330-1</t>
  </si>
  <si>
    <t>BO9YB</t>
  </si>
  <si>
    <t>WOS:000533152200002</t>
  </si>
  <si>
    <t>Shumaev, V; Chernov, A; Kolchev, A; Egoshin, I; Krauz, P; Rzhanitsyn, V; Rogov, D; Blagoveshchenskaya, N; Nedopekin, A</t>
  </si>
  <si>
    <t>Shumaev, Vladimir; Chernov, Aleksandr; Kolchev, Alexey; Egoshin, Ivan; Krauz, Pavel; Rzhanitsyn, Vladimir; Rogov, Denis; Blagoveshchenskaya, Natalia; Nedopekin, Aleksandr</t>
  </si>
  <si>
    <t>Evaluation of Signal Mode Characteristics Near the MOF for the Purposes of the Over-the-Horizon Radar</t>
  </si>
  <si>
    <t>2019 RUSSIAN OPEN CONFERENCE ON RADIO WAVE PROPAGATION (RWP), VOL 1</t>
  </si>
  <si>
    <t>Russian Open Conference on Radio Wave Propagation (RWP)</t>
  </si>
  <si>
    <t>JUL 01-06, 2019</t>
  </si>
  <si>
    <t>Kazan Fed Univ, Kazan, RUSSIA</t>
  </si>
  <si>
    <t>Kazan Fed Univ</t>
  </si>
  <si>
    <t>ionosphere; oblique sounding of the ionosphere; chirp signal; group propagation time; maximum observed frequency (MOF)</t>
  </si>
  <si>
    <t>A comparative assessment of the characteristics of the upper and lower rays near the MOF is carried out. The method of oblique sounding of ionosphere by the chirp signals was used and paths of various lengths were used. It is shown that there are frequencies near the MOF which amplitudes of signals of the upper and lower rays are comparable. The difference between the times of group propagation is in the range of similar to 40-460 mu s, which corresponds to the range of distances of similar to 15-140 km.</t>
  </si>
  <si>
    <t>[Shumaev, Vladimir; Chernov, Aleksandr] SITKOM TTC, Yoshkar Ola, Russia; [Kolchev, Alexey] Kazan Fed Univ, Dept Radioastron, Kazan, Russia; [Egoshin, Ivan; Nedopekin, Aleksandr] Mari State Univ, Appl Math &amp; Informat, Yoshkar Ola, Russia; [Krauz, Pavel; Rzhanitsyn, Vladimir] Sci &amp; Res Inst Long Distance Radio Commun, Moscow, Russia; [Rogov, Denis; Blagoveshchenskaya, Natalia] Arctic &amp; Antarctic Res Inst, St Petersburg, Russia</t>
  </si>
  <si>
    <t>Kazan Federal University; Mari State University; Arctic &amp; Antarctic Research Institute</t>
  </si>
  <si>
    <t>Shumaev, V (corresponding author), SITKOM TTC, Yoshkar Ola, Russia.</t>
  </si>
  <si>
    <t>shvvladimir@mail.ru; chalexr@mail.ru; kolchevaa@mail.ru; jungl91@mail.ru; pavel.krauz@mail.ru; rzhanicyn48@mail.ru; Rogov_denis@aari.ru; nataly@aari.nw.ru; agasfer911@yandex.ru</t>
  </si>
  <si>
    <t>Kolchev, Alexey/J-7970-2014</t>
  </si>
  <si>
    <t>Kolchev, Alexey/0000-0002-1692-2558</t>
  </si>
  <si>
    <t>978-1-7281-2075-1</t>
  </si>
  <si>
    <t>10.1109/rwp.2019.8810152</t>
  </si>
  <si>
    <t>BP1JK</t>
  </si>
  <si>
    <t>WOS:000539489000084</t>
  </si>
  <si>
    <t>Shumaev, V; Chernov, A; Kolchev, A; Egoshin, I; Krauz, P; Rzhanitsyn, V; Rogov, D; Blagoveschenskaya, N; Nedopekin, A</t>
  </si>
  <si>
    <t>Shumaev, Vladimir; Chernov, Aleksandr; Kolchev, Alexey; Egoshin, Ivan; Krauz, Pavel; Rzhanitsyn, Vladimir; Rogov, Denis; Blagoveschenskaya, Natalia; Nedopekin, Aleksandr</t>
  </si>
  <si>
    <t>Study of Daily Variation of Coefficient of Paths Extension by Oblique Sounding with the Russian Chirp Network of Ionosphere Monitoring</t>
  </si>
  <si>
    <t>ionosphere; oblique sounding of the ionosphere; chirp signal; path extension</t>
  </si>
  <si>
    <t>The results of an experimental study of the extension coefficient of HF radio paths of various lengths and geographical orientations using an oblique sounding continuous chirp signal are presented. The results obtained, together with characteristics of means of oblique sounding and a corrected ionosphere model, make it possible to increase the accuracy of recording the coordinates of aerial targets detected by the OTHR.</t>
  </si>
  <si>
    <t>[Shumaev, Vladimir; Chernov, Aleksandr] SITKOM LLC, Yoshkar Ola, Russia; [Kolchev, Alexey] Kazan Fed Univ, Dept Radioastron, Kazan, Russia; [Egoshin, Ivan; Nedopekin, Aleksandr] Mari State Univ, Appl Math &amp; Informat, Yoshkar Ola, Russia; [Krauz, Pavel; Rzhanitsyn, Vladimir] Sci &amp; Res Inst Long Distance Radio Commun, Moscow, Russia; [Rogov, Denis; Blagoveschenskaya, Natalia] Arctic &amp; Antarctic Res Inst, St Petersburg, Russia</t>
  </si>
  <si>
    <t>Shumaev, V (corresponding author), SITKOM LLC, Yoshkar Ola, Russia.</t>
  </si>
  <si>
    <t>10.1109/rwp.2019.8810221</t>
  </si>
  <si>
    <t>WOS:000539489000085</t>
  </si>
  <si>
    <t>Feral, JP; Poulin, E; De Ridder, C; Saucede, T</t>
  </si>
  <si>
    <t>Oji, T; Fujita, T; Motokawa, T; Komatsu, M; Agatsuma, Y; Kanazawa, K</t>
  </si>
  <si>
    <t>Feral, J-P; Poulin, E.; De Ridder, C.; Saucede, T.</t>
  </si>
  <si>
    <t>A field guide to coastal echinoderms of the Kerguelen Islands</t>
  </si>
  <si>
    <t>PROCEEDINGS OF THE 16TH INTERNATIONAL ECHINODERM CONFERENCE</t>
  </si>
  <si>
    <t>Zoosymposia</t>
  </si>
  <si>
    <t>16th International Echinoderm Conference</t>
  </si>
  <si>
    <t>MAY 28-JUN 01, 2018</t>
  </si>
  <si>
    <t>Nagoya, JAPAN</t>
  </si>
  <si>
    <t>Southern Ocean; Sub-Antarctic Islands; climate changes; frontal shifts; marine protected area; coastal benthos; Asteroidea; Holothuroidea; Ophiuroidea; Echinoidea; Crinoidea; monitoring; scientific diving; beamtrawling; Remotely Operated Vehicle; photo and video surveys; registers of marine species; PROTEKER</t>
  </si>
  <si>
    <t>CLIMATE-CHANGE; ECOSYSTEM; MARION; VARIABILITY</t>
  </si>
  <si>
    <t>One of the current challenges in today's ecology research is to understand and quantify the effects of climate changes on biodiversity. In order to detect possible trends in biodiversity patterns, it is necessary to conduct longterm observations in various and representative environments. This is always challenging, even more difficult in marine habitats and in the Southern Ocean in particular. Since 2012, a submarine observatory of the coastal benthos has been in operation in the Kerguelen Islands. Eight contrasting sites are monitored using photo and video surveys, loggers, and settlement plots. To quantify potential changes, several photographic analysis techniques are also complemented by scuba diving and ROV (Remotely Operated Vehicle) observations. Investigator scientists have developed and improved new protocols that will be carried out in the long term by the staff of the National Natural Reserve of the French Southern Territories. In order to provide reliable support of species identification, the Proteker program supported by IPEV, French Polar Institute, is currently developing several field guides that should improve the identification of the main taxa being monitored. In light of their abundance in coastal environments of the Kerguelen Islands, and because they are among the most visible invertebrates and the easiest of organisms to consider for monitoring surveys, we first focused on echinoderms. Results of this first study are presented here. For each echinoderm species, a spreadsheet provides the species name with synonymies, a description of diagnostic features, the recorded distribution, as well as three different types of illustrations: (i) living specimens in their environment, which is useful for scuba divers, (ii) fresh collected specimens out of water, and (iii) specimens fixed in ethanol. Therefore, species can be identified alive while diving, but also after sampling in the field, and after several years in the laboratory. An assessment of Kerguelen's coastal echinoderms is also given.</t>
  </si>
  <si>
    <t>[Feral, J-P] Aix Marseille Univ, CNRS IRD UAPV, IMBE Inst Mediterraneen Biol &amp; Ecol Marine &amp; Cont, UMR 7263,Stn Marine Endoume, F-13007 Marseille, France; [Poulin, E.] Univ Chile, Fac Ciencias, Dept Ciencias Ecol, IEB,LEM Lab Ecol Mol, Las Palmeras 3425, Santiago 7800003, Chile; [De Ridder, C.] Univ Libre Bruxelles, Lab Biol Marine, CP 160-15,50 Av Roosevelt, B-1050 Brussels, Belgium; [Saucede, T.] Univ Bourgogne Franche Comte, CNRS, Biogeosci, UMR 6282, 6 Blvd Gabriel, F-21000 Dijon, France</t>
  </si>
  <si>
    <t>Centre National de la Recherche Scientifique (CNRS); CNRS - Institute of Ecology &amp; Environment (INEE); Aix-Marseille Universite; Institut de Recherche pour le Developpement (IRD); Universidad de Chile; Universite Libre de Bruxelles; Centre National de la Recherche Scientifique (CNRS); Universite de Bourgogne</t>
  </si>
  <si>
    <t>Feral, JP (corresponding author), Aix Marseille Univ, CNRS IRD UAPV, IMBE Inst Mediterraneen Biol &amp; Ecol Marine &amp; Cont, UMR 7263,Stn Marine Endoume, F-13007 Marseille, France.</t>
  </si>
  <si>
    <t>Poulin, Elie/C-2654-2012; FERAL, Jean-Pierre/N-1895-2018</t>
  </si>
  <si>
    <t>Poulin, Elie/0000-0001-7736-0969;</t>
  </si>
  <si>
    <t>French Polar Institute-IPEV [1044]; Chilean Fondecyt Regular [1151336]; PIA CONICYT [ACT172065]</t>
  </si>
  <si>
    <t>French Polar Institute-IPEV; Chilean Fondecyt Regular; PIA CONICYT(Comision Nacional de Investigacion Cientifica y Tecnologica (CONICYT))</t>
  </si>
  <si>
    <t>This research was supported by the French Polar Institute-IPEV (program no1044-Proteker) and by Chilean Fondecyt Regular 1151336 and PIA CONICYT ACT172065 for EP. We are indebted to the Reserve Naturelle Nationale des Terres Australes Francaises for completing our team in the field with a scientific diver and having made available the semi-rigid inflated boat Le Commerson in the Baie du Morbihan. We thank the operational teams of IPEV and TAAF for the logistics in the base of Port-aux-Francais and on board the RV Marion-Dufresne II. We are particularly grateful to the captains and the crews of La Curieuse who made possible the setting up of this submarine observatory. Grateful thanks are due to Tim O'Hara and Camille Moreau for their help in the identifications and validations of species of Ophiuroidea and Asteroidea respectively. We also thank D.L. Pawson and F.A. Solis-Marin for valuable and helpful comments.</t>
  </si>
  <si>
    <t>PO BOX 41383, AUCKLAND, ST LUKES 1346, NEW ZEALAND</t>
  </si>
  <si>
    <t>1178-9913</t>
  </si>
  <si>
    <t>978-1-77670-793-5; 978-1-77670-794-2</t>
  </si>
  <si>
    <t>ZOOSYMPOSIA</t>
  </si>
  <si>
    <t>10.11646/zoosymposia.15.1.6</t>
  </si>
  <si>
    <t>BP1CR</t>
  </si>
  <si>
    <t>WOS:000538765700004</t>
  </si>
  <si>
    <t>Kohut, J; Oliver, M; Couto, N; Winsor, P; Statscewich, H; Fredj, E; Bernard, K; Fraser, W</t>
  </si>
  <si>
    <t>Kohut, Josh; Oliver, Matt; Couto, Nicole; Winsor, Peter; Statscewich, Hank; Fredj, Erick; Bernard, Kim; Fraser, William</t>
  </si>
  <si>
    <t>Horizontal advection critical for maintaining an Antarctic biological hotspot</t>
  </si>
  <si>
    <t>2019 IEEE/OES TWELFTH CURRENT, WAVES AND TURBULENCE MEASUREMENT (CWTM)</t>
  </si>
  <si>
    <t>12th IEEE/OES Current, Waves and Turbulence Measurement (CWTM)</t>
  </si>
  <si>
    <t>MAR 10-13, 2019</t>
  </si>
  <si>
    <t>San Diego, CA</t>
  </si>
  <si>
    <t>residence time; high-frequency radar; West Antarctic Peninsula; circulation</t>
  </si>
  <si>
    <t>AGGREGATIONS; KRILL</t>
  </si>
  <si>
    <t>Along the Western Antarctic Peninsula, ecological hotspots are spatially coherent with submarine canyons and have persisted for millennia. Palmer Deep Canyon, a representative hotspot, is known to have higher phytoplankton biomass than the surrounding non-canyon regions. The physical mechanisms that maintain and deliver phytoplankton and Antarctic krill biomass, potentially increasing prey availability to predators, are not well known. To better understand these important mechanisms, we deployed a purpose built integrated polar observatory consisting of high frequency radar, coordinated gliders, and moorings. The gliders identified a depth dependent influence of the underlying canyon bathymetry on physical and biological variability. A series of simulated particle release experiments in the HF radar current maps were used to estimate surface residence time and connectivity across the canyon. With an average residence time of 2 days, our analysis indicates that the elevated phytoplankton biomass over the central canyon is transported into and out of the hotspot on time scales much shorter than the observed phytoplankton growth rate, suggesting that the canyon may not act as an incubator of phytoplankton productivity as previously suggested. It may instead serve more as a conveyor belt of phytoplankton biomass produced elsewhere, continually replenishing the phytoplankton biomass for the local krill community, which in turn supports numerous top predators.</t>
  </si>
  <si>
    <t>[Kohut, Josh] Rutgers State Univ, New Brunswick, NJ 08901 USA; [Oliver, Matt] Univ Delaware, Newark, DE 19716 USA; [Couto, Nicole] Scripps Inst Oceanog, San Diego, CA USA; [Winsor, Peter; Statscewich, Hank] Univ Alaska Fairbanks, Fairbanks, AK USA; [Fredj, Erick] Jerusalem Coll Technol, Jerusalem, Israel; [Bernard, Kim] Oregon State Univ, Corvallis, OR 97331 USA; [Fraser, William] Polar Oceans Res Grp, Montreal, PQ, Canada</t>
  </si>
  <si>
    <t>Rutgers University System; Rutgers University New Brunswick; University of Delaware; University of California System; University of California San Diego; Scripps Institution of Oceanography; University of Alaska System; University of Alaska Fairbanks; Oregon State University</t>
  </si>
  <si>
    <t>Kohut, J (corresponding author), Rutgers State Univ, New Brunswick, NJ 08901 USA.</t>
  </si>
  <si>
    <t>Fredj, Erick/AAR-7369-2021</t>
  </si>
  <si>
    <t>Fredj, Erick/0000-0002-7991-4942</t>
  </si>
  <si>
    <t>978-1-5386-5485-9</t>
  </si>
  <si>
    <t>10.1109/cwtm43797.2019.8955134</t>
  </si>
  <si>
    <t>Engineering, Ocean; Engineering, Electrical &amp; Electronic; Instruments &amp; Instrumentation</t>
  </si>
  <si>
    <t>Engineering; Instruments &amp; Instrumentation</t>
  </si>
  <si>
    <t>BP0EF</t>
  </si>
  <si>
    <t>WOS:000533898600001</t>
  </si>
  <si>
    <t>Shi, Q; Lv, WT; Fan, BW; Li, Z; Wang, Z; Lin, ZH; Li, J; Shi, SC</t>
  </si>
  <si>
    <t>Zhang, C; Zhang, XC; Tani, M</t>
  </si>
  <si>
    <t>Shi, Qing; Lv, Weitao; Fan, Bowen; Li, Zhi; Wang, Zheng; Lin, Zhen-Hui; Li, Jing; Shi, Sheng-Cai</t>
  </si>
  <si>
    <t>Characterization of a 0.35 THz aluminum 64-pixel MKID array</t>
  </si>
  <si>
    <t>INFRARED, MILLIMETER-WAVE, AND TERAHERTZ TECHNOLOGIES VI</t>
  </si>
  <si>
    <t>Proceedings of SPIE</t>
  </si>
  <si>
    <t>Conference on Infrared, Millimeter-Wave, and Terahertz Technologies VI</t>
  </si>
  <si>
    <t>OCT 21-22, 2019</t>
  </si>
  <si>
    <t>Hangzhou, PEOPLES R CHINA</t>
  </si>
  <si>
    <t>microwave kinetic inductance detectors; KID; THz; low temperature detector; noise; optical response; NEP</t>
  </si>
  <si>
    <t>DOME</t>
  </si>
  <si>
    <t>Microwave Kinetic Inductance Detectors (MKID) are a promising low temperature superconducting detector because of high sensitivity, easy frequency-domain multiplexing and simple structure for large-format arrays. To develop large-format THz detectors for China's Antarctic THz telescope, we have preliminarily designed an aluminum 64-pixel MKID array operating at the 350 GHz band. In this paper, the characteristics of the MKID array are thoroughly measured.</t>
  </si>
  <si>
    <t>[Shi, Qing; Lv, Weitao; Fan, Bowen; Li, Zhi; Wang, Zheng; Lin, Zhen-Hui; Li, Jing; Shi, Sheng-Cai] Chinese Acad Sci, Purple Mt Observ, 10 Yuanhua Rd, Nanjing 210034, Jiangsu, Peoples R China; [Shi, Qing; Lv, Weitao; Fan, Bowen; Li, Zhi] Univ Sci &amp; Technol China, 1129 Huizhou Ave, Hefei 230026, Anhui, Peoples R China; [Shi, Qing; Lv, Weitao; Fan, Bowen; Li, Zhi; Wang, Zheng; Lin, Zhen-Hui; Li, Jing; Shi, Sheng-Cai] Chinese Acad Sci, Key Lab Radio Astron, 10 Yuanhua Rd, Nanjing 210034, Jiangsu, Peoples R China</t>
  </si>
  <si>
    <t>Chinese Academy of Sciences; Nanjing Institute of Astronomical Optics &amp; Technology, NAOC, CAS; Purple Mountain Observatory, CAS; Chinese Academy of Sciences; University of Science &amp; Technology of China, CAS; Chinese Academy of Sciences</t>
  </si>
  <si>
    <t>Shi, SC (corresponding author), Chinese Acad Sci, Purple Mt Observ, 10 Yuanhua Rd, Nanjing 210034, Jiangsu, Peoples R China.;Shi, SC (corresponding author), Chinese Acad Sci, Key Lab Radio Astron, 10 Yuanhua Rd, Nanjing 210034, Jiangsu, Peoples R China.</t>
  </si>
  <si>
    <t>scshi@pmo.ac.cn</t>
  </si>
  <si>
    <t>National Key R&amp;D Program of China [2018YFA0404701]; Natural National Science Foundation of China (NSFC) [11773083, 11673073, U1831202]; Chinese Academy of Sciences (CAS) program [QYZDJ-SSW-SLH043, GJJSTD20180003]; Hundred Talents Program of the Pioneer Initiative of CAS</t>
  </si>
  <si>
    <t>National Key R&amp;D Program of China; Natural National Science Foundation of China (NSFC)(National Natural Science Foundation of China (NSFC)); Chinese Academy of Sciences (CAS) program; Hundred Talents Program of the Pioneer Initiative of CAS</t>
  </si>
  <si>
    <t>This work was supported in part by the National Key R&amp;D Program of China (2018YFA0404701); Natural National Science Foundation of China (NSFC) (11773083, 11673073 and U1831202); Chinese Academy of Sciences (CAS) program (QYZDJ-SSW-SLH043 and GJJSTD20180003); The Hundred Talents Program of the Pioneer Initiative of CAS.</t>
  </si>
  <si>
    <t>SPIE-INT SOC OPTICAL ENGINEERING</t>
  </si>
  <si>
    <t>BELLINGHAM</t>
  </si>
  <si>
    <t>1000 20TH ST, PO BOX 10, BELLINGHAM, WA 98227-0010 USA</t>
  </si>
  <si>
    <t>0277-786X</t>
  </si>
  <si>
    <t>1996-756X</t>
  </si>
  <si>
    <t>978-1-5106-3110-6</t>
  </si>
  <si>
    <t>PROC SPIE</t>
  </si>
  <si>
    <t>UNSP 111960S</t>
  </si>
  <si>
    <t>10.1117/12.2537092</t>
  </si>
  <si>
    <t>Optics</t>
  </si>
  <si>
    <t>BP0FZ</t>
  </si>
  <si>
    <t>WOS:000534218800018</t>
  </si>
  <si>
    <t>Morris, RL; Heery, EC; Loke, LHL; Lau, E; Strain, EMA; Airoldi, L; Alexander, KA; Bishop, MJ; Coleman, RA; Cordell, JR; Dong, YW; Firth, LB; Hawkins, SJ; Heath, T; Kokora, M; Lee, SY; Miller, JK; Perkol-Finkel, S; Rella, A; Steinberg, PD; Takeuchi, I; Thompson, RC; Todd, PA; Toft, JD; Leung, KMY</t>
  </si>
  <si>
    <t>Hawkins, SJ; Allcock, AL; Bates, AE; Firth, LB; Smith, IP; Swearer, SE; Todd, PA</t>
  </si>
  <si>
    <t>Morris, Rebecca L.; Heery, Eliza C.; Loke, Lynette H. L.; Lau, Edward; Strain, Elisabeth M. A.; Airoldi, Laura; Alexander, Karen A.; Bishop, Melanie J.; Coleman, Ross A.; Cordell, Jeffery R.; Dong, Yun-Wei; Firth, Louise B.; Hawkins, Stephen J.; Heath, Tom; Kokora, Michael; Lee, Shing Yip; Miller, Jon K.; Perkol-Finkel, Shimrit; Rella, Andrew; Steinberg, Peter D.; Takeuchi, Ichiro; Thompson, Richard C.; Todd, Peter A.; Toft, Jason D.; Leung, Kenneth M. Y.</t>
  </si>
  <si>
    <t>DESIGN OPTIONS, IMPLEMENTATION ISSUES AND EVALUATING SUCCESS OF ECOLOGICALLY ENGINEERED SHORELINES</t>
  </si>
  <si>
    <t>OCEANOGRAPHY AND MARINE BIOLOGY: AN ANNUAL REVIEW, VOL 57</t>
  </si>
  <si>
    <t>Oceanography and Marine Biology</t>
  </si>
  <si>
    <t>SEA-LEVEL RISE; COASTAL-DEFENSE STRUCTURES; ECOSYSTEM SERVICES; OCEAN SPRAWL; INTERTIDAL BIODIVERSITY; ARTIFICIAL STRUCTURES; LIVING SHORELINES; FLOOD PROTECTION; STRUCTURAL COMPLEXITY; MANAGEMENT STRATEGIES</t>
  </si>
  <si>
    <t>Human population growth and accelerating coastal development have been the drivers for unprecedented construction of artificial structures along shorelines globally. Construction has been recently amplified by societal responses to reduce flood and erosion risks from rising sea levels and more extreme storms resulting from climate change. Such structures, leading to highly modified shorelines, deliver societal benefits, but they also create significant socioeconomic and environmental challenges. The planning, design and deployment of these coastal structures should aim to provide multiple goals through the application of ecoengineering to shoreline development. Such developments should be designed and built with the overarching objective of reducing negative impacts on nature, using hard, soft and hybrid ecological engineering approaches. The design of ecologically sensitive shorelines should be context-dependent and combine engineering, environmental and socioeconomic considerations. The costs and benefits of ecoengineered shoreline design options should be considered across all three of these disciplinary domains when setting objectives, informing plans for their subsequent maintenance and management and ultimately monitoring and evaluating their success. To date, successful ecoengineered shoreline projects have engaged with multiple stakeholders (e.g. architects, engineers, ecologists, coastal/port managers and the general public) during their conception and construction, but few have evaluated engineering, ecological and socioeconomic outcomes in a comprehensive manner. Increasing global awareness of climate change impacts (increased frequency or magnitude of extreme weather events and sea level rise), coupled with future predictions for coastal development (due to population growth leading to urban development and renewal, land reclamation and establishment of renewable energy infrastructure in the sea) will increase the demand for adaptive techniques to protect coastlines. In this review, we present an overview of current ecoengineered shoreline design options, the drivers and constraints that influence implementation and factors to consider when evaluating the success of such ecologically engineered shorelines.</t>
  </si>
  <si>
    <t>[Morris, Rebecca L.; Strain, Elisabeth M. A.] Univ Melbourne, Sch BioSci, Natl Ctr Coasts &amp; Climate, Melbourne, Vic 3010, Australia; [Heery, Eliza C.; Loke, Lynette H. L.; Todd, Peter A.] Natl Univ Singapore, Dept Biol Sci, Expt Marine Ecol Lab, Singapore 117543, Singapore; [Lau, Edward; Leung, Kenneth M. Y.] Univ Hong Kong, Swire Inst Marine Sci, Pokfulam, Hong Kong, Peoples R China; [Lau, Edward; Leung, Kenneth M. Y.] Univ Hong Kong, Sch Biol Sci, Pokfulam, Hong Kong, Peoples R China; [Airoldi, Laura] Univ Bologna, Dipartimento Sci Biol Geol &amp; Ambientali BiGeA, I-40126 Bologna, Italy; [Airoldi, Laura] Univ Bologna, Ctr Interdipartimentale Ric Sci Ambientali CIRSA, UO CoNISMa, I-40126 Bologna, Italy; [Alexander, Karen A.] Univ Tasmania, Ctr Marine Socioecol, Hobart, Tas 7001, Australia; [Alexander, Karen A.] Univ Tasmania, Inst Marine &amp; Antarctic Studies, POB 49, Hobart, Tas 7001, Australia; [Bishop, Melanie J.] Macquarie Univ, Dept Biol Sci, Sydney, NSW 2109, Australia; [Coleman, Ross A.] Univ Sydney, Sch Life &amp; Environm Sci, Marine Ecol Labs A11, Ctr Res Ecol Impacts Coastal Cities, Sydney, NSW 2006, Australia; [Cordell, Jeffery R.; Toft, Jason D.] Univ Washington, Sch Aquat &amp; Fishery Sci, Box 355020, Seattle, WA 98195 USA; [Dong, Yun-Wei] Xiamen Univ, Coll Ocean &amp; Earth Sci, State Key Lab Marine Environm Sci, Xiamen, Peoples R China; [Firth, Louise B.; Thompson, Richard C.] Univ Plymouth, Sch Biol &amp; Marine Sci, Plymouth PL4 8AA, Devon, England; [Hawkins, Stephen J.] Univ Southampton, Natl Oceanog Ctr Southampton, Sch Ocean &amp; Earth Sci, Southampton SO14 3ZH, Hants, England; [Hawkins, Stephen J.] Marine Biol Assoc UK, Citadel Hill, Plymouth PL1 2PB, Devon, England; [Heath, Tom] Georges River Council, Hurstville, NSW 2220, Australia; [Kokora, Michael] Univ Hong Kong, Fac Architecture, Pokfulam, Hong Kong, Peoples R China; [Kokora, Michael] Object Terr, Hong Kong, Peoples R China; [Lee, Shing Yip] Chinese Univ Hong Kong, Sch Life Sci, Simon FS Li Marine Sci Lab, Shatin, Hong Kong, Peoples R China; [Lee, Shing Yip] Chinese Univ Hong Kong, Earth Syst Sci Programme, Shatin, Hong Kong, Peoples R China; [Miller, Jon K.] Stevens Inst Technol, Davidson Lab, Hoboken, NJ 07030 USA; [Perkol-Finkel, Shimrit; Rella, Andrew] ECOncrete Tech LTD, POB 51528, Tel Aviv, Israel; [Steinberg, Peter D.] Univ New South Wales, Sch Biol Earth &amp; Environm Sci, Sydney, NSW 2052, Australia; [Steinberg, Peter D.] Univ New South Wales, Ctr Marine Bioinnovat, Sydney, NSW 2052, Australia; [Steinberg, Peter D.] Sydney Inst Marine Sci, Mosman, NSW 2088, Australia; [Steinberg, Peter D.] Nanyang Technol Univ, Singapore Ctr Environm Life Sci Engn, Singapore 637551, Singapore; [Takeuchi, Ichiro] Ehime Univ, Grad Sch Agr, Matsuyama, Ehime, Japan; [Leung, Kenneth M. Y.] City Univ Hong Kong, State Key Lab Marine Pollut, Kowloon, Tat Chee Ave, Hong Kong, Peoples R China</t>
  </si>
  <si>
    <t>Melbourne Genomics Health Alliance; University of Melbourne; National University of Singapore; University of Hong Kong; University of Hong Kong; University of Bologna; University of Bologna; University of Tasmania; University of Tasmania; Macquarie University; University of Sydney; University of Washington; University of Washington Seattle; Xiamen University; University of Plymouth; NERC National Oceanography Centre; University of Southampton; Marine Biological Association United Kingdom; University of Hong Kong; Chinese University of Hong Kong; Chinese University of Hong Kong; Stevens Institute of Technology; University of New South Wales Sydney; University of New South Wales Sydney; Sydney Institute of Marine Science; Nanyang Technological University; Ehime University; City University of Hong Kong</t>
  </si>
  <si>
    <t>Leung, KMY (corresponding author), Univ Hong Kong, Swire Inst Marine Sci, Pokfulam, Hong Kong, Peoples R China.;Leung, KMY (corresponding author), Univ Hong Kong, Sch Biol Sci, Pokfulam, Hong Kong, Peoples R China.;Leung, KMY (corresponding author), City Univ Hong Kong, State Key Lab Marine Pollut, Kowloon, Tat Chee Ave, Hong Kong, Peoples R China.</t>
  </si>
  <si>
    <t>kmyleung@hku.hk</t>
  </si>
  <si>
    <t>Thompson, Richard C/J-8879-2014; Morris, Rebecca/AAB-3364-2020; Strain, Elisabeth/U-3520-2017; Leung, Kenneth M. Y./C-1055-2009; Lee, Joe S. Y./B-9185-2008; Airoldi, Laura/I-3553-2019; Dong, Yunwei/C-4617-2011; Bishop, Melanie/AGA-7862-2022; Coleman, Ross A/B-1314-2008</t>
  </si>
  <si>
    <t>Airoldi, Laura/0000-0001-5046-0871; Dong, Yunwei/0000-0003-4550-2322; Thompson, Richard/0000-0003-2262-6621</t>
  </si>
  <si>
    <t>Civil Engineering and Development Department of the Government of the Hong Kong Special Administrative Region of China; HKU School of Biological Sciences; World Harbour Project; National Research Foundation, Prime Minister's Office, Singapore, under its Marine Science Research and Development Programme [MSRDP-05]</t>
  </si>
  <si>
    <t>Civil Engineering and Development Department of the Government of the Hong Kong Special Administrative Region of China; HKU School of Biological Sciences; World Harbour Project; National Research Foundation, Prime Minister's Office, Singapore, under its Marine Science Research and Development Programme(National Research Foundation, Singapore)</t>
  </si>
  <si>
    <t>This article represents a joint effort and collective views from an architect, ecologists, engineers, a social scientist and a governmental officer who participated in the 2nd International Workshop on Eco-shoreline Designs for Sustainable Coastal Development, held at the University of Hong Kong, Hong Kong in May 2018. This work was a joint effort from the invited participants plus other colleagues. The authors would like to thank the Civil Engineering and Development Department of the Government of the Hong Kong Special Administrative Region of China, the HKU School of Biological Sciences and the World Harbour Project for supporting the organisation of the workshop. This research is partially supported by the National Research Foundation, Prime Minister's Office, Singapore, under its Marine Science Research and Development Programme (Award No. MSRDP-05).</t>
  </si>
  <si>
    <t>CRC PRESS-TAYLOR &amp; FRANCIS GROUP</t>
  </si>
  <si>
    <t>BOCA RATON</t>
  </si>
  <si>
    <t>6000 BROKEN SOUND PARKWAY NW, STE 300, BOCA RATON, FL 33487-2742 USA</t>
  </si>
  <si>
    <t>0078-3218</t>
  </si>
  <si>
    <t>978-0-367-13415-0</t>
  </si>
  <si>
    <t>OCEANOGR MAR BIOL</t>
  </si>
  <si>
    <t>Oceanogr. Mar. Biol.</t>
  </si>
  <si>
    <t>10.1201/9780429026379</t>
  </si>
  <si>
    <t>BP0JR</t>
  </si>
  <si>
    <t>WOS:000535123100005</t>
  </si>
  <si>
    <t>Nagelkerken, I; Doney, SC; Munday, PL</t>
  </si>
  <si>
    <t>Nagelkerken, Ivan; Doney, Scott C.; Munday, Philip L.</t>
  </si>
  <si>
    <t>CONSEQUENCES OF ANTHROPOGENIC CHANGES IN THE SENSORY LANDSCAPE OF MARINE ANIMALS</t>
  </si>
  <si>
    <t>CORAL-REEF FISH; FRESH-WATER ECOSYSTEMS; GLOBAL CLIMATE-CHANGE; AIR GUN NOISE; OCEAN ACIDIFICATION; HABITAT DEGRADATION; RENEWABLE ENERGY; CHEMICAL CUES; HIGH CO2; ECOLOGICAL IMPLICATIONS</t>
  </si>
  <si>
    <t>Human activities are altering a wide range of key marine cues at local and global scales, and it is important to know how animals may respond. Species survival and performance depend on the ability of individuals to successfully extract and interpret information from their environment about preferred abiotic conditions and the presence of prey, predators, competitors, mates and suitable habitats. Such information is made available via a wide range of abiotic and biotic cues that can be detected by organisms through various sensory modalities. Global anthropogenic changes, however, are rapidly altering the sensory landscape ('cuescape') and behaviour of animals by modifying the production, transmission and interpretation of critical natural cues, as well as introducing novel anthropogenic cues. To date, most studies have focussed on how animals respond to such changes rather than investigating how the cues themselves are changing. Because the responses that individuals show ultimately depend on factors affecting both the generation and reception of cues, better integration is needed to understand how these factors ultimately affect individual performance. This review provides a holistic assessment of how multiple cues (e.g. sounds, visual cues, chemicals, salinity, temperature and electromagnetism) are being altered at different spatial and temporal scales in marine habitats. Natural cuescapes are being modified by humans and novel anthropogenic cues are being introduced into the ocean, both of which can directly and indirectly alter the diversity and strength of natural cues. Examples are provided of how species might respond to such changes, focussing on what coping and adaptation mechanisms are available for species to persist in a future ocean. While `sensory generalist' species may prevail in marine environments with diminishing or masked natural cues, some `sensory specialists' might sustain themselves via sensory compensation, behavioural plasticity or avoidance of detrimental cues in the short term, or via genetic adaptation in the longer term. Due to the rapid loss of natural cuescapes, alternative research agendas are needed to monitor and measure multicue changes throughout the oceans. Together with mechanistic and field studies of animal responses, such research can inform management by identifying the species most at risk and the areas that may be suitable for cuescape preservation.</t>
  </si>
  <si>
    <t>[Nagelkerken, Ivan] Univ Adelaide, Sch Biol Sci, Southern Seas Ecol Labs, DX 650 418, Adelaide, SA 5005, Australia; [Nagelkerken, Ivan] Univ Adelaide, Inst Environm, DX 650 418, Adelaide, SA 5005, Australia; [Doney, Scott C.] Univ Virginia, Dept Environm Sci, Charlottesville, VA 22904 USA; [Munday, Philip L.] James Cook Univ, ARC Ctr Excellence Coral Reef Studies, Townsville, Qld 4811, Australia</t>
  </si>
  <si>
    <t>University of Adelaide; University of Adelaide; University of Virginia; James Cook University</t>
  </si>
  <si>
    <t>Nagelkerken, I (corresponding author), Univ Adelaide, Sch Biol Sci, Southern Seas Ecol Labs, DX 650 418, Adelaide, SA 5005, Australia.;Nagelkerken, I (corresponding author), Univ Adelaide, Inst Environm, DX 650 418, Adelaide, SA 5005, Australia.</t>
  </si>
  <si>
    <t>ivan.nagelkerken@adelaide.edu.au</t>
  </si>
  <si>
    <t>Munday, Philip L/F-5443-2011; Doney, Scott/F-9247-2010</t>
  </si>
  <si>
    <t>Munday, Philip L/0000-0001-9725-2498; Doney, Scott/0000-0002-3683-2437</t>
  </si>
  <si>
    <t>Australian Research Council [FT120100183]; U.S. National Science Foundation [1440435]; Australian Research Council</t>
  </si>
  <si>
    <t>Australian Research Council(Australian Research Council); U.S. National Science Foundation(National Science Foundation (NSF)); Australian Research Council(Australian Research Council)</t>
  </si>
  <si>
    <t>I.N. was supported by an Australian Research Council Future Fellowship (Grant No. FT120100183). P.L.M. was supported by an Australian Research Council Future Fellowship. S.C.D. acknowledges support from the U.S. National Science Foundation Polar Programs award 1440435 (Antarctic Integrated System Science) to the Palmer LTER programme.</t>
  </si>
  <si>
    <t>WOS:000535123100006</t>
  </si>
  <si>
    <t>Wernberg, T; Coleman, MA; Babcock, RC; Bell, SY; Bolton, JJ; Connell, SD; Hurd, CL; Johnson, CR; Marzinelli, EM; Shears, NT; Steinberg, PD; Thomsen, MS; Vanderklift, MA; Vergés, A; Wright, JT</t>
  </si>
  <si>
    <t>Wernberg, Thomas; Coleman, Melinda A.; Babcock, Russell C.; Bell, Sahira Y.; Bolton, John J.; Connell, Sean D.; Hurd, Catriona L.; Johnson, Craig R.; Marzinelli, Ezequiel M.; Shears, Nick T.; Steinberg, Peter D.; Thomsen, Mads S.; Vanderklift, Mathew A.; Verges, Adriana; Wright, Jeffrey T.</t>
  </si>
  <si>
    <t>BIOLOGY AND ECOLOGY OF THE GLOBALLY SIGNIFICANT KELP ECKLONIA RADIATA</t>
  </si>
  <si>
    <t>HABITAT-FORMING KELP; URCHIN CENTROSTEPHANUS-RODGERSII; POPULATION GENETIC-STRUCTURE; MACROALGAL SPORE DISPERSAL; SUBTIDAL BROWN SEAWEEDS; REEF FISH ASSEMBLAGES; NORTHERN NEW-ZEALAND; GOAT-ISLAND BAY; NEW-SOUTH-WALES; UV-B RADIATION</t>
  </si>
  <si>
    <t>Ecklonia radiata is one of the most widespread kelps globally, dominating temperate reefs throughout much of Australasia and southeastern Africa. Throughout much of its range, it is the only laminarian kelp and hence plays a key role in facilitating biodiversity and driving food webs, and it underpins immense ecological and socioeconomic values. This review synthesises the growing literature on E. radiata from its phylogeny and distribution through to its biology, ecology and recent changes. It provides an assessment of the state of knowledge and identifies gaps in our understanding of this important species. Despite being tolerant of a wide range of abiotic conditions, recent environmental change has caused direct and indirect loss of E. radiata forests, with extensive areas transitioning to turf and urchin barrens. Ongoing climate change may require application of multifaceted and novel strategies to increase its resistance and resilience to future conditions. By integrating variation across space, time and environmental change, this review provides a description of the current status and possible future trajectories of E. radiata forests.</t>
  </si>
  <si>
    <t>[Wernberg, Thomas; Babcock, Russell C.; Bell, Sahira Y.] Univ Western Australia, UWA Oceans Inst, Crawley, WA 6009, Australia; [Wernberg, Thomas; Babcock, Russell C.; Bell, Sahira Y.] Univ Western Australia, Sch Biol Sci, Crawley, WA 6009, Australia; [Coleman, Melinda A.] NSW Fisheries, Dept Primary Ind, Coffs Harbour, NSW 2450, Australia; [Babcock, Russell C.] CSIRO Oceans &amp; Atmosphere, Queensland BioSci Precinct, St Lucia, Qld 4067, Australia; [Bolton, John J.] Univ Cape Town, Biol Sci Dept, ZA-7701 Cape Town, South Africa; Univ Cape Town, Marine Res Inst, ZA-7701 Cape Town, South Africa; [Connell, Sean D.] Univ Adelaide, Sch Biol Sci, Inst Environm, Southern Seas Ecol Labs, Adelaide, SA 5000, Australia; [Hurd, Catriona L.; Johnson, Craig R.; Wright, Jeffrey T.] Univ Tasmania, Inst Marine &amp; Antarctic Studies, Hobart, Tas 7000, Australia; [Marzinelli, Ezequiel M.] Univ Sydney, Sch Life &amp; Environm Sci, Sydney, NSW 2006, Australia; [Marzinelli, Ezequiel M.; Steinberg, Peter D.] Nanyang Technol Univ, Singapore Ctr Environm Life Sci Engn, Singapore 639798, Singapore; [Marzinelli, Ezequiel M.; Steinberg, Peter D.; Verges, Adriana] Sydney Inst Marine Sci, Mosman, NSW 2088, Australia; [Shears, Nick T.] Univ Auckland, Inst Marine Sci, Leigh Marine Lab, Auckland 1023, New Zealand; [Steinberg, Peter D.; Verges, Adriana] Univ New South Wales, Sch Biol Earth &amp; Environm Sci, Ctr Marine Sci &amp; Innovat, Kensington, NSW 2033, Australia; [Thomsen, Mads S.] Univ Canterbury, Sch Biol Sci, Marine Ecol Res Grp, Ctr Integrat Ecol, Canterbury 8140, New Zealand; [Vanderklift, Mathew A.] CSIRO Oceans &amp; Atmosphere, Indian Ocean Marine Res Ctr, Crawley 6009, Australia</t>
  </si>
  <si>
    <t>University of Western Australia; University of Western Australia; NSW Department of Primary Industries; Commonwealth Scientific &amp; Industrial Research Organisation (CSIRO); University of Cape Town; University of Cape Town; University of Adelaide; University of Tasmania; University of Sydney; Nanyang Technological University; Sydney Institute of Marine Science; University of Auckland; University of New South Wales Sydney; University of Canterbury; University of Western Australia; Commonwealth Scientific &amp; Industrial Research Organisation (CSIRO)</t>
  </si>
  <si>
    <t>Wernberg, T (corresponding author), Univ Western Australia, UWA Oceans Inst, Crawley, WA 6009, Australia.;Wernberg, T (corresponding author), Univ Western Australia, Sch Biol Sci, Crawley, WA 6009, Australia.;Coleman, MA (corresponding author), NSW Fisheries, Dept Primary Ind, Coffs Harbour, NSW 2450, Australia.</t>
  </si>
  <si>
    <t>thomas.wernberg@uwa.edu.au; melinda.coleman@dpi.nsw.gov.au</t>
  </si>
  <si>
    <t>Marzinelli, Ezequiel/AAH-2906-2019; Babcock, Russell C/A-3794-2012; Verges, Adriana/B-8288-2013; Wernberg, Thomas/B-4172-2010; Thomsen, Mads/B-1204-2011; Vanderklift, Mathew A/B-1003-2008; Hurd, Catriona/J-2411-2013; Wright, Jeffrey/J-7536-2014</t>
  </si>
  <si>
    <t>Marzinelli, Ezequiel/0000-0002-3762-3389; Wernberg, Thomas/0000-0003-1185-9745; Hurd, Catriona/0000-0001-9965-4917; Thomsen, Mads/0000-0003-4597-3343; Wright, Jeffrey/0000-0002-1085-4582; Steinberg, Peter/0000-0002-1781-0726</t>
  </si>
  <si>
    <t>UWA Research Collaboration Award; Australian Research Council [DP170100023, DP160100114]</t>
  </si>
  <si>
    <t>UWA Research Collaboration Award; Australian Research Council(Australian Research Council)</t>
  </si>
  <si>
    <t>We thank Dave Schiel for constructive comments on the manuscript and J. Reimer for assistance. This work was supported by a UWA Research Collaboration Award to TW. Several authors were supported by the Australian Research Council for E. radiata research while working on this manuscript (DP160100114 TW, MAC; DP170100023 TW, AV, PDS).</t>
  </si>
  <si>
    <t>WOS:000535123100007</t>
  </si>
  <si>
    <t>Girton, JB; Christianson, K; Dunlap, J; Dutrieux, P; Gobat, J; Lee, C; Rainville, L</t>
  </si>
  <si>
    <t>Girton, James B.; Christianson, Knut; Dunlap, John; Dutrieux, Pierre; Gobat, Jason; Lee, Craig; Rainville, Luc</t>
  </si>
  <si>
    <t>Buoyancy-adjusting Profiling Floats for Exploration of Heat Transport, Melt Rates, and Mixing in the Ocean Cavities Under Floating Ice Shelves</t>
  </si>
  <si>
    <t>OCEANS 2019 MTS/IEEE SEATTLE</t>
  </si>
  <si>
    <t>OCEANS-IEEE</t>
  </si>
  <si>
    <t>MTS/IEEE Oceans Seattle Conference (Oceans Seattle)</t>
  </si>
  <si>
    <t>OCT 27-31, 2019</t>
  </si>
  <si>
    <t>Seattle, WA</t>
  </si>
  <si>
    <t>EM-APEX; autonomous profiling floats; Antarctic ice shelves; exchange flow; acoustic navigation</t>
  </si>
  <si>
    <t>Recent successes using EM-APEX velocity profiling floats under sea ice (in an ice contacting mode which allows floats to measure ice draft to an accuracy a few centimeters after applying an atmospheric pressure correction) have inspired an innovative study of the seawater cavity under a floating ice shelf. We report here on a recent (January 2018 through March 2019) experiment using acoustically-tracked EM-APEX along with Seagliders to survey the distribution of temperature, salinity, shear, and melt rates in the Dotson Ice Shelf cavity. The 4 floats released in front of the ice shelf were carried by the warm inflow nearly to the grounding line 80 km back from the calving face, and one even furtherthrough a sub-glacial connection into the adjoining Crosson Ice Shelf cavity.</t>
  </si>
  <si>
    <t>[Girton, James B.; Dunlap, John; Gobat, Jason; Lee, Craig; Rainville, Luc] Univ Washington, Appl Phys Lab, Seattle, WA 98105 USA; [Christianson, Knut] Univ Washington, Earth &amp; Space Sci, Seattle, WA 98195 USA; [Dutrieux, Pierre] Columbia Univ, Lamont Doherty Earth Observ, Palisades, NY USA</t>
  </si>
  <si>
    <t>University of Washington; University of Washington Seattle; University of Washington; University of Washington Seattle; Columbia University</t>
  </si>
  <si>
    <t>Girton, JB (corresponding author), Univ Washington, Appl Phys Lab, Seattle, WA 98105 USA.</t>
  </si>
  <si>
    <t>girton@uw.edu; knut@uw.edu; dunlap@apl.uw.edu; pierred@ldeo.columbia.edu; jgobat@uw.edu; craiglee@uw.edu; lucrain@uw.edu</t>
  </si>
  <si>
    <t>Dutrieux, Pierre/GVS-2890-2022</t>
  </si>
  <si>
    <t>Dutrieux, Pierre/0000-0002-8066-934X</t>
  </si>
  <si>
    <t>Paul G. Allen Family Foundation; NSF Polar Programs [PLR-1341496]</t>
  </si>
  <si>
    <t>Paul G. Allen Family Foundation; NSF Polar Programs(National Science Foundation (NSF))</t>
  </si>
  <si>
    <t>This work was supported by the Paul G. Allen Family Foundation and NSF Polar Programs (PLR-1341496).</t>
  </si>
  <si>
    <t>0197-7385</t>
  </si>
  <si>
    <t>978-0-578-57618-3</t>
  </si>
  <si>
    <t>Engineering, Marine; Oceanography</t>
  </si>
  <si>
    <t>BP0JM</t>
  </si>
  <si>
    <t>WOS:000534568500171</t>
  </si>
  <si>
    <t>Kohut, J; Statscewich, H; Oliver, M; Fredj, E; Klinck, J; Dinniman, M; Bernard, K; Fraser, W</t>
  </si>
  <si>
    <t>Kohut, Josh; Statscewich, Hank; Oliver, Matthew; Fredj, Erick; Klinck, John; Dinniman, Mike; Bernard, Kim; Fraser, William</t>
  </si>
  <si>
    <t>Project SWARM: The application of an integrated polar ocean observing system to map the physical mechanisms driving food web focusing in an Antarctic biological hotspot.</t>
  </si>
  <si>
    <t>Polar Ocean Observing Systems; Marine Technology; Biological hotspots</t>
  </si>
  <si>
    <t>AGGREGATIONS; PENINSULA; KRILL</t>
  </si>
  <si>
    <t>The physical mechanisms that maintain and deliver phytoplankton and Antarctic krill biomass, potentially increasing prey availability to predators, are not well known. The short surface ocean residence times of 1-2 days over Palmer Deep is in conflict with the prevailing hypotheses that local growth support phytoplankton at the base of the food web in these biological hotspots. Instead, the implication is that horizontal dynamics are likely more important to maintaining these biological hotspots than local upwelling. However, coincident measures of phytoplankton, prey fields, and predator locations in their advective context have not been made to establish the ecological importance of horizontal flow. To better understand these important mechanisms, we are deploying a purpose built integrated polar observatory consisting of high frequency radar, coordinated gliders, small boat surveys, and moorings. This integrated polar observatory will enable us to simultaneously sample across the entire food web from the phytoplankton and prey fields to the top predators to understand the ocean features that support life in these polar systems. For the first time in this region, we will: 1) integrate sensors and technologies to simultaneously map phytoplankton blooms, krill aggregations, and top predator foraging relative to dynamic ocean features; 2) integrate these observations with a high-resolution (1.5 km) 3-D dynamic model simulation of the entire WAP coastal ocean to generalize our field measurements to other known hotspots along the WAP through simulation, and to determine which physical mechanisms lead to the maintenance of these hotspots.</t>
  </si>
  <si>
    <t>[Kohut, Josh] Rutgers State Univ, Piscataway, NJ 08854 USA; [Statscewich, Hank] Univ Alaska Fairbanks, Fairbanks, AK USA; [Oliver, Matthew] Univ Delaware, Newark, DE 19716 USA; [Fredj, Erick] Jerusalem Coll Technol, Jerusalem, Israel; [Klinck, John; Dinniman, Mike] Old Dominion Univ, Norfolk, VA 23529 USA; [Bernard, Kim] Oregon State Univ, Corvallis, OR 97331 USA; [Fraser, William] Polar Oceans Res Grp, Sheridan, MT USA</t>
  </si>
  <si>
    <t>Rutgers University System; Rutgers University New Brunswick; University of Alaska System; University of Alaska Fairbanks; University of Delaware; Old Dominion University; Oregon State University</t>
  </si>
  <si>
    <t>Kohut, J (corresponding author), Rutgers State Univ, Piscataway, NJ 08854 USA.</t>
  </si>
  <si>
    <t>Fredj, Erick/0000-0002-7991-4942; Klinck, John/0000-0003-4312-5201; Dinniman, Michael/0000-0001-7519-9278</t>
  </si>
  <si>
    <t>WOS:000534568500203</t>
  </si>
  <si>
    <t>Leadbitter, P; Hall, R; Brearly, A</t>
  </si>
  <si>
    <t>Leadbitter, Philip; Hall, Rob; Brearly, Alexander</t>
  </si>
  <si>
    <t>A methodology for Thorpe scaling 512 Hz fast thermistor data from buoyancy-driven gliders to estimate turbulent kinetic energy dissipation rate in the ocean</t>
  </si>
  <si>
    <t>Seaglider; Thorpe scale; Ocean mixing; Autonomous Vehicles</t>
  </si>
  <si>
    <t>A Kongsberg Seaglider with a microstructure package was deployed in the Faroe-Shetland Channel in 2017 as part of the 4th Marine Autonomous Systems in Support of Marine Observations (MASSMO4). Using the FP07 fast thermistor (512 Hz), the standard Seaglider thermistor (0.2 Hz) and potential density calculated from Seaglider conductivity-temperature sail (0.2 Hz) a comparison of the Thorpe Scale method has been made. Through this method turbulent kinetic energy (TKE) dissipation rates are inferred from the length-scale of a turbulent overturn. Comparison of the three physical quantities show that overturns with a comparable length-scale also have a comparable TKE dissipation rate. The range of estimated TKE dissipation rates from the 0.2 Hz data is also comparable to those inferred using the same method applied to potential density calculated from a ship mounted CTD.</t>
  </si>
  <si>
    <t>[Leadbitter, Philip; Hall, Rob] Univ East Anglia, Sch Environm Sci, Ctr Ocean &amp; Atmospher Sci, Norwich, Norfolk, England; [Brearly, Alexander] British Antarctic Survey, Cambridge, England</t>
  </si>
  <si>
    <t>University of East Anglia; UK Research &amp; Innovation (UKRI); Natural Environment Research Council (NERC); NERC British Antarctic Survey</t>
  </si>
  <si>
    <t>Leadbitter, P (corresponding author), Univ East Anglia, Sch Environm Sci, Ctr Ocean &amp; Atmospher Sci, Norwich, Norfolk, England.</t>
  </si>
  <si>
    <t>p.leadbitter@uea.ac.uk; robert.hall@uea.ac.uk; jambre@bas.ac.uk</t>
  </si>
  <si>
    <t>Hall, Rob/C-8007-2012</t>
  </si>
  <si>
    <t>Hall, Rob/0000-0002-3665-6322; Leadbitter, Philip/0000-0003-1886-0378</t>
  </si>
  <si>
    <t>Defence Science and Technology Laboratory</t>
  </si>
  <si>
    <t>SG613 is owned and maintained by the UEA Marine Support Facility. The glider was deployed as part of the fourth Marine Autonomous Systems in Support of Marine Observations mission (MASSMO4; funded primarily by the Defence Science and Technology Laboratory). The cooperation of the captain and crew of NRV Alliance (CMRE) are gratefully acknowledged. The glider data were processed by Gillian Damerell. Assistance with glider piloting was provided by the UEA Glider Group.</t>
  </si>
  <si>
    <t>WOS:000534568500229</t>
  </si>
  <si>
    <t>Wright, N; Chan, HK</t>
  </si>
  <si>
    <t>Wright, Nick; Chan, Hua Khee</t>
  </si>
  <si>
    <t>Drone Craft For Dual Flight and Subsea Operations Polar Adaption and Trials</t>
  </si>
  <si>
    <t>polar operations; drone; sea ice</t>
  </si>
  <si>
    <t>this paper presents trials of a novel drone craft that can both fly and also submerge itself and operate subsea or on the surface. It is designed for missions to make ocean science measurements close to shore (within 25km) and a relatively low sea-depth (less than 150m). It can carry a sensor payload to make ocean measurements or a camera system. Trials were undertaken in the arctic to investigate the suitability of such a craft for polar operation and to determine any necessary modifications.</t>
  </si>
  <si>
    <t>[Wright, Nick; Chan, Hua Khee] Newcastle Univ, Sch Engn, Newcastle, NSW, Australia</t>
  </si>
  <si>
    <t>University of Newcastle</t>
  </si>
  <si>
    <t>Wright, N (corresponding author), Newcastle Univ, Sch Engn, Newcastle, NSW, Australia.</t>
  </si>
  <si>
    <t>Nick.wright@ncl.ac.uk</t>
  </si>
  <si>
    <t>UK Engineering and Physical Sciences Research Council</t>
  </si>
  <si>
    <t>UK Engineering and Physical Sciences Research Council(UK Research &amp; Innovation (UKRI)Engineering &amp; Physical Sciences Research Council (EPSRC))</t>
  </si>
  <si>
    <t>The authors would like to express their sincere thanks to the staff at the UK NERC Arctic base and the British Antarctic Survey for their expert advice and assistance with this project. Financial support from the UK Engineering and Physical Sciences Research Council is also gratefully acknowledged.</t>
  </si>
  <si>
    <t>WOS:000534568500254</t>
  </si>
  <si>
    <t>Chernov, DG; Kabanov, DM; Kozlov, VS; Makshtas, AP; Radionov, VF; Sakerin, SM; Turchinovich, YS; Yausheva, EP</t>
  </si>
  <si>
    <t>Matvienko, GG; Romanovskii, OA</t>
  </si>
  <si>
    <t>Chernov, Dmitriy G.; Kabanov, Dmitriy M.; Kozlov, Valery S.; Makshtas, Aleksander P.; Radionov, Vladimir F.; Sakerin, Sergey M.; Turchinovich, Yuri S.; Yausheva, Elena P.</t>
  </si>
  <si>
    <t>PECULIARITIES of variability of aerosol characteristics in 2018 in polar regions (Severnaya Zemlya and Spitsbergen Archipelagos) and in Western Siberia</t>
  </si>
  <si>
    <t>25TH INTERNATIONAL SYMPOSIUM ON ATMOSPHERIC AND OCEAN OPTICS: ATMOSPHERIC PHYSICS</t>
  </si>
  <si>
    <t>25th International Symposium On Atmospheric and Ocean Optics - Atmospheric Physics</t>
  </si>
  <si>
    <t>JUN 30-JUL 05, 2019</t>
  </si>
  <si>
    <t>Novosibirsk, RUSSIA</t>
  </si>
  <si>
    <t>aerosol particle number density; mass concentration of absorbing matter (Black Carbon, soot); aerosol optical depth; Arctic; Western Siberia</t>
  </si>
  <si>
    <t>Results of measurements of optical and microphysical characteristics of atmospheric aerosol at the Mys Baranova ice base in 2018 are analyzed. Peculiarities of monthly average variability of aerosol characteristics are considered. The data are compared with the analogous (in particular, many-year) data obtained at the Barentsburg polar station and the mid-latitudinal Fonovaya Observatory. The impact of transported smokes on the measured parameters is demonstrated.</t>
  </si>
  <si>
    <t>[Chernov, Dmitriy G.; Kabanov, Dmitriy M.; Kozlov, Valery S.; Sakerin, Sergey M.; Turchinovich, Yuri S.; Yausheva, Elena P.] Russian Acad Sci, Siberian Branch, VE Zuev Inst Atmospher Opt, Acad Zuev Sq 1, Tomsk 634021, Russia; [Makshtas, Aleksander P.; Radionov, Vladimir F.] Arctic &amp; Antarctic Res Inst, 38 Bering Str, St Petersburg 199397, Russia</t>
  </si>
  <si>
    <t>Zuev Institute of Atmospheric Optics, Siberian Branch of the Russian Academy of Sciences; Russian Academy of Sciences; Arctic &amp; Antarctic Research Institute</t>
  </si>
  <si>
    <t>Chernov, DG (corresponding author), Russian Acad Sci, Siberian Branch, VE Zuev Inst Atmospher Opt, Acad Zuev Sq 1, Tomsk 634021, Russia.</t>
  </si>
  <si>
    <t>chernov@iao.ru</t>
  </si>
  <si>
    <t>Radionov, Vladimir F./O-3038-2017; Kabanov, Dmitry M./A-5805-2014; Yausheva, Elena/AAZ-5333-2020; Sakerin, Sergey/A-6508-2014</t>
  </si>
  <si>
    <t>Chernov, Dmitriy/0000-0003-1877-6678</t>
  </si>
  <si>
    <t>IAO SB RAS [AAAA-A17117021310142-5, AAAA-F18-1180125294-9]; Subprogram 4 Organization and Provision of Works and Scientific Studies in Arctic and Antarctic of the State Program of Russian Federation Environmental Protection for 2012 - 2020</t>
  </si>
  <si>
    <t>IAO SB RAS; Subprogram 4 Organization and Provision of Works and Scientific Studies in Arctic and Antarctic of the State Program of Russian Federation Environmental Protection for 2012 - 2020</t>
  </si>
  <si>
    <t>The authors are thankful to M.A. Loskutova and D.D. Rize (Arctic and Antarctic Research Institute) for participation in measurements and to S.A. Turchinovich and V.P. Shmargunov for preparation of devices. The study was carried out within the framework of the State Assignment of the IAO SB RAS (projects No. AAAA-A17117021310142-5 and No. AAAA-F18-1180125294-9) and with the support of Subprogram 4 Organization and Provision of Works and Scientific Studies in Arctic and Antarctic of the State Program of Russian Federation Environmental Protection for 2012 - 2020.</t>
  </si>
  <si>
    <t>978-1-5106-3169-4</t>
  </si>
  <si>
    <t>10.1117/12.2539588</t>
  </si>
  <si>
    <t>Meteorology &amp; Atmospheric Sciences; Oceanography; Optics</t>
  </si>
  <si>
    <t>BO8IG</t>
  </si>
  <si>
    <t>WOS:000527367300112</t>
  </si>
  <si>
    <t>Kashkin, VB; Dergunov, AV; Rubleva, TV; Odintsov, RV</t>
  </si>
  <si>
    <t>Kashkin, Valentine B.; Dergunov, Alexander V.; Rubleva, Tatyana V.; Odintsov, Roman V.</t>
  </si>
  <si>
    <t>Variation of the ozonosphere in the southern hemisphere in spring 2014 and 2015 based on satellite data</t>
  </si>
  <si>
    <t>space monitoring; satellite data; stratosphere; atmospheric dynamics; total ozone; ozone layer; Antarctic ozone hole; circumpolar vortex</t>
  </si>
  <si>
    <t>Satellite data were used to study changes in the Antarctic ozone hole (AOH) in 2014 and 2015. The formation of AOH is probably caused by the ozone mass transport from the polar areas to the mid-latitudes of the Southern Hemisphere. In November-December, the AOH is filled with the ozone moving from the mid-latitudes. In 2014, the ozone masses moving from the Polar region to the mid-latitudes and back were equal to each other, reaching over 70 million tons. No signs of ozone destruction were found in September-December 2014. In 2015, the difference between the ozone masses reached 70.9%. The most likely reason for this was the destruction of the stratospheric ozone by the products of the eruption of Calbuco Volcano in Chile.</t>
  </si>
  <si>
    <t>[Kashkin, Valentine B.; Rubleva, Tatyana V.; Odintsov, Roman V.] Siberian Fed Univ, Svobodny Str 79, Krasnoyarsk 660041, Russia; [Dergunov, Alexander V.] Russian Acad Sci, Siberian Branch, Inst Computat Modeling, Akademgorodok 50-44, Krasnoyarsk 660036, Russia</t>
  </si>
  <si>
    <t>Siberian Federal University; Russian Academy of Sciences; Krasnoyarsk Science Center of the Siberian Branch of the Russian Academy of Sciences; Institute of Computational Modelling of the Siberian Branch of the Russian Academy of Sciences</t>
  </si>
  <si>
    <t>Kashkin, VB (corresponding author), Siberian Fed Univ, Svobodny Str 79, Krasnoyarsk 660041, Russia.</t>
  </si>
  <si>
    <t>rtcvbk@rambler.ru</t>
  </si>
  <si>
    <t>Dergunov, Alexander/0000-0003-0705-2682</t>
  </si>
  <si>
    <t>112085U</t>
  </si>
  <si>
    <t>10.1117/12.2541104</t>
  </si>
  <si>
    <t>WOS:000527367300210</t>
  </si>
  <si>
    <t>Muryshev, KE; Eliseev, AV; Mokhov, II; Arzhanov, MM; Timazhev, AV; Denisov, SN</t>
  </si>
  <si>
    <t>Muryshev, Kiri E.; Eliseev, Alexey V.; Mokhov, Igor I.; Arzhanov, Maxim M.; Timazhev, Alexandr V.; Denisov, Sergey N.</t>
  </si>
  <si>
    <t>Time lag between changes in global temperature and atmospheric CO2 content according to the results of numerical experiments with Earth system models</t>
  </si>
  <si>
    <t>climate change; casual relationships; time lags</t>
  </si>
  <si>
    <t>SURFACE AIR-TEMPERATURE; ATLANTIC MULTIDECADAL OSCILLATION; GREENHOUSE-GAS; CARBON-DIOXIDE; INTERMEDIATE COMPLEXITY; ANTARCTIC TEMPERATURE; ANTHROPOGENIC FACTORS; CLIMATE RESPONSE; PHASE RELATION; ATTRIBUTION</t>
  </si>
  <si>
    <t>On the base of numerical experiments with the general circulation climatic model MIROC-ESM and climate model of intermediate complexity IAP RAS CM it was shown that the sign of the time lag between changes in global temperature T and atmospheric carbon dioxide content q(CO2) depends on the type and the time scale of the external forcing applied to the Earth system. In particular, modern climate models are able to reproduce the q(CO2) lagging behind T under conditions that are valid for the pre-industrial Holocene, so it does not contradict the idea of the importance of anthropogenic contribution to modern climate change.</t>
  </si>
  <si>
    <t>[Muryshev, Kiri E.; Eliseev, Alexey V.; Mokhov, Igor I.; Arzhanov, Maxim M.; Timazhev, Alexandr V.; Denisov, Sergey N.] RAS, AM Obukhov Inst Atmospher Phys, Moscow, Russia; [Eliseev, Alexey V.; Mokhov, Igor I.] Moscow MV Lomonosov State Univ, Moscow, Russia; [Eliseev, Alexey V.] Kazan Privolzhskii Fed Univ, Kazan, Russia; [Mokhov, Igor I.] State Univ, Moscow Inst Phys &amp; Technol, Dolgoprudnyi, Russia</t>
  </si>
  <si>
    <t>Russian Academy of Sciences; Obukhov Institute of Atmospheric Physics of Russian Academy of Sciences; Lomonosov Moscow State University; Kazan Federal University; Moscow Institute of Physics &amp; Technology</t>
  </si>
  <si>
    <t>Muryshev, KE (corresponding author), RAS, AM Obukhov Inst Atmospher Phys, Moscow, Russia.</t>
  </si>
  <si>
    <t>kmuryshev@mail.ru</t>
  </si>
  <si>
    <t>Denisov, Sergey/N-2700-2013; Arzhanov, Maxim/R-1691-2016; Eliseev, Alexey V. V/L-8707-2013; Timazhev, Alexander/AAV-1456-2021</t>
  </si>
  <si>
    <t>Denisov, Sergey/0000-0001-8978-8719; Arzhanov, Maxim/0000-0001-7332-0249; Timazhev, Alexander/0000-0001-7524-9124</t>
  </si>
  <si>
    <t>Russian Foundation for Basic Research [17-05-01097, 18-05-00087, 19-05-00409]; Fund for State Support of Kazan (Privolzhskii) Federal University; RSF [19-17-00240]; Russian Science Foundation [18-47-06203]</t>
  </si>
  <si>
    <t>Russian Foundation for Basic Research(Russian Foundation for Basic Research (RFBR)Spanish Government); Fund for State Support of Kazan (Privolzhskii) Federal University; RSF(Russian Science Foundation (RSF)); Russian Science Foundation(Russian Science Foundation (RSF))</t>
  </si>
  <si>
    <t>This work has been supported by the Russian Foundation for Basic Research (grants 17-05-01097, 18-05-00087, 19-05-00409), and the Fund for State Support of Kazan (Privolzhskii) Federal University aimed at improving the competitive capability among leading scientific and educational centers in the world, using the results obtained within RAS program Climate change: causes, risks, consequences, problems of adaptation and regulation. Analysis of cause-and-effect relationships was carried out within the framework of the RSF project 19-17-00240. The results related to the short-term interannual variability are supported by the Russian Science Foundation project 18-47-06203.</t>
  </si>
  <si>
    <t>112087U</t>
  </si>
  <si>
    <t>10.1117/12.2540793</t>
  </si>
  <si>
    <t>WOS:000527367300282</t>
  </si>
  <si>
    <t>Popova, SA; Simonova, GV; Makarov, VI; Kalashnikova, DA; Zenkova, PN; Lisitzin, AP; Novigatsky, AN</t>
  </si>
  <si>
    <t>Popova, Svetlana A.; Simonova, Galina V.; Makarov, Valery I.; Kalashnikova, Dania A.; Zenkova, Polina N.; Lisitzin, Alexander P.; Novigatsky, Alexander N.</t>
  </si>
  <si>
    <t>Variations of the carbon isotope composition and of organic and elemental carbon concentrations of the North Atlantic aerosols</t>
  </si>
  <si>
    <t>organic carbon; elemental carbon; carbon isotope composition (delta C-13); the North Atlantic</t>
  </si>
  <si>
    <t>EMISSIONS</t>
  </si>
  <si>
    <t>The work reports the results of the measurements of particulate matter (PM), organic (OC) and elemental (EC) carbon mass concentrations, and carbon isotope composition (delta C-13) in atmospheric aerosol sampled along the route of the research vessel Academician Mstislav Keldysh (71 voyage). The measurements were carried out over the Baltic Sea - the North Sea - the North Atlantic - the Norwegian Sea - the Barents Sea from June to August 2018. The increased OC, EC concentrations and the high delta C-13 value in the samples collected off the coast of Greenland are shown to be not due to marine origin, but due to the transfer of atmospheric aerosol formed in Canada during biomass burning (forest fires).</t>
  </si>
  <si>
    <t>[Popova, Svetlana A.; Makarov, Valery I.] RAS, Voevodsky Inst Chem Kinet &amp; Combust, SB, 3 Inst Skaya Str, Novosibirsk 630090, Russia; [Simonova, Galina V.; Kalashnikova, Dania A.] RAS, Inst Monitoring Climat &amp; Ecol Syst, SB, 10-3 Acad Sky Ave, Tomsk 634055, Russia; [Zenkova, Polina N.] RAS, VE Zuev Inst Atmospher Opt, SB, 1 Academician Zuev sq, Tomsk 634055, Russia; [Lisitzin, Alexander P.; Novigatsky, Alexander N.] RAS, PP Shirshov Inst Oceanol, 36 Nahimovskiy Pr, Moscow 117997, Russia</t>
  </si>
  <si>
    <t>Voevodsky Institute of Chemical Kinetics &amp; Combustion SB RAS; Russian Academy of Sciences; Russian Academy of Sciences; Institute of Monitoring of Climatic &amp; Ecological Systems of the Siberian Branch of the RAS; Zuev Institute of Atmospheric Optics, Siberian Branch of the Russian Academy of Sciences; Russian Academy of Sciences; Russian Academy of Sciences; Shirshov Institute of Oceanology</t>
  </si>
  <si>
    <t>Popova, SA (corresponding author), RAS, Voevodsky Inst Chem Kinet &amp; Combust, SB, 3 Inst Skaya Str, Novosibirsk 630090, Russia.</t>
  </si>
  <si>
    <t>popova@kinetics.nsc.ru</t>
  </si>
  <si>
    <t>Polina, Zenkova/AAZ-3429-2020; Popova, Svetlana/AAC-2922-2022; Novigatsky, A.N./D-5591-2017</t>
  </si>
  <si>
    <t>Popova, Svetlana/0000-0002-5875-8207; Novigatsky, A.N./0000-0003-2814-878X; Zenkova, Polina/0009-0008-4294-7274</t>
  </si>
  <si>
    <t>Fundamental Research of SB RAS II.1 [0368-2018-0014, 0304-2018-0004, 0369-2018-0014]</t>
  </si>
  <si>
    <t>Fundamental Research of SB RAS II.1</t>
  </si>
  <si>
    <t>The work was performed in the framework of the Complex program of the Fundamental Research of SB RAS II.1 (projects No 0368-2018-0014, 0304-2018-0004 and 0369-2018-0014) and Subprogram 4 Organization and provision of works and scientific investigations in the Arctic and Antarctic of the State Program of Russian Federation Environmental protection for 2012-2020.</t>
  </si>
  <si>
    <t>112082V</t>
  </si>
  <si>
    <t>10.1117/12.2538888</t>
  </si>
  <si>
    <t>WOS:000527367300103</t>
  </si>
  <si>
    <t>Sakerin, SM; Zenkova, PN; Izosimova, ON; Kabanov, DM; Pol'kin, VV; Radionov, VF; Malafeev, GV; Shevchenko, VP</t>
  </si>
  <si>
    <t>Sakerin, Sergey M.; Zenkova, Polina N.; Izosimova, Olga N.; Kabanov, Dmitry M.; Pol'kin, Viktor V.; Radionov, Vladimir F.; Malafeev, Georgiy V.; Shevchenko, Vladimir P.</t>
  </si>
  <si>
    <t>Measurements of aerosol optical and microphysical characteristics in 2018 expeditions onboard RV Akademik Mstislav Keldysh and RV Akademik Tryoshnikov</t>
  </si>
  <si>
    <t>aerosol; black carbon; expeditions; ocean; Arctic</t>
  </si>
  <si>
    <t>BLACK CARBON; AIR</t>
  </si>
  <si>
    <t>We discuss the specific features of the spatial distribution of aerosol and black carbon concentrations in the near-ground atmospheric layer, as well as of aerosol optical depth ( AOD) over the North Atlantic and Arctic Ocean according to measurements in two marine expeditions in 2018. On the average, the spatial distribution shows aerosol characteristics, decreasing with the growing latitude (from the Baltic to Barents Sea), and comparably low characteristics over Arctic seas, from the Barents to Eastern Siberian Sea. The average aerosol characteristics over the Arctic Ocean were: 4.8 cm(-3) for number concentrations of particles (with diameters of 0.4 - 10 mu m), 40 ng/m(3) for black carbon mass concentration, and 0.048 for AOD (0.5 mu m). The largest characteristics were obtained in the south of the Barents Sea (near Scandinavia), with values 11 cm(-3) for particle concentration, 310 ng/m(3) for black carbon concentration, and 0.164 for AOD (0.5 mu m).</t>
  </si>
  <si>
    <t>[Sakerin, Sergey M.; Zenkova, Polina N.; Kabanov, Dmitry M.; Pol'kin, Viktor V.] Russian Acad Sci, Siberian Branch, VE Zuev Inst Atmospher Opt, Acad Zuev Sq 1, Tomsk 634021, Russia; [Izosimova, Olga N.] Russian Acad Sci, Siberian Branch, Limnol Inst, 3 Ulan Batorskaya Str, Irkutsk 664033, Russia; [Radionov, Vladimir F.] Arctic &amp; Antarctic Reserch Inst, 38 Bering Str, St Petersburg 199397, Russia; [Malafeev, Georgiy V.; Shevchenko, Vladimir P.] Russian Acad Sci, PP Shirshov Inst Oceanol, Nakhimovsky Prospect 36, Moscow 117997, Russia</t>
  </si>
  <si>
    <t>Russian Academy of Sciences; Zuev Institute of Atmospheric Optics, Siberian Branch of the Russian Academy of Sciences; Irkutsk Science Centre of the Russian Academy of Sciences; Russian Academy of Sciences; Limnological Institute SB RAS; Russian Academy of Sciences; Shirshov Institute of Oceanology</t>
  </si>
  <si>
    <t>Sakerin, SM (corresponding author), Russian Acad Sci, Siberian Branch, VE Zuev Inst Atmospher Opt, Acad Zuev Sq 1, Tomsk 634021, Russia.</t>
  </si>
  <si>
    <t>sms@iao.ru</t>
  </si>
  <si>
    <t>Sakerin, Sergey/A-6508-2014; Polina, Zenkova/AAZ-3429-2020; Shevchenko, Vladimir P./C-2096-2014; Kabanov, Dmitry M./A-5805-2014; Radionov, Vladimir F./O-3038-2017; Kabanov, Dmitry/A-4871-2014</t>
  </si>
  <si>
    <t>Zenkova, Polina/0009-0008-4294-7274</t>
  </si>
  <si>
    <t>Complex Program of Basic Research II.1, Siberian Branch, Russian Academy of Sciences [AAAA-Phi18-118012500294-9]; Ministry of Education and Science of the Russian Federation [RFMEFI61617X0076]; Subprogram 4 Organization and support of works and scientific studies in the Arctic and Antarctica of the State Program of the Russian Federation Environmental Protection for 2012 - 2020</t>
  </si>
  <si>
    <t>Complex Program of Basic Research II.1, Siberian Branch, Russian Academy of Sciences(Russian Academy of Sciences); Ministry of Education and Science of the Russian Federation(Ministry of Education and Science, Russian Federation); Subprogram 4 Organization and support of works and scientific studies in the Arctic and Antarctica of the State Program of the Russian Federation Environmental Protection for 2012 - 2020</t>
  </si>
  <si>
    <t>This work was supported in part by the Complex Program of Basic Research II.1, Siberian Branch, Russian Academy of Sciences (through project no. AAAA-Phi 18-118012500294-9), Ministry of Education and Science of the Russian Federation (through project RFMEFI61617X0076), and Subprogram 4 Organization and support of works and scientific studies in the Arctic and Antarctica of the State Program of the Russian Federation Environmental Protection for 2012 - 2020.</t>
  </si>
  <si>
    <t>10.1117/12.2539793</t>
  </si>
  <si>
    <t>WOS:000527367300117</t>
  </si>
  <si>
    <t>Sakerin, SM; Kabanov, DM; Pol'kin, VV</t>
  </si>
  <si>
    <t>Sakerin, Sergey M.; Kabanov, Dmitry M.; Pol'kin, Viktor V.</t>
  </si>
  <si>
    <t>Estimates of interannual variations in aerosol characteristics over the Eastern Atlantic and South Ocean</t>
  </si>
  <si>
    <t>aerosol and black carbon concentrations; aerosol optical depth; Atlantic and Southern Ocean</t>
  </si>
  <si>
    <t>BLACK CARBON; OPTICAL-PROPERTIES; OSCILLATION</t>
  </si>
  <si>
    <t>Based on multiyear (2004-2018) studies of atmospheric aerosol on the route of the Russian Antarctic expeditions (from English Channel to Antarctica), we analyze the specific features of interannual variations in aerosol optical depth of the atmosphere and aerosol and black carbon concentrations in four latitude zones of the Eastern Atlantic (25 degrees N - 60 degrees N, 20 degrees N - 0 degrees, 5 degrees S - 33 degrees S, and 40 degrees S - 63 degrees S). Data on interannual variability ranges of aerosol characteristics in different zones and trend estimates are presented.</t>
  </si>
  <si>
    <t>[Sakerin, Sergey M.; Kabanov, Dmitry M.; Pol'kin, Viktor V.] Russian Acad Sci, Siberian Branch, VE Zuev Inst Atmospher Opt, Acad Zuev Sq 1, Tomsk 634021, Russia</t>
  </si>
  <si>
    <t>Zuev Institute of Atmospheric Optics, Siberian Branch of the Russian Academy of Sciences; Russian Academy of Sciences</t>
  </si>
  <si>
    <t>Sakerin, Sergey/A-6508-2014; Kabanov, Dmitry M./A-5805-2014; Kabanov, Dmitry/A-4871-2014</t>
  </si>
  <si>
    <t>[18118012500294-9]; [AAAA-A17-117021310142-5]</t>
  </si>
  <si>
    <t>;</t>
  </si>
  <si>
    <t>The work was performed within the framework of the State Task of the IAO SB RAS -project no. AAAA-Phi 18118012500294-9 and AAAA-A17-117021310142-5.</t>
  </si>
  <si>
    <t>112083C</t>
  </si>
  <si>
    <t>10.1117/12.2539895</t>
  </si>
  <si>
    <t>WOS:000527367300120</t>
  </si>
  <si>
    <t>La, HS; Park, K; Chae, JY; Park, T; Park, J</t>
  </si>
  <si>
    <t>La, Hyoung Sul; Park, Keyhong; Chae, Jeong Yeob; Park, Taewook; Park, Jisoo</t>
  </si>
  <si>
    <t>Climatic factors and their robust evidences controlling phytoplankton biomass in the Bransfield Strait</t>
  </si>
  <si>
    <t>TERRESTRIAL ATMOSPHERIC AND OCEANIC SCIENCES</t>
  </si>
  <si>
    <t>Chlorophyll; Interannual variation; ENSO; Bransfield Strait; Antarctica</t>
  </si>
  <si>
    <t>WESTERN ANTARCTIC PENINSULA; SEA-ICE; MIXED-LAYER; SUMMER; OCEAN; DISTRIBUTIONS; VARIABILITY; ENSO; PRODUCTIVITY; COMMUNITIES</t>
  </si>
  <si>
    <t>The long-term variability of chlorophyll a (Chl-a) was analyzed during a 12-year period (2002 - 2014) in the Bransfield Strait, Antarctica, to assess the interannual variability of the Chl-a and its main regulating environmental variables. We found that Chl-a was significantly correlated with the El Nino Southern Oscillation (ENSO) phase (r = -0.65), sea surface temperature (SST) (r = 0.70), and wind speed (r = 0.72), and changes in these factors preceded the Chl-a change by 0 - 4 months. High phytoplankton blooms (indicated by Chl-a levels) tended to coincide with higher SSTs, and lagged with wind speed variation during La Nina periods. This suggests that atmospheric teleconnections with ENSO-related processes, SST, and wind speed could have a direct impact on phytoplankton biomass in the Bransfield Strait in short-term (&lt; 4 months) scales. Furthermore, our simple multivariable regression analysis showed the prominent possibility of using the three variables to predict Chla in the Bransfield Strait region. Overall, this study will help us to understand how atmospheric and oceanic fluctuations could affect phytoplankton dynamics in the Southern Ocean.</t>
  </si>
  <si>
    <t>[La, Hyoung Sul; Park, Keyhong; Chae, Jeong Yeob; Park, Taewook; Park, Jisoo] Korea Polar Res Inst, Div Polar Ocean Sci, Incheon, South Korea; [Chae, Jeong Yeob] Inha Univ, Dept Ocean Sci, Incheon, South Korea</t>
  </si>
  <si>
    <t>Korea Polar Research Institute (KOPRI); Inha University</t>
  </si>
  <si>
    <t>Park, K (corresponding author), Korea Polar Res Inst, Div Polar Ocean Sci, Incheon, South Korea.</t>
  </si>
  <si>
    <t>keyhongpark@kopri.re.kr</t>
  </si>
  <si>
    <t>La, Hyoung Sul/0000-0003-1285-580X</t>
  </si>
  <si>
    <t>Korea Polar Research Institute [PE19060, PE 19070, PE 19200]</t>
  </si>
  <si>
    <t>This work was supported by Korea Polar Research Institute (PE19060 and PE 19070) and additional data processing and analysis was supported by a grant from (PE 19200). All datasets used in this paper are available upon request from the corresponding author (key-hongpark@kopri.re.kr).</t>
  </si>
  <si>
    <t>CHINESE GEOSCIENCE UNION</t>
  </si>
  <si>
    <t>TAIPEI</t>
  </si>
  <si>
    <t>PO BOX 23-59, TAIPEI 10764, TAIWAN</t>
  </si>
  <si>
    <t>1017-0839</t>
  </si>
  <si>
    <t>2311-7680</t>
  </si>
  <si>
    <t>TERR ATMOS OCEAN SCI</t>
  </si>
  <si>
    <t>Terr. Atmos. Ocean. Sci.</t>
  </si>
  <si>
    <t>10.3319/TAO.2019.04.30.01</t>
  </si>
  <si>
    <t>Geosciences, Multidisciplinary; Meteorology &amp; Atmospheric Sciences; Oceanography</t>
  </si>
  <si>
    <t>Geology; Meteorology &amp; Atmospheric Sciences; Oceanography</t>
  </si>
  <si>
    <t>LG6HE</t>
  </si>
  <si>
    <t>WOS:000528198900007</t>
  </si>
  <si>
    <t>Karsten, U; Schumann, R; Holzinger, A</t>
  </si>
  <si>
    <t>Seckbach, J; Gordon, R</t>
  </si>
  <si>
    <t>Karsten, Ulf; Schumann, Rhena; Holzinger, Andreas</t>
  </si>
  <si>
    <t>Ecophysiology, Cell Biology and Ultrastructure of a Benthic Diatom Isolated in the Arctic</t>
  </si>
  <si>
    <t>DIATOMS: FUNDAMENTALS AND APPLICATIONS</t>
  </si>
  <si>
    <t>Arctic; cell activity; cell viability; chloroplast; dark survival; growth; mitochondria; polar night; respiration; storage lipids; survival; temperature; viability dyes</t>
  </si>
  <si>
    <t>PROLONGED DARKNESS; LAMINARIA-SOLIDUNGULA; ORGANIC-COMPOUNDS; FRESH-WATER; TEMPERATURE; GROWTH; LIGHT; PHYTOPLANKTON; KONGSFJORDEN; MICROPHYTOBENTHOS</t>
  </si>
  <si>
    <t>Benthic diatoms are common and abundant components of soft bottom microphytobenthic communities in the shallow water coastal zones of the Arctic region. This phototrophic community plays an ecological key role as high primary producer, as major food source for benthic suspension or deposit feeders, as filter for oxygen and other elemental fluxes at the sediment/water interface and as stabilizer of sediment surfaces by the excretion of extracellular polymeric substances. Consequently, benthic diatoms represent a key component in the functioning of trophic webs in many Arctic coastal regions. The Arctic exhibits strong seasonally fluctuating environmental conditions which have strong implications for primary production and seasonal growth of benthic diatoms. Particularly temperature and the polar night act as stressors, and hence their effects on the physiology and cell biology of Navicula directa isolated from a subtidal rock of Kongsfjorden, Svalbard was studied in detail. All data indicate that this representative and abundant species is well adapted to the harsh environmental conditions in the Arctic.</t>
  </si>
  <si>
    <t>[Karsten, Ulf; Schumann, Rhena] Univ Rostock, Inst Biol Sci Appl Ecol &amp; Phycol, Rostock, Germany; [Holzinger, Andreas] Univ Innsbruck, Dept Bot, Funct Plant Biol, Innsbruck, Austria</t>
  </si>
  <si>
    <t>University of Rostock; University of Innsbruck</t>
  </si>
  <si>
    <t>Karsten, U (corresponding author), Univ Rostock, Inst Biol Sci Appl Ecol &amp; Phycol, Rostock, Germany.</t>
  </si>
  <si>
    <t>ulf.karsten@uni-rostock.de</t>
  </si>
  <si>
    <t>Holzinger, Andreas/Z-2659-2019</t>
  </si>
  <si>
    <t>Holzinger, Andreas/0000-0002-7745-3978</t>
  </si>
  <si>
    <t>Deutsche Forschungsgemeinschaft [KA899/12-1/2/3, KA 899/15-1/2]</t>
  </si>
  <si>
    <t>Deutsche Forschungsgemeinschaft(German Research Foundation (DFG))</t>
  </si>
  <si>
    <t>We thank Mandy Rickler, University of Rostock for providing some of the ecophysiological and cell biological data. Moreover, we thank Doris Kofler, University of Innsbruck, for help in silica scale preparation by H2O2 digestion. The field-work has been performed at the Ny-Alesund InternationalArctic Environmental Research and Monitoring Facility. The authors thank the crew and divers at the AWIPEV-base in Ny Alesund for technical support. Ulf Karsten greatly appreciates financial support by the Deutsche Forschungsgemeinschaft (Projects KA899/12-1/2/3 and KA 899/15-1/2) in the frame of Priority Program 1158 Antarctic Research.</t>
  </si>
  <si>
    <t>SCRIVENER PUBLISHING LLC</t>
  </si>
  <si>
    <t>BEVERLY</t>
  </si>
  <si>
    <t>100 CUMMINGS CENTER, STE 541J, BEVERLY, MA 01915-6106 USA</t>
  </si>
  <si>
    <t>978-1-11-937073-4; 978-1-11-937021-5</t>
  </si>
  <si>
    <t>10.1002/9781119370741</t>
  </si>
  <si>
    <t>Marine &amp; Freshwater Biology; Microbiology</t>
  </si>
  <si>
    <t>BO8EL</t>
  </si>
  <si>
    <t>WOS:000526928100014</t>
  </si>
  <si>
    <t>Sanders, ARD; Sandvik, PT; Storli, E</t>
  </si>
  <si>
    <t>Regulating the Natural Resources in the Antarctic Region A Historical Review</t>
  </si>
  <si>
    <t>POLITICAL ECONOMY OF RESOURCE REGULATION: AN INTERNATIONAL AND COMPARATIVE HISTORY, 1850-2015</t>
  </si>
  <si>
    <t>[Basberg, Bjorn L.] Norwegian Sch Econ NHH, Econ Hist, Bergen, Norway</t>
  </si>
  <si>
    <t>Basberg, BL (corresponding author), Norwegian Sch Econ NHH, Econ Hist, Bergen, Norway.</t>
  </si>
  <si>
    <t>UNIV BRITISH COLUMBIA PRESS</t>
  </si>
  <si>
    <t>VANCOUVER</t>
  </si>
  <si>
    <t>6344 MEMORIAL RD, VANCOUVER, BC V6T 1Z2, CANADA</t>
  </si>
  <si>
    <t>978-0-7748-6062-8</t>
  </si>
  <si>
    <t>Economics; History</t>
  </si>
  <si>
    <t>Business &amp; Economics; History</t>
  </si>
  <si>
    <t>BO7KE</t>
  </si>
  <si>
    <t>WOS:000524666700012</t>
  </si>
  <si>
    <t>Huber, BT; Hobbs, RW; Bogus, KA; Batenburg, SJ; Brumsack, HJ; Guerra, RD; Edgar, KM; Edvardsen, T; Tejada, MLG; Harry, DL; Hasegawa, T; Haynes, SJ; Jiang, T; Jones, MM; Kuroda, J; Lee, EY; Li, YX; MacLeod, KG; Maritati, A; Martinez, M; O'Connor, LK; Petrizzo, MR; Quan, TM; Richter, C; Riquier, L; Tagliaro, GT; Wainman, CC; Watkins, DK; White, LT; Wolfgring, E; Xu, Z</t>
  </si>
  <si>
    <t>Hobbs, RW; Huber, BT; Bogus, KA</t>
  </si>
  <si>
    <t>Expedit 369 Scientists</t>
  </si>
  <si>
    <t>Huber, B. T.; Hobbs, R. W.; Bogus, K. A.; Batenburg, S. J.; Brumsack, H. -J.; do Monte Guerra, R.; Edgar, K. M.; Edvardsen, T.; Tejada, M. L. Garcia; Harry, D. L.; Hasegawa, T.; Haynes, S. J.; Jiang, T.; Jones, M. M.; Kuroda, J.; Lee, E. Y.; Li, Y. -X.; MacLeod, K. G.; Maritati, A.; Martinez, M.; O'Connor, L. K.; Petrizzo, M. R.; Quan, T. M.; Richter, C.; Riquier, L.; Tagliaro, G. T.; Wainman, C. C.; Watkins, D. K.; White, L. T.; Wolfgring, E.; Xu, Z.</t>
  </si>
  <si>
    <t>Expedition 369 summary</t>
  </si>
  <si>
    <t>AUSTRALIA CRETACEOUS CLIMATE AND TECTONICS</t>
  </si>
  <si>
    <t>Proceedings of the International Ocean Discovery Program</t>
  </si>
  <si>
    <t>International Ocean Discovery Program; IODP; JOIDES Resolution; Expedition 369; Site U1512; Site U1513; Site U1514; Site U1515; Site U1516; Hot Cretaceous Greenhouse; oceanic anoxic events; Mentelle Basin; Naturaliste Plateau; Great Australian Bight; Gondwana breakup; Tasman Gateway; Indonesian Gateway; cyclostratigraphy; carbon isotope excursions; Paleocene/Eocene Thermal Maximum; Eocene greenhouse; Miocene; volcanic rifted margin; nonvolcanic rifted margin</t>
  </si>
  <si>
    <t>STABLE ISOTOPIC EVIDENCE; DEEP-WATER CIRCULATION; OCEAN CIRCULATION; INDONESIAN THROUGHFLOW; LEEUWIN CURRENT; CRETACEOUS GREENHOUSE; SOUTHERN-OCEAN; NORTH-ATLANTIC; ANOXIC EVENTS; EVOLUTION</t>
  </si>
  <si>
    <t>The tectonic and paleoceanographic setting of the Great Australian Bight (GAB) and the Mentelle Basin (adjacent to Naturaliste Plateau) offered an opportunity to investigate Cretaceous and Cenozoic climate change and ocean dynamics during the last phase of breakup among remnant Gondwana continents. Sediment recovered from sites in both regions during International Ocean Discovery Program Expedition 369 will provide a new perspective on Earth's temperature variation at subpolar latitudes (60 degrees-62 degrees S) across the extremes of the mid-Cretaceous hot greenhouse climate and the cooling that followed. Basalts and prebreakup sediments were also recovered and will provide constraints regarding the type and age of the Mentelle Basin basement and processes operating during the break up of Gondwana. The primary goals of the expedition were to Investigate the timing and causes for the rise and collapse of the Cretaceous hot greenhouse climate and how this climate mode affected the climate-ocean system and oceanic biota; Determine the relative roles of productivity, ocean temperature, and ocean circulation at high southern latitudes during Cretaceous oceanic anoxic events (OAEs); Investigate potential source regions for deep-water and intermediate-water masses in the southeast Indian Ocean and how these changed during Gondwana breakup; Characterize how oceanographic conditions at the Mentelle Basin changed during the Cenozoic opening of the Tasman Gateway and restriction of the Indonesian Gateway; and Resolve questions on the volcanic and sedimentary origins of the Australo-Antarctic Gulf and Mentelle Basin and provide stratigraphic control on the age and nature of the prebreakup successions. Hole U1512A in the GAB recovered a 691 m thick sequence of black claystone ranging from the lower Turonian to the lower Campanian. Age control is primarily based on calcareous nannofossils, but the presence of other microfossil groups provided consistent low-resolution control. Despite the lithologic uniformity, long- and short-term variations in natural gamma radiation and magnetic susceptibility show cyclic alternations that suggest an orbital control of sediment deposition, which will be useful for developing an astrochronology for the sequence. Sites U1513, U1514, U1515, and U1516 were drilled in water depths between 850 and 3900 m in the Mentelle Basin and penetrated 774, 517, 517, and 542 meters below seafloor, respectively. Under a thin layer of Pleistocene to upper Miocene sediment, Site U1513 cored a succession of Cretaceous units from the Campanian to the Valanginian, as well as a succession of basalts. Site U1514 sampled an expanded Pleistocene to Eocene sequence and terminated in the upper Albian. The Cenomanian to Turonian interval at Site U1514 is represented by deformed sedimentary rocks that probably represent a detachment zone. Site U1515 is located on the west Australian margin at 850 m water depth and was the most challenging site to core because much of the upper 350 m was either chert or poorly consolidated sand. However, the prebreakup Jurassic(?) sediments interpreted from the seismic profiles were successfully recovered. Site U1516 cored an expanded Pleistocene, Neogene, and Paleogene section and recovered a complete Cenomanian/Turonian boundary interval containing five layers with high organic carbon content. Study of the well-preserved calcareous microfossil assemblages from different paleodepths will enable generation of paleotemperature and biotic records that span the rise and collapse of the Cretaceous hot greenhouse (including OAEs 1d and 2), providing insight to resultant changes in deep-water and surface water circulation that can be used to test predictions from earth system models. Measurements of paleotemperature proxies and other data will reveal the timing, magnitude, and duration of peak hothouse conditions and any cold snaps that could have allowed growth of a polar ice sheet. The sites contain a record of the mid-Eocene to early Oligocene opening of the Tasman Gateway and the Miocene to Pliocene restriction of the Indonesian Gateway; both passages have important effects on global oceanography and climate. Advancing understanding of the paleoceanographic changes in a regional context will provide a global test on models of Cenomanian to Turonian oceanographic and climatic evolution related both to extreme Turonian warmth and the evolution of OAE 2. The Early Cretaceous volcanic rocks and underlying Jurassic(?) sediments cored in different parts of the Mentelle Basin provide information on the timing of different stages of the Gondwana breakup. The recovered cores provide sufficient new age constraints to underpin a reevaluation of the basin-wide seismic stratigraphy and tectonic models for the region.</t>
  </si>
  <si>
    <t>[Huber, B. T.] Smithsonian Inst, Natl Museum Nat Hist, Dept Paleobiol, Washington, DC 20560 USA; [Hobbs, R. W.] Univ Durham, Dept Earth Sci, Durham, England; [Bogus, K. A.] Texas A&amp;M Univ, Int Ocean Discovery Program, College Stn, TX 77843 USA; [Bogus, K. A.] Univ Exeter, Camborne Sch Mines, Exeter, Devon, England; [Batenburg, S. J.; O'Connor, L. K.] Univ Oxford, Dept Earth Sci, Oxford, England; [Brumsack, H. -J.] Carl von Ossietzky Univ Oldenburg, Inst Chem &amp; Biol Meeres ICBM, Oldenburg, Germany; [do Monte Guerra, R.] Univ Vale Rio Sinos UNISINOS, Technol Inst Micropaleontol, Sao Leopoldo, Brazil; [Edgar, K. M.] Univ Birmingham, Sch Geog Earth &amp; Environm Sci, Birmingham, W Midlands, England; [Edvardsen, T.] Univ Copenhagen, Nat Hist Museum Denmark, Copenhagen, Denmark; [Tejada, M. L. Garcia] Japan Agcy Marine Earth Sci &amp; Technol, Inst Res Earth Evolut IFREE, Yokosuka, Kanagawa, Japan; [Harry, D. L.] Colorado State Univ, Dept Geosci, Ft Collins, CO 80523 USA; [Hasegawa, T.] Kanazawa Univ, Fac Nat Syst, Dept Earth Sci, Kanazawa, Ishikawa, Japan; [Haynes, S. J.] Princeton Univ, Dept Geosci, Princeton, NJ 08544 USA; [Jiang, T.] China Univ Geosci, Coll Marine Sci &amp; Engn, Wuhan, Peoples R China; [Jones, M. M.] Northwestern Univ, Earth &amp; Planetary Sci, Evanston, IL 60208 USA; [Kuroda, J.] Univ Tokyo, Atmosphere &amp; Ocean Res Inst, Tokyo, Japan; [Lee, E. Y.] Chonnam Natl Univ, Fac Earth Syst &amp; Environm Sci, Gwangju, South Korea; [Li, Y. -X.] Nanjing Univ, Sch Earth Sci &amp; Engn, Nanjing, Peoples R China; [MacLeod, K. G.] Univ Missouri, Dept Geol Sci, Columbia, MO USA; [Maritati, A.] Univ Tasmania, Inst Marine &amp; Antarctic Studies IMAS, Hobart, Tas, Australia; [Martinez, M.] Univ Rennes 1, Geosci Rennes, Rennes, France; [Petrizzo, M. R.] Univ Milan, Dept Earth Sci, Milan, Italy; [Quan, T. M.] Oklahoma State Univ, Boone Pickens Sch Geol, Stillwater, OK 74078 USA; [Richter, C.] Univ Louisiana Lafayette, Sch Geosci, Lafayette, LA 70504 USA; [Riquier, L.] Univ Paris 06, Inst Sci Terre Paris ISTEP, Paris, France; [Tagliaro, G. T.] Univ Texas Austin, Inst Geophys, Austin, TX 78712 USA; [Wainman, C. C.] Univ Adelaide, Australian Sch Petr, Adelaide, SA, Australia; [Watkins, D. K.] Univ Nebraska, Earth &amp; Atmospher Sci, Lincoln, NE USA; [White, L. T.] Univ Wollongong, Sch Earth &amp; Environm Sci, Wollongong, NSW, Australia; [Wolfgring, E.] Univ Vienna, Dept Paleontol, Dept Geodynam &amp; Sedimentol, Vienna, Austria; [Xu, Z.] Chinese Acad Sci, Inst Oceanol, Beijing, Peoples R China</t>
  </si>
  <si>
    <t>Smithsonian Institution; Smithsonian National Museum of Natural History; Durham University; Texas A&amp;M University System; Texas A&amp;M University College Station; University of Exeter; University of Oxford; Carl von Ossietzky Universitat Oldenburg; Universidade do Vale do Rio dos Sinos (Unisinos); University of Birmingham; University of Copenhagen; Japan Agency for Marine-Earth Science &amp; Technology (JAMSTEC); Colorado State University; Kanazawa University; Princeton University; China University of Geosciences; Northwestern University; University of Tokyo; Chonnam National University; Nanjing University; University of Missouri System; University of Missouri Columbia; University of Tasmania; Universite de Rennes; University of Milan; Oklahoma State University System; Oklahoma State University - Stillwater; University of Louisiana Lafayette; Sorbonne Universite; University of Texas System; University of Texas Austin; University of Adelaide; University of Nebraska System; University of Nebraska Lincoln; University of Wollongong; University of Vienna; Chinese Academy of Sciences; Institute of Oceanology, CAS</t>
  </si>
  <si>
    <t>Huber, BT (corresponding author), Smithsonian Inst, Natl Museum Nat Hist, Dept Paleobiol, Washington, DC 20560 USA.</t>
  </si>
  <si>
    <t>huberb@si.edu; r.w.hobbs@durham.ac.uk; K.Bogus@exeter.ac.uk; sietske.batenburg@earth.ox.ac.uk; brumsack@icbm.de; rodrigomguerra1@gmail.com; k.m.edgar@bham.ac.uk; trine.arp@snm.ku.dk; mtejada@jamstec.go.jp; dennis.harry@colostate.edu; jh7ujr@staff.kanazawa-u.ac.jp; sjhaynes@princeton.edu; taojiang@cug.edu.cn; matthewjones2012@u.northwestern.edu; kuroda@aori.u-tokyo.ac.jp; eun.y.leeee@gmail.com; yxli@nju.edu.cn; macleodk@missouri.edu; alessandro.maritati@utas.edu.au; Mathieu.martinez@univ-rennes1.fr; lauren.oconnor@univ.ox.ac.uk; mrose.petrizzo@unimi.it; tracy.quan@okstate.edu; richter@louisiana.edu; laurent.riquier@upmc.fr; gtagliaro@utexas.edu; carmine.wainman@adelaide.edu.au; dwatkins1@unl.edu; lloydw@uow.edu.au; erik.wolfgring@univie.ac.at; zhaokaixu@qdio.ac.cn</t>
  </si>
  <si>
    <t>Jiang, Tao/N-9447-2018; Riquier, Laurent/AAZ-4381-2020; Wolfgring, Erik/HMP-6346-2023; Batenburg, Sietske J./AAD-6896-2019; Edvardsen, Trine/Y-4809-2019; MacLeod, Kenneth Gillies/C-4042-2017; Kuroda, Junichiro/A-3007-2016; Martinez, Mathieu/N-9746-2015; Lee, Eun Young/AGT-7876-2022; Edgar, Kirsty/AAR-9052-2021; White, Lloyd/AAY-8174-2020; Watkins, David/AAJ-2571-2021; Petrizzo, Maria Rose/U-6464-2019; Brumsack, Hans-Juergen/O-7942-2016; Hobbs, Richard/F-1054-2013; Petrizzo, Maria Rose/M-8672-2013</t>
  </si>
  <si>
    <t>Riquier, Laurent/0000-0001-5510-2061; Wolfgring, Erik/0000-0003-3457-2026; Batenburg, Sietske J./0000-0002-4076-1248; Edvardsen, Trine/0000-0002-0246-7013; MacLeod, Kenneth Gillies/0000-0002-6016-0837; Kuroda, Junichiro/0000-0002-2218-4854; Lee, Eun Young/0000-0001-7334-2050; Edgar, Kirsty/0000-0001-7587-9951; Brumsack, Hans-Juergen/0000-0002-5549-5018; Hobbs, Richard/0000-0001-5131-9239; Huber, Brian/0000-0002-0929-3175; Petrizzo, Maria Rose/0000-0002-9584-8471; Bogus, Kara/0000-0003-4690-0576; O'Connor, Lauren/0000-0003-1872-1853</t>
  </si>
  <si>
    <t>NERC [NE/R012261/1, NE/G001332/1] Funding Source: UKRI</t>
  </si>
  <si>
    <t>International Ocean Discovery Program</t>
  </si>
  <si>
    <t>College Station</t>
  </si>
  <si>
    <t>Texas A&amp;M University 1000 Discovery Drive, College Station, Texas, UNITED STATES</t>
  </si>
  <si>
    <t>2377-3189</t>
  </si>
  <si>
    <t>PR INT OCEAN DISCOVE</t>
  </si>
  <si>
    <t>10.14379/iodp.proc.369.101.2019</t>
  </si>
  <si>
    <t>10.14379/iodp.proc.369.2019</t>
  </si>
  <si>
    <t>Engineering, Ocean; Engineering, Geological; Geosciences, Multidisciplinary; Oceanography</t>
  </si>
  <si>
    <t>Engineering; Geology; Oceanography</t>
  </si>
  <si>
    <t>BO4ON</t>
  </si>
  <si>
    <t>WOS:000515055400002</t>
  </si>
  <si>
    <t>Kim, OP; Noro, K; Nabeshima, Y; Taniguchi, T; Fujii, Y; Toshimitsu, M; Sakurai, T; Kawamura, K; Motoyama, H; Thy, HT; Takenaka, N</t>
  </si>
  <si>
    <t>Oanh Pham Kim; Noro, Kazushi; Nabeshima, Yoshie; Taniguchi, Tatsuya; Fujii, Yusuke; Toshimitsu, Miho; Sakurai, Toshimitsu; Kawamura, Kenji; Motoyama, Hideaki; Hien To Thy; Takenaka, Norimichi</t>
  </si>
  <si>
    <t>Concentrations of polycyclic aromatic hydrocarbons in Antarctic snow polluted by research activities using snow mobiles and diesel electric generators</t>
  </si>
  <si>
    <t>BULLETIN OF GLACIOLOGICAL RESEARCH</t>
  </si>
  <si>
    <t>Polycyclic aromatic hydrocarbons; Antarctica; Photolysis; Blizzard</t>
  </si>
  <si>
    <t>PERSISTENT ORGANIC POLLUTANTS; LONG-RANGE TRANSPORT; ICE; PHOTOLYSIS; DEPOSITION; RAINWATER; SURFACE; PAHS; PCBS; GAS</t>
  </si>
  <si>
    <t>The polycyclic aromatic hydrocarbons (PAHs) in snow were measured in eastern Dronning Maud Land, East Antarctica. The sources of these PAHs were the snow mobiles and diesel electric generators used for scientific research from 29th December 2015 to 4th February 2016. Most of the measured PAH concentrations were low before the research campaign (lower than the detection limit or quantification limit), then increased due to the research activities, and finally decreased to a low level (lower than the quantification limit), probably because of strong blizzard winds. In addition, photolysis of the PAHs in the polluted snow samples under Antarctic conditions was investigated. The snow samples polluted by diesel electric generators were collected before and after irradiation under Antarctic sunlight (11 days); however, a decrease in PAH concentration was not observed. It was concluded that photolysis was not the main sink of the PAHs in Antarctic snow, but the occurrence of blizzard/drifting snow decreased the PAH concentration. In this paper, the preservation method for the snow samples to measure the PAHs correctly was also evaluated. To stabilize the PAHs in snow, hexane had to be added to the snow sample. Even if the snow sample was kept in a freezer, PAHs evaporated without hexane.</t>
  </si>
  <si>
    <t>[Oanh Pham Kim; Nabeshima, Yoshie; Taniguchi, Tatsuya] Osaka Prefecture Univ, Grad Sch Engn, Naka Ku, 1-1 Gakuen Cho, Sakai, Osaka 5998531, Japan; [Noro, Kazushi] Res Inst Environm Agr &amp; Fisheries, Habikino, Osaka 5830862, Japan; [Fujii, Yusuke; Takenaka, Norimichi] Osaka Prefecture Univ, Grad Sch Humanities &amp; Sustainable Syst Sci, Sakai, Osaka 5998531, Japan; [Toshimitsu, Miho] Weathernews Inc, Mihama Ku, Chiba 2610023, Japan; [Sakurai, Toshimitsu] Civil Engn Res Inst Cold Reg, Sapporo, Hokkaido 0628602, Japan; [Kawamura, Kenji; Motoyama, Hideaki] Natl Inst Polar Res, Tachikawa, Tokyo 1908518, Japan; [Hien To Thy] Vietnam Natl Univ Ho Chi Minh City, Fac Environm, 227 Nguyen Van Cu St,Dist 5, Ho Chi Minh City, Vietnam</t>
  </si>
  <si>
    <t>Osaka Metropolitan University; Osaka Metropolitan University; Research Organization of Information &amp; Systems (ROIS); National Institute of Polar Research (NIPR) - Japan; Vietnam National University Hochiminh City</t>
  </si>
  <si>
    <t>Takenaka, N (corresponding author), Osaka Prefecture Univ, Grad Sch Humanities &amp; Sustainable Syst Sci, Sakai, Osaka 5998531, Japan.</t>
  </si>
  <si>
    <t>takenaka@chem.osakafu-u.ac.jp</t>
  </si>
  <si>
    <t>Noro, Kazushi/ABF-7312-2020; Kawamura, Kenji/C-7660-2011</t>
  </si>
  <si>
    <t>Noro, Kazushi/0000-0001-9937-232X; Fujii, Yusuke/0000-0002-6506-2072; Sakurai, Toshimitsu/0000-0002-9943-361X; Kawamura, Kenji/0000-0003-1163-700X</t>
  </si>
  <si>
    <t>Ministry of Education, Culture, Sports, Science and Technology; 57th Japanese Antarctic Research Expedition [JARE57]</t>
  </si>
  <si>
    <t>Ministry of Education, Culture, Sports, Science and Technology(Ministry of Education, Culture, Sports, Science and Technology, Japan (MEXT)); 57th Japanese Antarctic Research Expedition</t>
  </si>
  <si>
    <t>This research is partially supported by Ministry of Education, Culture, Sports, Science and Technology and 57th Japanese Antarctic Research Expedition (JARE57).</t>
  </si>
  <si>
    <t>NIHON SEPPYO GAKKAI-JAPANESE SOC SNOW &amp; ICE</t>
  </si>
  <si>
    <t>358-5 YAMABUKI-CHO, SHINJUKU-KU, TOKYO, 162-0801, JAPAN</t>
  </si>
  <si>
    <t>1345-3807</t>
  </si>
  <si>
    <t>1884-8044</t>
  </si>
  <si>
    <t>BULL GLACIOL RES</t>
  </si>
  <si>
    <t>Bull. Glaciol. Res.</t>
  </si>
  <si>
    <t>10.5331/bgr.19A02</t>
  </si>
  <si>
    <t>KY6LY</t>
  </si>
  <si>
    <t>WOS:000522686000002</t>
  </si>
  <si>
    <t>Miskelly, CM; Crossland, AC; Saville, I; Southey, I; Tennyson, AJD; Bell, EA</t>
  </si>
  <si>
    <t>Miskelly, Colin M.; Crossland, Andrew C.; Saville, Ian; Southey, Ian; Tennyson, Alan J. D.; Bell, Elizabeth A.</t>
  </si>
  <si>
    <t>Vagrant and extra-limital bird records accepted by the Birds New Zealand Records Appraisal Committee 2017-2018</t>
  </si>
  <si>
    <t>NOTORNIS</t>
  </si>
  <si>
    <t>Cox's sandpiper; extra-limital; first record; Macquarie Island shag; New Zealand bird; vagrant</t>
  </si>
  <si>
    <t>PHYLOGENETIC-RELATIONSHIPS; AVES; 1ST</t>
  </si>
  <si>
    <t>We report Records Appraisal Committee (RAC) decisions regarding Unusual Bird Reports received between 1 January 2017 and 31 December 2018. Among the 160 submissions accepted by the RAC were the first New Zealand records of Macquarie Island shag (Leucocarbo purpurascens) and Cox's sandpiper (Calidris x paramelanotus), and the first accepted at-sea sightings of blue petrel (Halobaena caerulea), Salvin's prion (Pachyptila salvini), Antarctic prion (P. desolata), and thin-billed prion (P. belcheri) from New Zealand coastal waters. We also report the second accepted breeding record (and first successful breeding) for glossy ibis (Plegadis falcinellus), and the second accepted records of red-footed booby (Sula sula) and laughing gull (Leucophaeus atricilla). Other notable records included the first record of nankeen kestrel (Falco cenchroides) from Campbell Island, and at least 5 northern shovelers (Anas clypeata) simultaneously present in June 2018.</t>
  </si>
  <si>
    <t>[Miskelly, Colin M.; Tennyson, Alan J. D.] Museum New Zealand Te Papa Tongarewa, POB 467, Wellington 6140, New Zealand; [Crossland, Andrew C.] Christchurch City Council, Reg Pk Team, Pk Unit, POB 73014, Christchurch 8154, New Zealand; [Saville, Ian] Wrybill Birding Tours, 83 James Cook St, Havelock North 4130, New Zealand; [Southey, Ian] 82 Red Hill Rd,Red Hills, Auckland 2110, New Zealand; [Bell, Elizabeth A.] Wildlife Management Int Ltd, POB 607, Blenheim 7240, New Zealand</t>
  </si>
  <si>
    <t>Miskelly, CM (corresponding author), Museum New Zealand Te Papa Tongarewa, POB 467, Wellington 6140, New Zealand.</t>
  </si>
  <si>
    <t>colin.miskelly@tepapa.govt.nz</t>
  </si>
  <si>
    <t>ORNITHOLOGICAL SOC NEW ZEALAND</t>
  </si>
  <si>
    <t>NELSON</t>
  </si>
  <si>
    <t>PO BOX 834, NELSON, 7040, NEW ZEALAND</t>
  </si>
  <si>
    <t>0029-4470</t>
  </si>
  <si>
    <t>1177-7680</t>
  </si>
  <si>
    <t>KY2TO</t>
  </si>
  <si>
    <t>WOS:000522425400004</t>
  </si>
  <si>
    <t>Chiberre, P; Meinhardt-Llopis, E; de Franchis, C; Facciolo, G</t>
  </si>
  <si>
    <t>Chiberre, Philippe; Meinhardt-Llopis, Enric; de Franchis, Carlo; Facciolo, Gabriele</t>
  </si>
  <si>
    <t>3D MODELING OF EARTH'S SURFACE: STUDY OF THE ANTARCTICA</t>
  </si>
  <si>
    <t>2019 IEEE INTERNATIONAL GEOSCIENCE AND REMOTE SENSING SYMPOSIUM (IGARSS 2019)</t>
  </si>
  <si>
    <t>IEEE International Symposium on Geoscience and Remote Sensing IGARSS</t>
  </si>
  <si>
    <t>IEEE International Geoscience and Remote Sensing Symposium (IGARSS)</t>
  </si>
  <si>
    <t>JUL 28-AUG 02, 2019</t>
  </si>
  <si>
    <t>Yokohama, JAPAN</t>
  </si>
  <si>
    <t>The evolution of the antarctic ice cap is a subject of the utmost importance for the climate science. For this reason exploiting the historic archive of SPOT 5 HRS binocular stereo imagery over the Antarctica has gained interest. However, estimating surface models of Antarctica from optical satellite imagery is a challenging task. Different factors contribute to its difficulty: the reduced contrast of the snow, the abrupt changes in elevation, and the persistent cloud cover that is often indistinguishable from the snowy ground, or is translucent, or projects shadows on the ground; all of them hinder stereo matching. For these reasons the direct application of existing satellite stereo pipelines on these images often yields unsatisfactory results. In this study we explore strategies to address these problems and improve 3D modeling on these regions. We adapt the S2P [1] pipeline and incorporate a new multiscale strategy that allows to deal with incorrect geometry estimation due to clouds or lack of texture. In addition, integrating existing very low resolution DSM (1 km per pixel) of the Antarctica allows to further filter the model to produce a cleaner 3D model.</t>
  </si>
  <si>
    <t>[Chiberre, Philippe; Meinhardt-Llopis, Enric; de Franchis, Carlo; Facciolo, Gabriele] Univ Paris Saclay, CNRS, CMLA, ENS Cachan, St Aubin, France; [de Franchis, Carlo] Kayrros, Paris, France</t>
  </si>
  <si>
    <t>Universite Paris Cite; Universite Paris Saclay; Centre National de la Recherche Scientifique (CNRS)</t>
  </si>
  <si>
    <t>Chiberre, P (corresponding author), Univ Paris Saclay, CNRS, CMLA, ENS Cachan, St Aubin, France.</t>
  </si>
  <si>
    <t>2153-6996</t>
  </si>
  <si>
    <t>978-1-5386-9154-0</t>
  </si>
  <si>
    <t>INT GEOSCI REMOTE SE</t>
  </si>
  <si>
    <t>Geosciences, Multidisciplinary; Remote Sensing</t>
  </si>
  <si>
    <t>Geology; Remote Sensing</t>
  </si>
  <si>
    <t>BO5ZH</t>
  </si>
  <si>
    <t>WOS:000519270601090</t>
  </si>
  <si>
    <t>Arenas-Pingarron, A; Brennan, PV; Corr, H</t>
  </si>
  <si>
    <t>Arenas-Pingarron, Alvaro; Brennan, Paul V.; Corr, Hugh</t>
  </si>
  <si>
    <t>DIRECTION OF ARRIVAL ASSESSMENT IN AIRBORNE ICE-SOUNDING SYNTHETIC APERTURE RADAR</t>
  </si>
  <si>
    <t>Direction-of-arrival estimation; ice-sounding; MIMO radar; MUSIC; SAR</t>
  </si>
  <si>
    <t>We propose an algorithm to evaluate the direction of arrival (DoA) estimation in the cross-track dimension of an airborne pulsed ice-sounding synthetic aperture radar (SAR), formed by a non-linear array. The conventional methods process either simulated data, meaning a lack of real scenario, or collected over regions previously mapped, where a limited number of DoAs is found. In our technique, we combine the echoes of different transmitted pulses from a real data take above the sea surface, planned to vary the roll angle of the aircraft. Due to the mirror-like behavior of the sea, when echoes at different roll angles are summed, we obtain raw data or images with several DoAs, relative to the main axes of the aircraft. This method is used to assess the estimation algorithms and choose the optimal for Antarctic bedrock 3D-imaging, identifying the DoAs to shape the true bed topography.</t>
  </si>
  <si>
    <t>[Arenas-Pingarron, Alvaro; Brennan, Paul V.] UCL, Dept Elect &amp; Elect Engn, London WC1E 7JE, England; [Corr, Hugh] British Antarctic Survey, Madingley Rd, Cambridge CB3 0ET, England</t>
  </si>
  <si>
    <t>University of London; University College London; UK Research &amp; Innovation (UKRI); Natural Environment Research Council (NERC); NERC British Antarctic Survey</t>
  </si>
  <si>
    <t>Arenas-Pingarron, A (corresponding author), UCL, Dept Elect &amp; Elect Engn, London WC1E 7JE, England.</t>
  </si>
  <si>
    <t>Corr, Hugh/C-5398-2011</t>
  </si>
  <si>
    <t>Arenas Pingarron, Alvaro/0000-0001-9623-9937</t>
  </si>
  <si>
    <t>Natural Environment Research Council (NERC) [NE/L013444/1]; NERC [bas0100034, NE/L013444/1] Funding Source: UKRI</t>
  </si>
  <si>
    <t>Natural Environment Research Council (NERC)(UK Research &amp; Innovation (UKRI)Natural Environment Research Council (NERC)); NERC(UK Research &amp; Innovation (UKRI)Natural Environment Research Council (NERC))</t>
  </si>
  <si>
    <t>We thank C.N. Robinson and R.J. Bullock for the collection and processing of raw data. This work was supported by the Natural Environment Research Council (NERC) [grant reference NE/L013444/1].</t>
  </si>
  <si>
    <t>10.1109/igarss.2019.8898009</t>
  </si>
  <si>
    <t>WOS:000519270601105</t>
  </si>
  <si>
    <t>Glaude, Q; Berger, S; Amory, C; Pattyn, F; Barbier, C; Orban, A</t>
  </si>
  <si>
    <t>Glaude, Q.; Berger, S.; Amory, C.; Pattyn, F.; Barbier, C.; Orban, A.</t>
  </si>
  <si>
    <t>EMPIRICAL CORRECTION OF TIDES AND INVERSE BAROMETER EFFECT PHASE COMPONENTS FROM DOUBLE DINSAR AND REGIONAL MODELS</t>
  </si>
  <si>
    <t>DInSAR; DDInSAR; Ice Shelf; Antarctica; Tides; Inverse Barometer Effect; Sentinel-1</t>
  </si>
  <si>
    <t>CAMPBELL GLACIER TONGUE; ICE-SHELF; ANTARCTICA; REPRESENTATION; VELOCITY; FLEXURE</t>
  </si>
  <si>
    <t>Surface displacements are of particular interest for characterizing the dynamics of Antarctic ice shelves. Differential Synthetic Aperture Radar Interferometry (DInSAR) is a common technique from which high-resolution velocity maps can be inferred at high accuracy. However, though vertical displacement may be useful in some contexts, the main component of interest is the horizontal velocity when analyzing ice fluxes. Since SAR sensors are side-looking, it is the vector sum of both the vertical and horizontal components along the line of sight (LOS) that can be measured, creating some ambiguity in separating the two elements. Impacted by ocean tides and inverse barometer effect (IBE), ice shelves are subject to a vertical bias to be removed. Here, we present an empirical technique using Sentinel-1 radar satellite and regional models to estimate and remove the corresponding bias and show preliminary results on the Roi Baudouin Ice Shelf (RBIS) in Dronning Maud Land (Antarctica).</t>
  </si>
  <si>
    <t>[Glaude, Q.; Pattyn, F.] Univ Libre Bruxelles, Lab Glaciol, Brussels, Belgium; [Glaude, Q.; Barbier, C.; Orban, A.] Univ Liege, Ctr Spatial Liege, Angleur, Belgium; [Berger, S.] Alfred Wegener Inst Polar &amp; Marine Res, Bremerhaven, Germany; [Amory, C.] Univ Liege, Lab Climatol &amp; Topoclimatol, Liege, Belgium</t>
  </si>
  <si>
    <t>Universite Libre de Bruxelles; University of Liege; Helmholtz Association; Alfred Wegener Institute, Helmholtz Centre for Polar &amp; Marine Research; University of Liege</t>
  </si>
  <si>
    <t>Glaude, Q (corresponding author), Univ Libre Bruxelles, Lab Glaciol, Brussels, Belgium.;Glaude, Q (corresponding author), Univ Liege, Ctr Spatial Liege, Angleur, Belgium.</t>
  </si>
  <si>
    <t>Belgian Science Policy Office [EN/01/4B]; French community of Belgium; Belgian Science Policy [SR/00/336]</t>
  </si>
  <si>
    <t>Belgian Science Policy Office(Belgian Federal Science Policy Office); French community of Belgium; Belgian Science Policy(Belgian Federal Science Policy Office)</t>
  </si>
  <si>
    <t>Carleen Reijmer is acknowledged for providing the data from AWS16. The installation and maintenance of AWS16 was financed by the Belgian Science Policy Office under grant number EN/01/4B supervised by Nicole van Lipzig and Irina Gorodetskaya (KU Leuven). In addition, this research is supported by the French community of Belgium in the funding context of a FRIA grant, and carried out in the framework of the MIMO (Monitoring melt where Ice Meets Ocean) project funded by the Belgian Science Policy contract Nos. SR/00/336.</t>
  </si>
  <si>
    <t>10.1109/igarss.2019.8899171</t>
  </si>
  <si>
    <t>WOS:000519270602053</t>
  </si>
  <si>
    <t>Tournadre, J; Tarasenko, A</t>
  </si>
  <si>
    <t>Tournadre, Jean; Tarasenko, Anastasia</t>
  </si>
  <si>
    <t>ICEBERG STUDIES USING SATELLITE ALTIMETER DATA</t>
  </si>
  <si>
    <t>Icebergs; Altimeter; climatology</t>
  </si>
  <si>
    <t>ANTARCTIC ICEBERGS; SOUTHERN-OCEAN; TRACKING; CLIMATE</t>
  </si>
  <si>
    <t>Altimeters are powerful tools to detect, and characterize small (&lt;10km(2)) icebergs, and to estimate the topography and thus volume of larger icebergs (&gt;100km(2)). This presentation aims at reviewing the current use of altimeter data for icebergs studies. The ALTIBERG project (funded by CNES) processes the archives of all past and present altimeters to create and maintain a database of small icebergs distributed through the CERSAT website. The database contains the location, time, backscatter, area and range of the individual detected icebergs as well as monthly gridded fields of the iceberg probability of presence, mean area and volume of ice for the Southern Ocean and Greenland Seas. The emergence of new altimeter operating modes (in particular SAR interferometry) opens the way to improve the database by estimating the topography of small and large icebergs at high resolution (similar to 100-300 m).</t>
  </si>
  <si>
    <t>[Tournadre, Jean; Tarasenko, Anastasia] Univ Bretagne Occidentale, CNRS, IFREMER, Lab Oceanog Phys &amp; Spatiale,IRD, F-29280 Plouzane, France</t>
  </si>
  <si>
    <t>Universite de Bretagne Occidentale; Ifremer; Centre National de la Recherche Scientifique (CNRS); Institut de Recherche pour le Developpement (IRD)</t>
  </si>
  <si>
    <t>Tournadre, J (corresponding author), Univ Bretagne Occidentale, CNRS, IFREMER, Lab Oceanog Phys &amp; Spatiale,IRD, F-29280 Plouzane, France.</t>
  </si>
  <si>
    <t>Tarasenko, Anastasiia/AAF-3257-2021</t>
  </si>
  <si>
    <t>Tarasenko, Anastasiia/0000-0001-9749-1974</t>
  </si>
  <si>
    <t>Centre National d'Etudes Spatiales</t>
  </si>
  <si>
    <t>Centre National d'Etudes Spatiales(Centre National D'etudes Spatiales)</t>
  </si>
  <si>
    <t>Thanks to Centre National d'Etudes Spatiales for funding.</t>
  </si>
  <si>
    <t>WOS:000519270603237</t>
  </si>
  <si>
    <t>Nghiem, SV; Perovich, DK; Polashenski, C; Lowe, ST; Shah, R; Mannucci, AJ; Camps, A; Cardellach, E; Tsang, L; Zhu, JY; Tan, SR</t>
  </si>
  <si>
    <t>Nghiem, Son V.; Perovich, Donald K.; Polashenski, Christopher; Lowe, Stephen T.; Shah, Rashmi; Mannucci, Anthony J.; Camps, Adriano; Cardellach, Estel; Tsang, Leung; Zhu, Jiyue; Tan, Shurun</t>
  </si>
  <si>
    <t>POLAR SEA ICE THICKNESS AND MELT POND FRACTION MEASUREMENTS WITH MULTI-FREQUENCY BISTATIC RADAR POLARIMETRIC AND INTERFEROMETRIC REFLECTOMETRY</t>
  </si>
  <si>
    <t>Arctic; Antarctic; sea ice; bistatic radar; reflectometry; numerical solution; satellite missions</t>
  </si>
  <si>
    <t>Arctic and Antarctic sea ice covers are in a sharp contrast in terms of characteristics, distributions, and processes with a drastic decrease in the Arctic versus the opposite increase in the Antarctic in a changing climate. In quantifying polar sea ice differences to address the contrasted sea ice behaviors, two key parameters are sea ice thickness and melt pond fraction, which remain challenging to measure extensively in time and in space with a sustainable approach. Here, we present a new paradigm for such measurements using bistatic radar reflectometry, thanks to developments of low-cost receivers to acquire reflected signals from numerous existing transmitter systems operated at multiple frequencies to be replenished and sustained indefinitely into the future. For sea ice thickness measurement to determine ice volume, reflected signals likely come from the bottom ice-water interface avoiding large errors inherent in current altimetry techniques due to uncertainty in free-board height and snow cover. Regarding melt pond faction on sea ice to estimate albedo and insolation, the bistatic reflection can be dominated by melt pond water with permittivity that is one order of magnitude larger compared to that of snow or ice. These are examined by a combination of numerical Kirchhoff (KA) simulator and Numerical Maxwell Model of 3D simulations (NMM3D) to preserve phase and amplitude information and thereby account for both coherent and incoherent effects. Physical insights from the rigorous theory for bistatic radar reflectometry will be valuable to develop future satellite missions to resolve cryospheric science issues concerning the polar sea ice differences.</t>
  </si>
  <si>
    <t>[Nghiem, Son V.; Lowe, Stephen T.; Shah, Rashmi; Mannucci, Anthony J.] CALTECH, Jet Prop Lab, 4800 Oak Grove Dr, Pasadena, CA 91125 USA; [Perovich, Donald K.] Dartmouth Coll, Thayer Sch Engn, Hanover, NH 03755 USA; [Polashenski, Christopher] Cold Reg Res &amp; Engn Lab, Hanover, NH USA; [Camps, Adriano] Univ Politecn Cataluna, Dept Signal Theory &amp; Commun, Barcelona, Spain; [Cardellach, Estel] IEEC, CSIC, ICE, Barcelona, Spain; [Tsang, Leung; Zhu, Jiyue; Tan, Shurun] Univ Michigan, Dept Elect Engn &amp; Comp Sci, Ann Arbor, MI 48109 USA</t>
  </si>
  <si>
    <t>California Institute of Technology; National Aeronautics &amp; Space Administration (NASA); NASA Jet Propulsion Laboratory (JPL); Dartmouth College; United States Department of Defense; United States Army; U.S. Army Corps of Engineers; U.S. Army Engineer Research &amp; Development Center (ERDC); Cold Regions Research &amp; Engineering Laboratory (CRREL); Universitat Politecnica de Catalunya; Consejo Superior de Investigaciones Cientificas (CSIC); CSIC - Instituto de Ciencias del Espacio (ICE); University of Barcelona; Institut d'Estudis Espacials de Catalunya (IEEC); Autonomous University of Barcelona; University of Michigan System; University of Michigan</t>
  </si>
  <si>
    <t>Nghiem, SV (corresponding author), CALTECH, Jet Prop Lab, 4800 Oak Grove Dr, Pasadena, CA 91125 USA.</t>
  </si>
  <si>
    <t>Cardellach, Estel/C-9418-2012; zhu, ji/HDM-1538-2022; Camps, Adriano/D-2592-2011</t>
  </si>
  <si>
    <t>Cardellach, Estel/0000-0001-8908-0972; Camps, Adriano/0000-0002-9514-4992</t>
  </si>
  <si>
    <t>NASA Cryosphere Sciences Program (CSP); JPL Advanced Concept Program; NASA CSP; National Science Foundation</t>
  </si>
  <si>
    <t>NASA Cryosphere Sciences Program (CSP); JPL Advanced Concept Program; NASA CSP; National Science Foundation(National Science Foundation (NSF))</t>
  </si>
  <si>
    <t>The research carried out at the Jet Propulsion Laboratory (JPL), California Institute of Technology, was supported by NASA Cryosphere Sciences Program (CSP) and in part by the JPL Advanced Concept Program. The research at the Radiation Laboratory, University of Michigan was supported by NASA CSP and National Science Foundation.</t>
  </si>
  <si>
    <t>10.1109/igarss.2019.8900079</t>
  </si>
  <si>
    <t>WOS:000519270603242</t>
  </si>
  <si>
    <t>Yun, C; Lu, Z; Chen, HQ; Bing, S</t>
  </si>
  <si>
    <t>Yun, Cheng; Lu, Zhang; Chen Huiqian; Bing, Sun</t>
  </si>
  <si>
    <t>RESEARTH ON THE DETECTION METHOD OF ANTARCTIC ICE SHEET FREEZING AND THAWING BASED ON GEE AND SENTINEL-1 DATA</t>
  </si>
  <si>
    <t>Antarctic ice-sheet; freezing and thawing; GEE; Sentinel-1</t>
  </si>
  <si>
    <t>SNOW; SAR</t>
  </si>
  <si>
    <t>Based on Sentinel-1 EW mode data and GEE platform, this paper proposes an Antarctic ice sheet freezing and thawing detection method based on change detection and decision tree. On the GEE platform, first of all, the median value of the Sentinel-1 data in the winter months of June, July and August is as a base image set, then the difference between the summer and the base image of the same orbit is detected. At last, the thresholds of both the elevation and the backscattering coefficient difference are used to judge the freezing state of the Antarctic ice sheet. Use this method, the monthly update information on the freezing and thawing of the Antarctic ice sheet from October 2016 to March 2017, and from October 2017 to March 2018 are obtained. For the detection results, the accuracy of the self-selected samples and automatic weather station data is used for verification. The average overall accuracy of the self-selected sample verification is 93%, the average Kappa coefficient is 0.90, and the average accuracy of the automatic weather station verification is 83.86%.</t>
  </si>
  <si>
    <t>[Yun, Cheng; Lu, Zhang; Chen Huiqian] Chinese Acad Sci, Inst Remote Sensing &amp; Digital Earth, Key Lab Digital Earth, Beijing 100094, Peoples R China; [Yun, Cheng] Xian Univ Sci &amp; Technol, Coll Geomat, Xian 710054, Peoples R China; [Lu, Zhang] Key Lab Earth Observat Hainan Prov, Sanya 572029, Hainan, Peoples R China; [Bing, Sun] Beihang Univ, Sch Elect &amp; Informat Engn, Beijing 100190, Peoples R China</t>
  </si>
  <si>
    <t>Chinese Academy of Sciences; The Institute of Remote Sensing &amp; Digital Earth, CAS; Xi'an University of Science &amp; Technology; Beihang University</t>
  </si>
  <si>
    <t>Lu, Z (corresponding author), Chinese Acad Sci, Inst Remote Sensing &amp; Digital Earth, Key Lab Digital Earth, Beijing 100094, Peoples R China.;Lu, Z (corresponding author), Key Lab Earth Observat Hainan Prov, Sanya 572029, Hainan, Peoples R China.</t>
  </si>
  <si>
    <t>National Key Research and Development Program of China [2016YFA0600302]; National Natural Science Foundation of China [41876226]</t>
  </si>
  <si>
    <t>This study was supported by the supported by the National Key Research and Development Program of China (No. 2016YFA0600302) and National Natural Science Foundation of China (No. 41876226). The authors would like to thank the ESA for the Sentinel-1 images, the UK's NERC Polar Observation and Modeling Center (CPOM) for DEM data. Thanks to the meteorological data provided by the Antarctic Meteorological Research Center (AMRC) and the Automatic Weather Station (AWS) and the Antarctic boundary vector data provided by NASA (MEaSUREs).</t>
  </si>
  <si>
    <t>10.1109/igarss.2019.8898788</t>
  </si>
  <si>
    <t>WOS:000519270604019</t>
  </si>
  <si>
    <t>Liu, HX; Wang, SJ</t>
  </si>
  <si>
    <t>Liu, Hongxing; Wang, Shujie</t>
  </si>
  <si>
    <t>ANALYSIS OF FLOW VELOCITY AND SURFACE STRUCTURE OVER NORTHERN LARSEN ICE SHELF USING TIME SERIES SATELLITE IMAGES</t>
  </si>
  <si>
    <t>Larsen Ice Shelf; flow dynamics; surface structural feature; satellite remote sensing</t>
  </si>
  <si>
    <t>ANTARCTIC PENINSULA; COLLAPSE</t>
  </si>
  <si>
    <t>The Antarctic ice shelves play a significant role in stabilizing the grounded ice sheet. The collapses of the northern Larsen Ice shelf in the context of global warming highlighted the importance of understanding the relationship between flow dynamics and stability of ice shelves. This study investigated the ice velocity changes of the northern Larsen Ice Shelf as well as its relationship with the distribution of surface structural features using Landsat images acquired in the late 1980s and the early 2000s. Flow accelerations occurred on the Larsen B Ice Shelf, which are found to be closely related to the presence of structural features like melting ponds, rifts and crevasses.</t>
  </si>
  <si>
    <t>[Liu, Hongxing] East China Normal Univ, Sch Geog Sci, Shanghai, Peoples R China; [Liu, Hongxing] Univ Alabama, Dept Geog, Tuscaloosa, AL 35487 USA; [Wang, Shujie] Columbia Univ, Lamont Doherty Earth Observ, Palisades, NY 10964 USA</t>
  </si>
  <si>
    <t>East China Normal University; University of Alabama System; University of Alabama Tuscaloosa; Columbia University</t>
  </si>
  <si>
    <t>Liu, HX (corresponding author), East China Normal Univ, Sch Geog Sci, Shanghai, Peoples R China.;Liu, HX (corresponding author), Univ Alabama, Dept Geog, Tuscaloosa, AL 35487 USA.</t>
  </si>
  <si>
    <t>Wang, Shujie/0000-0002-8055-0234</t>
  </si>
  <si>
    <t>10.1109/igarss.2019.8898351</t>
  </si>
  <si>
    <t>WOS:000519270604020</t>
  </si>
  <si>
    <t>Rodriguez-Morales, F; Ailon, H; Alvarez, S; Braaten, D; Karidi, KT; Paden, A; Paden, J; Shang, J; Akins, T; Carswell, J; Gogineni, P; Taylor, R; Yan, J; Abe-Ouchi, A; Fujita, S; Kawamura, K; Tsutaki, S; Van Liefferinge, B; Matsuoka, K</t>
  </si>
  <si>
    <t>Rodriguez-Morales, F.; Ailon, H.; Alvarez, S.; Braaten, D.; Karidi, K. T.; Paden, A.; Paden, J.; Shang, J.; Akins, T.; Carswell, J.; Gogineni, P.; Taylor, R.; Yan, J.; Abe-Ouchi, A.; Fujita, S.; Kawamura, K.; Tsutaki, S.; Van Liefferinge, B.; Matsuoka, K.</t>
  </si>
  <si>
    <t>A COMPACT MULTI-CHANNEL RADAR FOR &gt;1Ma OLD ICE CORE SITE IDENTIFICATION IN EAST ANTARCTICA</t>
  </si>
  <si>
    <t>Oldest ice; VHF radar sounding</t>
  </si>
  <si>
    <t>We present a compact, multi-channel, wideband VHF radar system for fine-resolution measurements of the base and interior of large ice sheets. Data from this radar will be used in the identification of potential drill locations to retrieve ice core samples more than 1 million years old in East Antarctica. The radar is a lightweight instrument equipped with four &gt;1-kW peak power transmit channels, eight independent digital receivers, and an array of high-gain antennas. We developed the system as part of a collaborative effort between the United States of America, Japan and Norway. The instrument was used for surface-based surveys near Dome-Fuji onboard a tracked vehicle during the 2018/2019 Austral Summer, covering 2,000 line-km. This paper presents an overview of the radar system, accompanied by laboratory and field test results that demonstrate the system's ability to map the internal ice sheet structure and basal conditions with outstanding detail.</t>
  </si>
  <si>
    <t>[Rodriguez-Morales, F.; Ailon, H.; Alvarez, S.; Braaten, D.; Karidi, K. T.; Paden, A.; Paden, J.; Shang, J.] Univ Kansas, Ctr Remote Sensing Ice Sheets, Lawrence, KS 66045 USA; [Akins, T.; Carswell, J.] Remote Sensing Solut, Barnstable, MA USA; [Gogineni, P.; Taylor, R.; Yan, J.] Univ Alabama, Tuscaloosa, AL USA; [Abe-Ouchi, A.; Tsutaki, S.] Univ Tokyo, Atmosphere &amp; Ocean Res Inst, Tokyo, Japan; [Abe-Ouchi, A.] Japan Agcy Marine Earth Sci &amp; Technol JAMSTEC, Yokosuka, Kanagawa, Japan; [Fujita, S.; Kawamura, K.] Res Org Informat &amp; Syst ROIS, Natl Inst Polar Res, Tachikawa, Tokyo, Japan; [Fujita, S.; Kawamura, K.] Grad Univ Adv Studies SOKENDAI, Dept Polar Sci, Hayama, Kanagawa, Japan; [Van Liefferinge, B.; Matsuoka, K.] Norwegian Polar Res Inst, Tromso, Norway</t>
  </si>
  <si>
    <t>University of Kansas; University of Alabama System; University of Alabama Tuscaloosa; University of Tokyo; Japan Agency for Marine-Earth Science &amp; Technology (JAMSTEC); Research Organization of Information &amp; Systems (ROIS); National Institute of Polar Research (NIPR) - Japan; Graduate University for Advanced Studies - Japan; Norwegian Polar Institute</t>
  </si>
  <si>
    <t>Rodriguez-Morales, F (corresponding author), Univ Kansas, Ctr Remote Sensing Ice Sheets, Lawrence, KS 66045 USA.</t>
  </si>
  <si>
    <t>Abe-Ouchi, Ayako A/M-6359-2013; Matsuoka, Kenichi/B-7298-2017; Kawamura, Kenji/C-7660-2011</t>
  </si>
  <si>
    <t>Abe-Ouchi, Ayako A/0000-0003-1745-5952; Rodriguez-Morales, Fernando/0000-0001-8004-6145; Matsuoka, Kenichi/0000-0002-3587-3405; Kawamura, Kenji/0000-0003-1163-700X</t>
  </si>
  <si>
    <t>U.S. National Science Foundation; Belgian Federal Science Policy Office (BELSPO); Norwegian Troll Station; European Union's Horizon 2020 research and innovation program [730258]; Norwegian Polar Institute; Japanese Antarctic Research Expedition; H2020 Societal Challenges Programme [730258] Funding Source: H2020 Societal Challenges Programme</t>
  </si>
  <si>
    <t>U.S. National Science Foundation(National Science Foundation (NSF)); Belgian Federal Science Policy Office (BELSPO)(Belgian Federal Science Policy Office); Norwegian Troll Station; European Union's Horizon 2020 research and innovation program; Norwegian Polar Institute; Japanese Antarctic Research Expedition; H2020 Societal Challenges Programme(Horizon 2020European Union (EU)H2020 Societal Challenges Programme)</t>
  </si>
  <si>
    <t>We would like to thank the entire USA-Japan-Norway collaborative team. We gratefully acknowledge P. Place, O. Oghenekaro, S. Terefe at the University of Kansas for their work assembling the radar and S. Rector for providing IT support. We thank A.R. Harish and G. Gupta at the Indian Institute of Technology, Kanpur for valuable input to the antenna array design. We recognize C. O'Neill at the University of Alabama for identifying the foam used for vibration dampening. We also acknowledge support from the various entities that financed the instrument development and field operations. In particular, this work would not have been possible without support for the Center for Remote Sensing of Ice Sheets (CReSIS) Science and Technology Center by the U.S. National Science Foundation between 2005 and 2017. Air operations were carried by the British Antarctic Survey with field support at the Belgian Princess Elisabeth Station provided by the International Polar Foundation with funding from the Belgian Federal Science Policy Office (BELSPO), and the Norwegian Troll Station, in the frame of Beyond EPICA-Oldest Ice (BE-OI). BE-OI has received funding from the European Union's Horizon 2020 research and innovation program under grant agreement no. 730258 (BE-OI CSA). We acknowledge the support received from the Norwegian Polar Institute and the Japanese Antarctic Research Expedition.</t>
  </si>
  <si>
    <t>WOS:000519270604024</t>
  </si>
  <si>
    <t>Liang, S; Zeng, JY; Li, Z; Chen, KS; Zhang, P; Bi, HY</t>
  </si>
  <si>
    <t>Liang, Shuang; Zeng, Jiangyuan; Li, Zhen; Chen, Kun-Shan; Zhang, Ping; Bi, Haiyun</t>
  </si>
  <si>
    <t>COMPARISON OF REMOTELY SENSED SEA ICE CONCENTRATIONS WITH REANALYSIS DATASET IN POLAR REGIONS</t>
  </si>
  <si>
    <t>microwave remote sensing; sea ice concentration; reanalysis data; consistency</t>
  </si>
  <si>
    <t>This paper evaluated the consistency of four microwave remotely sensed sea ice concentration (SIC) products with respect to a reanalysis SIC dataset in polar regions during the period of 2015-2017. The remotely sensed SIC products include the Chinese Feng Yun-3B with enhanced NASA Team (NT2) sea ice algorithm (FY3B/NT2), the Chinese Feng Yun-3C with NT2 (FY3C/NT2), the DMSP SSMIS with Arctic Radiation and Turbulence Interaction Study Sea Ice (ASI) algorithm (SSMIS/ASI), and the GCOM-W AMSR2 with NASA Bootstrap (BT) algorithm (AMSR2/BT). The OISSTV2 (NOAA Optimum Interpolation 1/4 Degree Daily Temperature Analysis Version 2) dataset was adopted as a reference to compare and evaluate the performance of four satellite-based SIC products. The results show that remotely sensed SIC values are generally in good consistency with OISSTV2. Meanwhile, it is observed that different products have different bias in polar regions. Overall, the SSMIS/ASI product has better performance during the whole period, demonstrating that ASI algorithm may be more potential in SIC estimation. Our results also illustrate the spatial and temporal distribution characteristic of discrepancy between microwave remotely sensed SIC products and reanalysis dataset for the whole Arctic and Antarctic regions. The large difference for all the four SIC products mostly occurs in summer and marginal ice zone, indicating a great deal of uncertainty of satellite SIC products in this period and areas. The results will be useful to find possible errors in the satellite SIC products for further algorithm improvement.</t>
  </si>
  <si>
    <t>[Liang, Shuang; Zeng, Jiangyuan; Li, Zhen; Chen, Kun-Shan; Zhang, Ping] Chinese Acad Sci, Inst Remote Sensing &amp; Digital Earth, Beijing, Peoples R China; [Liang, Shuang] Univ Chinese Acad Sci, Beijing, Peoples R China; [Bi, Haiyun] China Earthquake Adm, Inst Geol, Beijing 100029, Peoples R China</t>
  </si>
  <si>
    <t>Chinese Academy of Sciences; The Institute of Remote Sensing &amp; Digital Earth, CAS; Chinese Academy of Sciences; University of Chinese Academy of Sciences, CAS; China Earthquake Administration</t>
  </si>
  <si>
    <t>Liang, S (corresponding author), Chinese Acad Sci, Inst Remote Sensing &amp; Digital Earth, Beijing, Peoples R China.;Liang, S (corresponding author), Univ Chinese Acad Sci, Beijing, Peoples R China.</t>
  </si>
  <si>
    <t>Li, Lei/JPE-6543-2023; Zeng, Jiangyuan/AAJ-8512-2020</t>
  </si>
  <si>
    <t>Zeng, Jiangyuan/0000-0002-5039-6774</t>
  </si>
  <si>
    <t>National Key Research and Development Program of China [2018YFA0605403]; Youth Innovation Promotion Association CAS [2018082]</t>
  </si>
  <si>
    <t>National Key Research and Development Program of China; Youth Innovation Promotion Association CAS</t>
  </si>
  <si>
    <t>This work was supported by the National Key Research and Development Program of China (No. 2018YFA0605403) and by the Youth Innovation Promotion Association CAS (No. 2018082).</t>
  </si>
  <si>
    <t>10.1109/igarss.2019.8899166</t>
  </si>
  <si>
    <t>WOS:000519270604035</t>
  </si>
  <si>
    <t>Pour, AB; Park, TYS; Park, Y; Hong, JK; Pradhan, B</t>
  </si>
  <si>
    <t>Pour, Amin Beiranvand; Park, Tae-Yoon S.; Park, Yongcheol; Hong, Jong Kuk; Pradhan, Biswajeet</t>
  </si>
  <si>
    <t>Application of Constrained Energy Minimization (CEM) algorithm to ASTER data for alteration mineral mapping</t>
  </si>
  <si>
    <t>CEM; ASTER; SWIR bands; alteration minerals; Antarctic environments</t>
  </si>
  <si>
    <t>SPECTRAL-ANALYSIS</t>
  </si>
  <si>
    <t>Several regions remain poorly studied in terms of geological mapping and mineral exploration in inaccessible regions especially in the Arctic and Antarctica due to harsh conditions and logistical difficulties. Application of specialized image processing techniques is capable of revealing the hidden linearly mixed spectral sources in multispectral and hyperspectral satellite images. In this study, the application of Constrained Energy Minimization (CEM) algorithm was evaluated for the Advanced Spaceborne Thermal Emission and Reflection Radiometer (ASTER) remote sensing data for geological mapping in Morozumi Range and Helliwell Hills areas, Northern Victoria Land (NVL), Antarctica. The results of this investigation demonstrate the capability of the algorithms in distinguishing subpixel targets in the multispectral satellite data. The application of the method for identifying poorly exposed geologic materials and subpixel exposures of alteration minerals has invaluable implications for geological mapping and mineral exploration in inaccessible regions.</t>
  </si>
  <si>
    <t>[Pour, Amin Beiranvand; Park, Tae-Yoon S.; Park, Yongcheol; Hong, Jong Kuk] Korea Polar Res Inst KOPRI, Incheon 21990, South Korea; [Pradhan, Biswajeet] Univ Technol Sydney, Fac Engn &amp; Informat Technol, CAMGIS, Sydney, NSW 2007, Australia; [Pradhan, Biswajeet] Sejong Univ, Dept Energy &amp; Mineral Resources Engn, 209 Neungdong Ro, Seoul 05006, South Korea</t>
  </si>
  <si>
    <t>Korea Polar Research Institute (KOPRI); University of Technology Sydney; Sejong University</t>
  </si>
  <si>
    <t>Pour, AB (corresponding author), Korea Polar Res Inst KOPRI, Incheon 21990, South Korea.</t>
  </si>
  <si>
    <t>Beiranvand Pour, Amin/E-1723-2013; Pradhan, Biswajeet/E-8226-2010</t>
  </si>
  <si>
    <t>Beiranvand Pour, Amin/0000-0001-8783-5120; Pradhan, Biswajeet/0000-0001-9863-2054</t>
  </si>
  <si>
    <t>KOPRI grant [PE17050, PE17160]</t>
  </si>
  <si>
    <t>KOPRI grant(Korea Polar Research Institute of Marine Research Placement (KOPRI))</t>
  </si>
  <si>
    <t>We are thankful to Korea Polar Research Institute (KOPRI) for providing the facilities for this investigation. This study was conducted as a part of KOPRI grant PE17050 and PE17160.</t>
  </si>
  <si>
    <t>10.1109/igarss.2019.8900375</t>
  </si>
  <si>
    <t>WOS:000519270606093</t>
  </si>
  <si>
    <t>Khan, S; Echevarria, E; Hemer, M</t>
  </si>
  <si>
    <t>Khan, Salman; Echevarria, Emilio; Hemer, Mark</t>
  </si>
  <si>
    <t>SENTINEL-1, WW3 AND BUOY SPECTRAL COMPARISONS IN THE SOUTHERN OCEAN</t>
  </si>
  <si>
    <t>SAR; directional swell spectra; WAVEWATCH III; buoy; Southern Ocean</t>
  </si>
  <si>
    <t>WAVE; PROPAGATION; VALIDATION; SWELL</t>
  </si>
  <si>
    <t>Space-borne Synthetic Aperture Radar has the ability to estimate directional ocean swell spectra globally and help answer scientific questions in the understanding of swell systems, cross seas as well as improve sea-state forecasts. However, it is still an open question how well such observations represent the actual spectra. We aim to address this question in the Southern Ocean by comparing these satellite measurements with reference data: wave model spectra and in-situ buoy observations, where available.</t>
  </si>
  <si>
    <t>[Khan, Salman] CSIRO, Oceans &amp; Atmosphere Climate Sci Ctr, 107-121 Stn St, Aspendale, Vic 3195, Australia; [Echevarria, Emilio; Hemer, Mark] CSIRO, Oceans &amp; Atmosphere Climate Sci Ctr, Hobart, Tas, Australia; [Echevarria, Emilio] Univ Tasmania, Inst Marine &amp; Antarctic Studies, 20 Castray Esplanade, Hobart, Tas, Australia; [Echevarria, Emilio] Univ Tasmania, Ctr Excellence Climate Extremes, Australian Res Council, Hobart, Tas, Australia</t>
  </si>
  <si>
    <t>Commonwealth Scientific &amp; Industrial Research Organisation (CSIRO); Commonwealth Scientific &amp; Industrial Research Organisation (CSIRO); University of Tasmania; University of Tasmania</t>
  </si>
  <si>
    <t>Khan, S (corresponding author), CSIRO, Oceans &amp; Atmosphere Climate Sci Ctr, 107-121 Stn St, Aspendale, Vic 3195, Australia.</t>
  </si>
  <si>
    <t>Khan, Salman Saeed/AAU-7135-2021; Echevarria, Emilio/AFW-5225-2022; Hemer, Mark/M-1905-2013</t>
  </si>
  <si>
    <t>Khan, Salman Saeed/0000-0001-6592-0068; Echevarria, Emilio/0000-0003-1267-2587; Hemer, Mark/0000-0002-7725-3474</t>
  </si>
  <si>
    <t>Integrated Marine Observing System (IMOS), is part of the National Collaborative Research Infrastructure Scheme of the Australian Government</t>
  </si>
  <si>
    <t>The authors gratefully acknowledge the support of the Integrated Marine Observing System (IMOS), which is part of the National Collaborative Research Infrastructure Scheme of the Australian Government. The raw Sentinel-1 datasets used in the study were sourced from Copernicus Australasia (http://www.copernicus.gov.au/) regional hub, buoy data from IMOS Australian Ocean Data Network (AODN-https://portal.aodn.org.au/) and model outputs from Centre for Australian Weather and Climate Research (CAWCR) wave hindcast.</t>
  </si>
  <si>
    <t>10.1109/igarss.2019.8900435</t>
  </si>
  <si>
    <t>WOS:000519270607105</t>
  </si>
  <si>
    <t>Padmanabhan, S; Drouin, B; L'Ecuyer, T; White, M; Lim, B; Kenyon, M; Mariani, G; McGuire, J; Raouf, N; De Santos, O; Bendig, R</t>
  </si>
  <si>
    <t>Padmanabhan, Sharmila; Drouin, Brian; L'Ecuyer, Tristan; White, Mary; Lim, Boon; Kenyon, Matt; Mariani, Giacomo; McGuire, James; Raouf, Nasrat; De Santos, Omar; Bendig, Rudi</t>
  </si>
  <si>
    <t>THE POLAR RADIENT ENERGY IN THE FAR INFRARED EXPERIMENT (PREFIRE)</t>
  </si>
  <si>
    <t>Infrared; spectrometer; far-IR; imager</t>
  </si>
  <si>
    <t>SEA-ICE</t>
  </si>
  <si>
    <t>In February 2018, NASA selected PREFIRE (The Polar Radiant Energy in the Far Infrared Experiment) to perform first-of-a-kind infrared and far-infrared measurements of Earth's atmosphere from space. This compelling new science mission will attempt to answer the question Why is the Arctic warming faster than the rest of the planet? by filling an important gap in our knowledge of energy flows in Polar Regions. PREFIRE will fly a pair of small CubeSat satellites to probe a little-studied portion of the radiant energy emitted by Earth for clues about Arctic warming, sea ice loss and ice-sheet melting. Two miniaturized Thermal Infrared Spectrometers (TIRS) on two CubeSat satellites, are based on technology previously flown on the Mars Climate Sounder, an instrument on NASA's Mars Reconnaissance Orbiter. The CubeSats will orbit Earth's poles to measure far-infrared emissions and how they change throughout the day and over seasons. By building, characterizing, and operating, TIRS payloads in two different polar orbits, the PREFIRE mission has potential impact on NASA in these focus areas through (1) Quantification of the influence of variable surface conditions on Arctic and Antarctic thermal emission, (2) Estimation of the impact of atmospheric constituents on the polar greenhouse effect, and, (3) Determination of the impacts of variations in far-infrared emissivity and greenhouse effect on ice sheet melt and sea level rise. The observations will allow scientists to assess how changes in thermal infrared emissions at the top of Earth's atmosphere are related to changes in cloud cover and surface conditions below. Incorporation of PREFIRE measurements into current ice sheet process models and global climate models is expected to improve confidence in predictions of global climate changes that impact environmental and national security.</t>
  </si>
  <si>
    <t>[Padmanabhan, Sharmila; Drouin, Brian; White, Mary; Lim, Boon; Kenyon, Matt; Mariani, Giacomo; McGuire, James; Raouf, Nasrat; De Santos, Omar; Bendig, Rudi] CALTECH, Jet Prop Lab, Pasadena, CA 91109 USA; [L'Ecuyer, Tristan] Univ Wisconsin, Madison, WI 53706 USA</t>
  </si>
  <si>
    <t>California Institute of Technology; National Aeronautics &amp; Space Administration (NASA); NASA Jet Propulsion Laboratory (JPL); University of Wisconsin System; University of Wisconsin Madison</t>
  </si>
  <si>
    <t>Padmanabhan, S (corresponding author), CALTECH, Jet Prop Lab, Pasadena, CA 91109 USA.</t>
  </si>
  <si>
    <t>10.1109/igarss.2019.8899259</t>
  </si>
  <si>
    <t>WOS:000519270608026</t>
  </si>
  <si>
    <t>Liu, SB; Jin, X; Zhou, W; Wang, XN; Yv, R; Li, YM; Dang, HX; Tan, XM</t>
  </si>
  <si>
    <t>Liu, ShuBo; Jin, Xv; Zhou, Wu; Wang, XiaoNing; Yv, Rui; Li, YanMing; Dang, HongXing; Tan, XiaoMin</t>
  </si>
  <si>
    <t>INITIAL PERFORMANCE OF THE HAIYANG-2B SCANNING MICROWAVE RADIOMETER</t>
  </si>
  <si>
    <t>HaiYang-2B; the scanning microwave radiometer; initial assessment</t>
  </si>
  <si>
    <t>The HaiYang-2B(HY-2B) satellite was successfully launched in October 2018. A multi-channel scanning microwave radiometer (SMR) was carried for measuring sea surface temperature(SST), sea surface wind speed (SSW), total water vapor (TWV) and cloud liquid water (CLW) content. In this paper, the initial performance of SMR is evaluated with one month's measured data. The comparisons between the brightness temperature of SMR and that of model and GMI indicate that the measurements of SMR are in good agreement with the results of model and GMI at low frequency. Besides, the contrast between SMR and SSMIS at Sahara Desert and Antarctic ice sheet, and the analysis for the measurements of cold and heat source infer that the measurements at high frequency is valid and accurate. In order to assess the measurements of SMR globally, all the four parameters are retrieved with in-situ statistical regression algorithm and validated with the WindSat gridded products. The RMSE of SST, SSW, TWV, CLW is 0.80 degrees C, 0.75m/s, 0.86mm and 0.03mm, respectively, which are far better than the required accuracy. In future, with the accumulation of data acquired from SMR, the new precise correction for data and the comparison to the in-situ Argo, buoy and sonde measurements will be made. It is expectable that the accuracy will be further improved.</t>
  </si>
  <si>
    <t>[Liu, ShuBo; Jin, Xv; Wang, XiaoNing; Yv, Rui; Li, YanMing; Dang, HongXing; Tan, XiaoMin] Xian Inst Space Radio Technol, Xian 710000, Peoples R China; [Zhou, Wu] Natl Satellite Ocean Applicat Serv, Beijing 100081, Peoples R China</t>
  </si>
  <si>
    <t>National Satellite Ocean Application Service</t>
  </si>
  <si>
    <t>Liu, SB (corresponding author), Xian Inst Space Radio Technol, Xian 710000, Peoples R China.</t>
  </si>
  <si>
    <t>liushubo163@163.com</t>
  </si>
  <si>
    <t>li, chunyuan/IQW-1618-2023; li, yan/GTI-4638-2022</t>
  </si>
  <si>
    <t>10.1109/igarss.2019.8898014</t>
  </si>
  <si>
    <t>WOS:000519270608045</t>
  </si>
  <si>
    <t>Bowler, E; Fretwell, PT; French, G; Mackiewicz, M</t>
  </si>
  <si>
    <t>Bowler, Ellen; Fretwell, Peter T.; French, Geoffrey; Mackiewicz, Michal</t>
  </si>
  <si>
    <t>USING DEEP LEARNING TO COUNT ALBATROSSES FROM SPACE</t>
  </si>
  <si>
    <t>Automatic detection; U-net; satellite survey; convolutional neural network; inter-observer variation</t>
  </si>
  <si>
    <t>In this paper we test the use of a deep learning approach to automatically count Wandering Albatrosses in Very High Resolution (VHR) satellite imagery. We use a dataset of manually labelled imagery provided by the British Antarctic Survey to train and develop our methods. We employ a U-Net architecture, designed for image segmentation, to simultaneously classify and localise potential albatrosses. We aid training with the use of the Focal Loss criterion, to deal with extreme class imbalance in the dataset. Initial results achieve peak precision and recall values of approximately 80%. Finally we assess the model's performance in relation to interobserver variation, by comparing errors against an image labelled by multiple observers. We conclude model accuracy falls within the range of human counters. We hope that the methods will streamline the analysis of VHR satellite images, enabling more frequent monitoring of a species which is of high conservation concern.</t>
  </si>
  <si>
    <t>[Bowler, Ellen; French, Geoffrey; Mackiewicz, Michal] Univ East Anglia, Sch Comp Sci, Norwich, Norfolk, England; [Fretwell, Peter T.] British Antarctic Survey, Maddingley Rd, Cambridge, England</t>
  </si>
  <si>
    <t>Bowler, E (corresponding author), Univ East Anglia, Sch Comp Sci, Norwich, Norfolk, England.</t>
  </si>
  <si>
    <t>e.bowler@uea.ac.uk</t>
  </si>
  <si>
    <t>Mackiewicz, Michal/0000-0002-8777-8880; Bowler, Ellen/0000-0002-9681-1355</t>
  </si>
  <si>
    <t>NERC; EPSRC through the NEXUSS CDT [NE/RO12156/1]; NERC [bas010011, 1942322] Funding Source: UKRI</t>
  </si>
  <si>
    <t>NERC(UK Research &amp; Innovation (UKRI)Natural Environment Research Council (NERC)); EPSRC through the NEXUSS CDT(UK Research &amp; Innovation (UKRI)Engineering &amp; Physical Sciences Research Council (EPSRC)); NERC(UK Research &amp; Innovation (UKRI)Natural Environment Research Council (NERC))</t>
  </si>
  <si>
    <t>This work was supported by NERC and EPSRC through the NEXUSS CDT [grant number NE/RO12156/1]. The WV-3 imagery used was courtesy of DigitalGlobe, a Maxar company. We gratefully acknowledge the support of NVIDIA Corporation with the donation of the Titan Xp GPU used for this research.</t>
  </si>
  <si>
    <t>10.1109/igarss.2019.8898079</t>
  </si>
  <si>
    <t>WOS:000519270601069</t>
  </si>
  <si>
    <t>Philpot, C; Drobczyk, M; Strowik, C; Duvel, C</t>
  </si>
  <si>
    <t>Philpot, Claudia; Drobczyk, Martin; Strowik, Christian; Duvel, Catherin</t>
  </si>
  <si>
    <t>Wireless Compose - Communication and positioning network in ISS and Antarctic Greenhouse</t>
  </si>
  <si>
    <t>2019 IEEE WIRELESS COMMUNICATIONS AND NETWORKING CONFERENCE (WCNC)</t>
  </si>
  <si>
    <t>IEEE Wireless Communications and Networking Conference</t>
  </si>
  <si>
    <t>IEEE Wireless Communications and Networking Conference (WCNC)</t>
  </si>
  <si>
    <t>APR 15-19, 2019</t>
  </si>
  <si>
    <t>Marrakech, MOROCCO</t>
  </si>
  <si>
    <t>Wireless Sensor Network; WICO; Wireless Compose; Human spaceflight; ISS; IR-UWB; positioning; tracking; Energy harvesting; EDEN ISS</t>
  </si>
  <si>
    <t>This paper describes the efforts required for the precursor mission Wireless Compose (WICO), a sensing and positioning experiment, which is operated in the Columbus module of the International Space Station (ISS). Moreover, a Ground Reference Model is deployed in the Evolution &amp; Design of Environmentally closed Nutrion-Sources (EDEN) laboratory in Antarctica by German Aerospace Centre (DLR). It evaluates also agriculture/vertical farming concepts in human spaceflight. WICOs main objective is the deployment of a wireless sensor network for sensor data acquisition and the demonstration of positioning capabilities on the ISS. The wireless sensor network (WSN) is based on impulse radio - ultra wideband (IR-UWB) in the physical layer, which also allows time-of-flight measurements between two special locations. The utilization of wireless technologies in space habitats provides a great potential for several kinds of applications, decreasing the harness complexity and providing easier access for installation as well as maintenance tasks. For this reason, WICO also uses energy harvesting from internal light sources to drive the sensor modules thus allowing maintenance-free operation. The paper describes the hardware design, the operational concept and aspects of applied quality and safety requirements for Human Spaceflight. Finally, the status is presented with a focus on the analysis of different applications on Earth and in space for the implementation of wireless sensor networks in order to help and to identify new applications for future space missions.</t>
  </si>
  <si>
    <t>[Philpot, Claudia] German Aerosp Ctr DLR eV, Inst Space Syst, Dept Syst Anal Space Segment, D-28359 Bremen, Germany; [Drobczyk, Martin; Strowik, Christian] German Aerosp Ctr DLR eV, Inst Space Syst, Dept Avion Syst, D-28359 Bremen, Germany; [Duvel, Catherin] German Aerosp Ctr DLR eV, Inst Space Syst, Dept Qual &amp; Prod Assurance, D-28359 Bremen, Germany</t>
  </si>
  <si>
    <t>Helmholtz Association; German Aerospace Centre (DLR); Helmholtz Association; German Aerospace Centre (DLR); Helmholtz Association; German Aerospace Centre (DLR)</t>
  </si>
  <si>
    <t>Philpot, C (corresponding author), German Aerosp Ctr DLR eV, Inst Space Syst, Dept Syst Anal Space Segment, D-28359 Bremen, Germany.</t>
  </si>
  <si>
    <t>Claudia.Philpot@dlr.de; Martin.Drobezyk@dlr.de; Christian.Strowik@dlr.de; eatherin.hobbie@dlr.de</t>
  </si>
  <si>
    <t>1525-3511</t>
  </si>
  <si>
    <t>978-1-5386-7646-2</t>
  </si>
  <si>
    <t>IEEE WCNC</t>
  </si>
  <si>
    <t>Telecommunications</t>
  </si>
  <si>
    <t>BO5YG</t>
  </si>
  <si>
    <t>WOS:000519086301099</t>
  </si>
  <si>
    <t>Williams, RG; Meijers, A</t>
  </si>
  <si>
    <t>Cochran, JK; Bokuniewicz, HJ; Yager, PL</t>
  </si>
  <si>
    <t>Williams, Richard G.; Meijers, Andrew</t>
  </si>
  <si>
    <t>Ocean Subduction</t>
  </si>
  <si>
    <t>ENCYCLOPEDIA OF OCEAN SCIENCES, VOL 3: OCEAN DYNAMICS, 3RD EDITION</t>
  </si>
  <si>
    <t>POTENTIAL VORTICITY; MIXED-LAYER; GYRE VENTILATION; CIRCULATION; HE-3</t>
  </si>
  <si>
    <t>[Williams, Richard G.] Univ Liverpool, Liverpool, Merseyside, England; [Meijers, Andrew] British Antarctic Survey, Cambridge, England</t>
  </si>
  <si>
    <t>University of Liverpool; UK Research &amp; Innovation (UKRI); Natural Environment Research Council (NERC); NERC British Antarctic Survey</t>
  </si>
  <si>
    <t>Williams, RG (corresponding author), Univ Liverpool, Liverpool, Merseyside, England.</t>
  </si>
  <si>
    <t>Williams, Richard G/K-4111-2016</t>
  </si>
  <si>
    <t>Williams, Richard G/0000-0002-3180-7558</t>
  </si>
  <si>
    <t>978-0-12-813081-0</t>
  </si>
  <si>
    <t>10.1016/B978-0-12-409548-9.11297-7</t>
  </si>
  <si>
    <t>BO6EF</t>
  </si>
  <si>
    <t>WOS:000519759300017</t>
  </si>
  <si>
    <t>Rintoul, SR; da Silva, CE</t>
  </si>
  <si>
    <t>Rintoul, Stephen R.; da Silva, Carolina Ernani</t>
  </si>
  <si>
    <t>Antarctic Circumpolar Current</t>
  </si>
  <si>
    <t>[Rintoul, Stephen R.] CSIRO Antarctic Climate &amp; Ecosyst Cooperat Res Ct, Hobart, Tas, Australia; [da Silva, Carolina Ernani] Univ Georgia, Dept Marine Sci, Athens, GA 30602 USA</t>
  </si>
  <si>
    <t>Commonwealth Scientific &amp; Industrial Research Organisation (CSIRO); University System of Georgia; University of Georgia</t>
  </si>
  <si>
    <t>Rintoul, SR (corresponding author), CSIRO Antarctic Climate &amp; Ecosyst Cooperat Res Ct, Hobart, Tas, Australia.</t>
  </si>
  <si>
    <t>10.1016/B978-0-12-409548-9.11298-9</t>
  </si>
  <si>
    <t>WOS:000519759300027</t>
  </si>
  <si>
    <t>Everson, I; Crawford, LM</t>
  </si>
  <si>
    <t>Everson, Inigo; Crawford, Lisa M.</t>
  </si>
  <si>
    <t>Antarctic Fishes</t>
  </si>
  <si>
    <t>ENCYCLOPEDIA OF OCEAN SCIENCES, VOL 2: MARINE LIFE, 3RD EDITION</t>
  </si>
  <si>
    <t>[Everson, Inigo] Anglia Ruskin Univ, Cambridge, England; [Crawford, Lisa M.] SUNY Stony Brook, Stony Brook, NY 11794 USA</t>
  </si>
  <si>
    <t>Anglia Ruskin University; State University of New York (SUNY) System; State University of New York (SUNY) Stony Brook</t>
  </si>
  <si>
    <t>Everson, I (corresponding author), Anglia Ruskin Univ, Cambridge, England.</t>
  </si>
  <si>
    <t>10.1016/B978-0-12-409548-9.11363-6</t>
  </si>
  <si>
    <t>BO6ED</t>
  </si>
  <si>
    <t>WOS:000519757700018</t>
  </si>
  <si>
    <t>Everson, I</t>
  </si>
  <si>
    <t>Everson, I.</t>
  </si>
  <si>
    <t>Southern Ocean Fisheries</t>
  </si>
  <si>
    <t>[Everson, I.] British Antarctic Survey, Cambridge, England</t>
  </si>
  <si>
    <t>Everson, I (corresponding author), British Antarctic Survey, Cambridge, England.</t>
  </si>
  <si>
    <t>10.1016/B978-0-12-409548-9.11636-7</t>
  </si>
  <si>
    <t>WOS:000519757700061</t>
  </si>
  <si>
    <t>Murphy, EJ</t>
  </si>
  <si>
    <t>Murphy, E. J.</t>
  </si>
  <si>
    <t>Krill</t>
  </si>
  <si>
    <t>ENCYCLOPEDIA OF OCEAN SCIENCES, VOL 1: MARINE BIOGEOCHEMISTRY, 3RD EDITION</t>
  </si>
  <si>
    <t>[Murphy, E. J.] British Antarctic Survey, Marine Life Sci Div, Cambridge, England</t>
  </si>
  <si>
    <t>Murphy, EJ (corresponding author), British Antarctic Survey, Marine Life Sci Div, Cambridge, England.</t>
  </si>
  <si>
    <t>10.1016/B978-0-12-409548-9.11634-3</t>
  </si>
  <si>
    <t>BO6EC</t>
  </si>
  <si>
    <t>WOS:000519755300060</t>
  </si>
  <si>
    <t>Clarke, A; Peck, LS; Oliver, H</t>
  </si>
  <si>
    <t>Clarke, A.; Peck, L. S.; Oliver, H.</t>
  </si>
  <si>
    <t>Polar Ecosystems</t>
  </si>
  <si>
    <t>[Clarke, A.; Peck, L. S.] British Antarctic Survey, Cambridge, England; [Oliver, H.] Univ Georgia, Athens, GA 30602 USA</t>
  </si>
  <si>
    <t>UK Research &amp; Innovation (UKRI); Natural Environment Research Council (NERC); NERC British Antarctic Survey; University System of Georgia; University of Georgia</t>
  </si>
  <si>
    <t>Clarke, A (corresponding author), British Antarctic Survey, Cambridge, England.</t>
  </si>
  <si>
    <t>Oliver, Hilde/0000-0002-5507-3333</t>
  </si>
  <si>
    <t>NERC [bas0100025] Funding Source: UKRI</t>
  </si>
  <si>
    <t>10.1016/B978-0-12-409548-9.04296-2</t>
  </si>
  <si>
    <t>WOS:000519755300088</t>
  </si>
  <si>
    <t>Begeman, CB; Doake, CSM</t>
  </si>
  <si>
    <t>Begeman, C. Branecky; Doake, C. S. M.</t>
  </si>
  <si>
    <t>Ice Shelf Stability</t>
  </si>
  <si>
    <t>ENCYCLOPEDIA OF OCEAN SCIENCES, VOL 6: OCEAN INTERFACES &amp; HUMAN IMPACTS, 3RD EDITION</t>
  </si>
  <si>
    <t>[Begeman, C. Branecky] Univ Calif Santa Cruz, Santa Cruz, CA 95064 USA; [Doake, C. S. M.] British Antarctic Survey, Cambridge, England</t>
  </si>
  <si>
    <t>University of California System; University of California Santa Cruz; UK Research &amp; Innovation (UKRI); Natural Environment Research Council (NERC); NERC British Antarctic Survey</t>
  </si>
  <si>
    <t>Begeman, CB (corresponding author), Univ Calif Santa Cruz, Santa Cruz, CA 95064 USA.</t>
  </si>
  <si>
    <t>10.1016/B978-0-12-409548-9.10791-2</t>
  </si>
  <si>
    <t>Ecology; Environmental Sciences; Oceanography</t>
  </si>
  <si>
    <t>Environmental Sciences &amp; Ecology; Oceanography</t>
  </si>
  <si>
    <t>BO6EI</t>
  </si>
  <si>
    <t>WOS:000519763400016</t>
  </si>
  <si>
    <t>Prothro, LO</t>
  </si>
  <si>
    <t>Prothro, Lindsay O.</t>
  </si>
  <si>
    <t>Ice-Induced Plowing of the Seafloor</t>
  </si>
  <si>
    <t>ANTARCTIC ICEBERGS; PLOUGHMARKS; SHELF</t>
  </si>
  <si>
    <t>[Prothro, Lindsay O.] Rice Univ, Houston, TX 77251 USA</t>
  </si>
  <si>
    <t>Rice University</t>
  </si>
  <si>
    <t>Prothro, LO (corresponding author), Rice Univ, Houston, TX 77251 USA.</t>
  </si>
  <si>
    <t>Prothro, Lindsay/Y-9837-2019</t>
  </si>
  <si>
    <t>Prothro, Lindsay/0000-0003-3385-8487</t>
  </si>
  <si>
    <t>10.1016/B978-0-12-409548-9.10790-0</t>
  </si>
  <si>
    <t>WOS:000519763400018</t>
  </si>
  <si>
    <t>Weekst, WF; Schroeter, S</t>
  </si>
  <si>
    <t>Weekst, Wilford F.; Schroeter, Serena</t>
  </si>
  <si>
    <t>Sea Ice: Overview</t>
  </si>
  <si>
    <t>[Schroeter, Serena] Univ Tasmania, Inst Marine &amp; Antarctic Studies, Hobart, Tas, Australia</t>
  </si>
  <si>
    <t>10.1016/B978-0-12-409548-9.10819-X</t>
  </si>
  <si>
    <t>WOS:000519763400022</t>
  </si>
  <si>
    <t>Nicholls, KW</t>
  </si>
  <si>
    <t>Nicholls, Keith W.</t>
  </si>
  <si>
    <t>Sub Ice-Shelf Circulation and Processes</t>
  </si>
  <si>
    <t>BENEATH; ANTARCTICA</t>
  </si>
  <si>
    <t>[Nicholls, Keith W.] British Antarctic Survey, Cambridge, England</t>
  </si>
  <si>
    <t>Nicholls, KW (corresponding author), British Antarctic Survey, Cambridge, England.</t>
  </si>
  <si>
    <t>10.1016/B978-0-12-409548-9.11476-9</t>
  </si>
  <si>
    <t>WOS:000519763400025</t>
  </si>
  <si>
    <t>Beneath the Shadow: Legacy and Longing in the Antarctic</t>
  </si>
  <si>
    <t>Book</t>
  </si>
  <si>
    <t>SCOTT</t>
  </si>
  <si>
    <t>WOS:000517520900010</t>
  </si>
  <si>
    <t>Cook, J</t>
  </si>
  <si>
    <t>Cook, James</t>
  </si>
  <si>
    <t>RESOLUTION (1772-1775)</t>
  </si>
  <si>
    <t>WOS:000517520900002</t>
  </si>
  <si>
    <t>Bellingshausen, T</t>
  </si>
  <si>
    <t>Bellingshausen, Thaddeus</t>
  </si>
  <si>
    <t>VOSTOK (1819-1821)</t>
  </si>
  <si>
    <t>WOS:000517520900003</t>
  </si>
  <si>
    <t>Cook, F</t>
  </si>
  <si>
    <t>Cook, Frederick</t>
  </si>
  <si>
    <t>BELGICA (1897-1899)</t>
  </si>
  <si>
    <t>WOS:000517520900004</t>
  </si>
  <si>
    <t>Wilson, E</t>
  </si>
  <si>
    <t>Wilson, Edward</t>
  </si>
  <si>
    <t>DISCOVERY (1901-1904)</t>
  </si>
  <si>
    <t>WOS:000517520900005</t>
  </si>
  <si>
    <t>Cherry-Garrard, A</t>
  </si>
  <si>
    <t>Cherry-Garrard, Apsley</t>
  </si>
  <si>
    <t>TERRA NOVA (1910-1912) WINTER JOURNEY</t>
  </si>
  <si>
    <t>WOS:000517520900006</t>
  </si>
  <si>
    <t>Amundsen, R</t>
  </si>
  <si>
    <t>Amundsen, Roald</t>
  </si>
  <si>
    <t>FRAM (1910-1912)</t>
  </si>
  <si>
    <t>WOS:000517520900007</t>
  </si>
  <si>
    <t>Shackleton, EH</t>
  </si>
  <si>
    <t>Shackleton, Ernest Henry</t>
  </si>
  <si>
    <t>ENDURANCE (1914-1917)</t>
  </si>
  <si>
    <t>WOS:000517520900008</t>
  </si>
  <si>
    <t>Scott, RF</t>
  </si>
  <si>
    <t>Scott, Robert Falcon</t>
  </si>
  <si>
    <t>TERRA NOVA (1910-1912) POLE JOURNEY</t>
  </si>
  <si>
    <t>WOS:000517520900009</t>
  </si>
  <si>
    <t>Filippova, LV</t>
  </si>
  <si>
    <t>Safronova, EI</t>
  </si>
  <si>
    <t>Filippova, Liudmila V.</t>
  </si>
  <si>
    <t>China's Arctic Research Potential</t>
  </si>
  <si>
    <t>CHINA IN WORLD AND REGIONAL POLITICS: HISTORY AND MODERNITY</t>
  </si>
  <si>
    <t>Kitaj v Mirovoj i Regional noj Politike Istoria i Sovremennost</t>
  </si>
  <si>
    <t>Russian</t>
  </si>
  <si>
    <t>the Arctic; Arctic Ocean; Polar science; Arctic science; Russia China collaboration; Arctic Yellow River Station; CHINARE</t>
  </si>
  <si>
    <t>The growth of China's interest towards the Arctic over the past decades can be explained by three main driving factors: mineral assets, new sea routes and the need in scientific research. The first two components are obvious priorities, while the third one legitimizes the rising presence of China in the Arctic region fueled by the country's new geopolitical aspirations. In this regard, the paper aims to assess China's Arctic scientific potential by following it in dynamics, as well as to determine its impact on the overall changing global role of the PRC. To this end, the author examines in detail the main stages of China's research activities in the Arctic, which evolved from the Antarctic research of China. The beginning of one of the stages was associated with the transition from studying the Arctic natural status to assessing its regional business and strategic potentials what was inspired by the fact that Russian research expedition planted the Russian flag in the North Pole seabed in 2007. This event, among other things, gave rise to China's special interest in promoting scientific dialogue with Russia on the Arctic issues. The author also points out the evolution of the Chinese Arctic research institutes since the late 1980s, compares nine China Arctic National Research Expeditions and gives an update on China's regional infrastructure, drawing particular attention to its intended further expansion. In the paper, special attention is paid to the Chinese contribution to a broader international scientific effort on the Arctic, both as part of international scientific organizations' activities and/or bilateral and exclusive multilateral scientific dialogue. Basing on the data collected, the author demonstrates how China's increased investment in Arctic scientific programs has been transferred into specific scientific and technological achievements and how the importance of the Arctic research has gradually increased within the block of Chinese Polar research. The author concludes that these factors allowed China to turn from a country with limited Arctic research interest into a near -Arctic state, a notable player in the region with its own developed infrastructure, knowledge of the Arctic and significant research potential as well.</t>
  </si>
  <si>
    <t>filippova.lyudmila@gmail.com</t>
  </si>
  <si>
    <t>Filippova, Liudmila/JNS-6307-2023</t>
  </si>
  <si>
    <t>Filippova, Liudmila/0000-0002-7302-3356</t>
  </si>
  <si>
    <t>RUSSIAN ACAD SCIENCES, INST FAR EASTERN STUDIES</t>
  </si>
  <si>
    <t>NAKHIMOVSKY AV, 32,, MOSCOW, 117997, RUSSIA</t>
  </si>
  <si>
    <t>2618-6888</t>
  </si>
  <si>
    <t>978-5-8381-0355-0</t>
  </si>
  <si>
    <t>KIT MIR REG POL IST</t>
  </si>
  <si>
    <t>10.24411/2618-6888-2019-10016'</t>
  </si>
  <si>
    <t>Political Science</t>
  </si>
  <si>
    <t>BO4ZN</t>
  </si>
  <si>
    <t>WOS:000516526400014</t>
  </si>
  <si>
    <t>Nickerson, BM; Bekker, A</t>
  </si>
  <si>
    <t>ASME</t>
  </si>
  <si>
    <t>Nickerson, Brendon M.; Bekker, Anriette</t>
  </si>
  <si>
    <t>VALIDATION OF EXTERNAL MOMENT DETERMINATION FOR THE SHAFT-LINE OF THE SA AGULHAS II</t>
  </si>
  <si>
    <t>PROCEEDINGS OF THE ASME 38TH INTERNATIONAL CONFERENCE ON OCEAN, OFFSHORE AND ARCTIC ENGINEERING, 2019, VOL 3</t>
  </si>
  <si>
    <t>Proceedings of the ASME International Conference on Ocean Offshore and Arctic Engineering</t>
  </si>
  <si>
    <t>38th ASME International Conference on Ocean, Offshore and Arctic Engineering (OMAE 2019)</t>
  </si>
  <si>
    <t>JUN 09-14, 2019</t>
  </si>
  <si>
    <t>Univ Strathclyde, Glasgow, SCOTLAND</t>
  </si>
  <si>
    <t>Univ Strathclyde</t>
  </si>
  <si>
    <t>Full-scale measurements of shaft torque have been performed on several voyages of a polar supply and research vessel, the SA Agulhas II. Previous work has looked at the determination of the externally induced ice moments on the propeller to shed light on the expected loading conditions in the harsh Antarctic environments. This has been done by making use of a lumped mass model, measurements taken on the shaft-line and an inverse prediction algorithm. Thus the externally applied loads are determined through the internal measurements on the shaft-line. The work presented here is in an effort to assess the validity of the lumped mass model parameters used in the external moment determination process. Two methods of validation have been performed. The first is through the comparison of the lumped mass model to operational modal analysis data of the shaft-line, obtained during dry-dock operations in 2017. The second validation method that is considered relies on data recorded on board the SA Agulhas II during its 2018-19 Annual Relief Voyage to Antarctica. The shaft-line measurement system has been expanded to include the measurement of torque at a second location, further down the shaft. These two measurement locations are each used to determine the external loads and their results are compared. It was found that the results of the validation show correlation, albeit with some error, and that the developed method is valid for use in determining externally induced ice moments. However, there is room for improvement of the current external moment determination method.</t>
  </si>
  <si>
    <t>[Nickerson, Brendon M.; Bekker, Anriette] Stellenbosch Univ, Stellenbosch, South Africa</t>
  </si>
  <si>
    <t>Stellenbosch University</t>
  </si>
  <si>
    <t>Nickerson, BM (corresponding author), Stellenbosch Univ, Stellenbosch, South Africa.</t>
  </si>
  <si>
    <t>16603087@sun.ac.za; annieb@sun.ac.za</t>
  </si>
  <si>
    <t>National Research Foundation (NRF); South African National Antarctic Programme [110737]</t>
  </si>
  <si>
    <t>National Research Foundation (NRF); South African National Antarctic Programme</t>
  </si>
  <si>
    <t>The authors would like to acknowledge C.F.W. Saunders and D.J. Swart for their assistance in the dry-dock testing, and to J.J. Matthee for assistance in measurement aboard the SA Agulhas II during the 2018/19 SANAE Relief Voyage, as well as the National Research Foundation (NRF) for funding through the South African National Antarctic Programme (Grant No: 110737).</t>
  </si>
  <si>
    <t>AMER SOC MECHANICAL ENGINEERS</t>
  </si>
  <si>
    <t>THREE PARK AVENUE, NEW YORK, NY 10016-5990 USA</t>
  </si>
  <si>
    <t>2153-4772</t>
  </si>
  <si>
    <t>978-0-7918-5878-3</t>
  </si>
  <si>
    <t>P ASME INT C OCEAN</t>
  </si>
  <si>
    <t>UNSP V003T02A095</t>
  </si>
  <si>
    <t>Engineering, Ocean; Engineering, Mechanical</t>
  </si>
  <si>
    <t>BO3XZ</t>
  </si>
  <si>
    <t>WOS:000513071100095</t>
  </si>
  <si>
    <t>Campos, RM; D'Agostini, A; Cruz, LM; França, BRL; Soares, CG</t>
  </si>
  <si>
    <t>Campos, Ricardo Martins; D'Agostini, Andressa; Cruz, Leandro Machado; Leite Franca, Bruna Reis; Soares, C. Guedes</t>
  </si>
  <si>
    <t>EXTREME WIND AND WAVE PREDICTABILITY FROM OPERATIONAL FORECASTS AT THE DRAKE PASSAGE</t>
  </si>
  <si>
    <t>PROCEEDINGS OF THE ASME 38TH INTERNATIONAL CONFERENCE ON OCEAN, OFFSHORE AND ARCTIC ENGINEERING, 2019, VOL 7B</t>
  </si>
  <si>
    <t>The Drake Passage is an ocean area between the South America and Antarctic with very extreme wind and wave climates. The forecast accuracy of surface winds and significant wave heights is analyzed in the present paper, in order to study the behavior and distribution of model uncertainties as a function of: forecast range, severity, location, and numerical model. The operational forecast considered is run twice a day by the Brazilian Navy, and a period of one year (2017) is selected for the assessment. Observations consist of four satellite missions: JASON2, JASON3, CRYOSAT, and SARAL. The numerical atmospheric models with 10-m winds are GFS (Global Forecast System) and ICON (Icosahedral Nonhydrostatic Model). They force wave simulations using the model WAVEWATCH III with a mosaic of two grids. The forecast horizon analyzed is five days, which is made publicly available by the Brazilian Navy. Results show that under calm to moderate conditions, within the first two days of forecast, the wind and wave model skill is very high. However, above the 90th percentile and beyond the third forecast day, the predictability drops significantly. It highlights specific contours of forecast range versus percentiles where the wind and wave modelers should focus, in order to anticipate and to improve the predictability of extreme events at the Drake Passage.</t>
  </si>
  <si>
    <t>[Campos, Ricardo Martins; Soares, C. Guedes] Univ Lisbon, Inst Super Tecn, Ctr Marine Technol &amp; Ocean Engn CENTEC, P-1049001 Lisbon, Portugal; [D'Agostini, Andressa; Cruz, Leandro Machado; Leite Franca, Bruna Reis] Marinha Brasil, Sega Modelagem Oceanog REMO, CHM, BR-24048900 Niteroi, RJ, Brazil</t>
  </si>
  <si>
    <t>Universidade de Lisboa</t>
  </si>
  <si>
    <t>Campos, RM (corresponding author), Univ Lisbon, Inst Super Tecn, Ctr Marine Technol &amp; Ocean Engn CENTEC, P-1049001 Lisbon, Portugal.</t>
  </si>
  <si>
    <t>Soares, Carlos Guedes/AAW-7684-2020</t>
  </si>
  <si>
    <t>978-0-7918-5885-1</t>
  </si>
  <si>
    <t>UNSP V07BT06A014</t>
  </si>
  <si>
    <t>BO3YL</t>
  </si>
  <si>
    <t>WOS:000513308900014</t>
  </si>
  <si>
    <t>Lanyon, JM; Burgess, EA</t>
  </si>
  <si>
    <t>Comizzoli, P; Brown, JL; Holt, WV</t>
  </si>
  <si>
    <t>Lanyon, Janet M.; Burgess, Elizabeth A.</t>
  </si>
  <si>
    <t>Reproductive Science Methods for Wild, Fully-Marine Mammals: Current Approaches and Future Applications</t>
  </si>
  <si>
    <t>REPRODUCTIVE SCIENCES IN ANIMAL CONSERVATION, 2ND EDITION</t>
  </si>
  <si>
    <t>Advances in Experimental Medicine and Biology</t>
  </si>
  <si>
    <t>Reproduction; Marine mammals; Methods; Endocrinology; Observation; Cetaceans; Sirenians</t>
  </si>
  <si>
    <t>BOTTLE-NOSED DOLPHINS; ATLANTIC RIGHT WHALE; MANATEE TRICHECHUS-MANATUS; ANTI-MULLERIAN HORMONE; DUGONGS DUGONG-DUGON; IN-VITRO MATURATION; INTRACYTOPLASMIC SPERM INJECTION; ANTARCTIC MINKE WHALE; SEALS PHOCA-VITULINA; TURSIOPS-TRUNCATUS</t>
  </si>
  <si>
    <t>Determining reproductive rates of marine mammal populations can give insight into their persistence and resilience in changing environments. As our marine environments continue to degrade along developed coastal fringes and as mankind's influences extend across even our widest oceans, there is a concern that the reproductive functioning of marine mammals may be affected adversely. Since many marine mammal species and populations are still in the recovery phase post-commercial harvest, and yet others are endangered or threatened by ongoing pressures, further environmental changes may represent direct or indirect threats to their reproductive potential. In this chapter, we review the current methods employed to investigate various aspects of reproductive science in fully-marine mammals, including direct observation of reproductive behavior and output, endocrinology to determine reproductive state, and assisted reproductive technologies to enhance reproductive outcomes. In particular, we focus on the most recent developments and innovations to reproductively sample marine mammals. Two case studies are presented to illustrate the challenges thrown up to researchers studying free-ranging marine mammals, and to highlight diversity in research approach. The North Atlantic right whale is on the brink of extinction through historic overharvest and presentday entanglement and ship strike. Environmental disruption to their migration routes and declining population health has resulted in reduced reproductive rates. In contrast, the main current threats to the reproductive success and survival of the vulnerable dugong are extreme weather events that affect availability of its seagrass diet. Climate disruption with increasingly severe coastal storms and flooding threaten the health of coastal seagrass beds, and consequently reproductive success and survival of this species. It is anticipated that climate change may have diverse and often serious effects on marine mammal reproduction in populations around the globe.</t>
  </si>
  <si>
    <t>[Lanyon, Janet M.] Univ Queensland, Sch Biol Sci, Marine Vertebrate Ecol Res Grp, St Lucia, Qld, Australia; [Burgess, Elizabeth A.] New England Aquarium, Anderson Cabot Ctr Ocean Life, Boston, MA USA</t>
  </si>
  <si>
    <t>University of Queensland</t>
  </si>
  <si>
    <t>Lanyon, JM (corresponding author), Univ Queensland, Sch Biol Sci, Marine Vertebrate Ecol Res Grp, St Lucia, Qld, Australia.</t>
  </si>
  <si>
    <t>j.lanyon@uq.edu.au</t>
  </si>
  <si>
    <t>Lanyon, Janet/JYP-1848-2024</t>
  </si>
  <si>
    <t>Lanyon, Janet/0000-0003-1453-5594</t>
  </si>
  <si>
    <t>0065-2598</t>
  </si>
  <si>
    <t>2214-8019</t>
  </si>
  <si>
    <t>978-3-030-23633-5; 978-3-030-23632-8</t>
  </si>
  <si>
    <t>ADV EXP MED BIOL</t>
  </si>
  <si>
    <t>Adv.Exp.Med.Biol.</t>
  </si>
  <si>
    <t>10.1007/978-3-030-23633-5_13</t>
  </si>
  <si>
    <t>10.1007/978-3-030-23633-5</t>
  </si>
  <si>
    <t>Biodiversity Conservation; Reproductive Biology</t>
  </si>
  <si>
    <t>Biodiversity &amp; Conservation; Reproductive Biology</t>
  </si>
  <si>
    <t>BO4FU</t>
  </si>
  <si>
    <t>WOS:000514114400014</t>
  </si>
  <si>
    <t>Guo, Q; Wang, HR; Ye, HL; Li, A; Liu, G; Guo, HD</t>
  </si>
  <si>
    <t>Neeck, SP; Martimort, P; Kimura, T</t>
  </si>
  <si>
    <t>Guo, Qing; Wang, Hairong; Ye, Hanlin; Li, An; Liu, Guang; Guo, Huadong</t>
  </si>
  <si>
    <t>Analysis for Observation Angle of the Earth Two-Polar Regions from Moon-Based Platform</t>
  </si>
  <si>
    <t>SENSORS, SYSTEMS, AND NEXTGENERATION SATELLITES XXIII</t>
  </si>
  <si>
    <t>Conference on Sensors, Systems, and Next- Generation Satellites XXIII</t>
  </si>
  <si>
    <t>SEP 09-12, 2019</t>
  </si>
  <si>
    <t>Strasbourg, FRANCE</t>
  </si>
  <si>
    <t>Observation angle; the moon-based platform; nadir point; North Pole; South Pole; Earth two-polar regions</t>
  </si>
  <si>
    <t>The Arctic region and the Antarctic region, as the two-polar regions of the earth, are sensitive to the global change to be the research focus. However, the existing earth observing system satellite data in the two-polar regions of the earth is not enough. The Moon is the unique natural satellite of the earth, which has advantages of global-scale coverage and long observation time. Therefore, the moon-based platform turns out to be a potential platform to comprehensively and continuously observe the Earth on a global scale, especially for the contrastive study of the Earth two-polar regions. Moreover, comparing to the limited life of the current satellites, the longevity of the moon is helpful to collect long-term time series data, which makes it possible to research long-term earth science phenomena in the two-polar regions. This paper comparatively analyzes the angular coverage performance of the two-polar regions of the earth observed from the moon-based platform. The observation angles of long-period 40 years through the geometry model of the moon-based platform from different sensor locations on the moon are calculated. The sensors are set on four potential sites on the moon--- the North Pole, the South Pole, the Sinus Iridum area and the Mare Nectaris area. When the two-polar regions of the earth are observed from four different locations on the moon, the different observation angular characteristics are obtained. This is helpful for the site selection of the moon-based platform.</t>
  </si>
  <si>
    <t>[Guo, Qing; Wang, Hairong; Ye, Hanlin; Li, An; Liu, Guang; Guo, Huadong] Chinese Acad Sci, Aerosp Informat Res Inst, Beijing 100094, Peoples R China</t>
  </si>
  <si>
    <t>Chinese Academy of Sciences; Aerospace Information Research Institute, CAS</t>
  </si>
  <si>
    <t>Guo, Q (corresponding author), Chinese Acad Sci, Aerosp Informat Res Inst, Beijing 100094, Peoples R China.</t>
  </si>
  <si>
    <t>guoqing@aircas.ac.cn</t>
  </si>
  <si>
    <t>Wang, Hairong/HGF-1825-2022</t>
  </si>
  <si>
    <t>National Natural Science Foundation of China [41590853, 61771470]; Key Research Program of Frontier Sciences, Chinese Academy of Sciences [QYZDY-SSWDQC026]</t>
  </si>
  <si>
    <t>National Natural Science Foundation of China(National Natural Science Foundation of China (NSFC)); Key Research Program of Frontier Sciences, Chinese Academy of Sciences</t>
  </si>
  <si>
    <t>This work was supported in part by the National Natural Science Foundation of China under Grants 41590853 and 61771470, in part by the Key Research Program of Frontier Sciences, Chinese Academy of Sciences under Grant QYZDY-SSWDQC026.</t>
  </si>
  <si>
    <t>978-1-5106-3006-2</t>
  </si>
  <si>
    <t>UNSP 111512H</t>
  </si>
  <si>
    <t>10.1117/12.2536376</t>
  </si>
  <si>
    <t>BO3OE</t>
  </si>
  <si>
    <t>WOS:000511160400058</t>
  </si>
  <si>
    <t>Viallefont-Robinet, F</t>
  </si>
  <si>
    <t>Viallefont-Robinet, F.</t>
  </si>
  <si>
    <t>An attempt to perform inter-band calibration validation for Sentinel 2 using snowy sites such as Dome C in Antarctica</t>
  </si>
  <si>
    <t>Inter-band; Calibration; Validation; remote sensing; Sentinel 2; Antarctica</t>
  </si>
  <si>
    <t>ABSOLUTE RADIOMETRIC CALIBRATION; RADIANCE</t>
  </si>
  <si>
    <t>In the frame of the monitoring of Sentinel 2 MSI sensors in orbit, a method for inter-band calibration validation, using Antarctic site, has been developed and tested. The method relies on the directional hemispheric reflectance found in ASTER data base. In order to consider that the spectral shape of the directional directional reflectance is the same as the directional hemispheric one, wavelengths have to be limited to the spectral range below 0.9 mu m. Thus this method cannot perform the inter-band calibration for the whole set of spectral bands of MSI but only from B1 to B8A. Results for B9 seem also correct although the central wavelength is a little bit beyond 0.9 mu m. Given a clear day acquisition on DomeC site, a first set of computations of Top Of Atmosphere (TOA) reflectances for MSI spectral bands is performed using the three ASTER reflectances corresponding respectively to small, medium and coarse grain size for snow. The spectral reflectances are normalized by the B2 value. The comparison of the three normalized TOA reflectances to the actual one given by MSI enables to select the right snow grain size. Then the second step is the atmospheric parameters adjustment. Water content is assessed thanks to B9 band centered at 0.945 mu m and ozone is assessed thanks to mainly B3 band centered at 0.56 mu m. For a clear day, the aerosol optical thickness is weak and thus the TOA reflectance is not very sensitive to the more or less low abundance of continental aerosols. The ratio of normalized reflectance given by MSI to the normalized reflectance given by the computation is assessed for each spectral band between B1 and B9 and is compared to the inter-band calibration validations performed with other methods.</t>
  </si>
  <si>
    <t>[Viallefont-Robinet, F.] Univ Toulouse, ONERA, F-31055 Toulouse, France</t>
  </si>
  <si>
    <t>National Office for Aerospace Studies &amp; Research (ONERA); Universite de Toulouse</t>
  </si>
  <si>
    <t>Viallefont-Robinet, F (corresponding author), Univ Toulouse, ONERA, F-31055 Toulouse, France.</t>
  </si>
  <si>
    <t>francoise.viallefont@onera.fr</t>
  </si>
  <si>
    <t>UNSP 111511S</t>
  </si>
  <si>
    <t>10.1117/12.2532851</t>
  </si>
  <si>
    <t>WOS:000511160400040</t>
  </si>
  <si>
    <t>Konopelnuk, VI; Kompanets, IV; Svyatetska, VM; Molozhavaya, OS; Ostapchenko, LI</t>
  </si>
  <si>
    <t>Konopelnuk, V., I; Kompanets, I., V; Svyatetska, V. M.; Molozhavaya, O. S.; Ostapchenko, L., I</t>
  </si>
  <si>
    <t>Functional polarization of macrophages of rats with progesterone-induced obesity treated with melanin from the Antarctic yeast Nadsoniella nigra</t>
  </si>
  <si>
    <t>REGULATORY MECHANISMS IN BIOSYSTEMS</t>
  </si>
  <si>
    <t>progesterone; obesity; melanin; peritoneal macrophages; M1 and M2 polarization</t>
  </si>
  <si>
    <t>ADIPOSE-TISSUE INFLAMMATION; TUMOR-NECROSIS-FACTOR; DIET-INDUCED OBESITY; OXIDATIVE STRESS; INSULIN-RESISTANCE; DEPOT MEDROXYPROGESTERONE; RESIDENT MACROPHAGES; WEIGHT-GAIN; NEUROSTEROIDS; ACCUMULATION</t>
  </si>
  <si>
    <t>Progesterone-induced obesity develops in women who use this drug for contraception and the menopause treatment, though its mechanisms remain poorly understood. We studied functional M1 and M2 polarizations of the abdominal cavity macrophages of rats with progesterone induced obesity during 28 days of administration. The effect of melanin from the Antarctic yeast Nadsoniella nigra (Chaetothyriales, Herpotrichiellaceae, Nadsoniella Issatsch, 1914) was investigated. The NO level was determined by the accumulation of nitrites, ROS level was estimated by the NBT-test, arginase activity was assayed by the reaction of L-arginine hydrolysis. The body weights of rats administrated progesterone increased by 27% and continued to increase one month after withdrawal of progesterone (55% higher than control). Melanin prevents the weight gain when administered during one month after progesterone withdrawal. The NO production by peritoneal macrophages of obese animals intensified by 31% indicating their polarization towards pro-inflammatory M1 type. Production of ROS did not change. A 14% increase in arginase activity was observed, indicating the inhibition of M2 (anti-inflammatory) polarization. In the progesterone withdrawal group all these rates significantly decreased, indicating a reduction in the functional activity of peritoneal macrophages'. Melanin decreased the NO and ROS production by 60% and 18% respectively in comparison with the progesterone group and unexpectedly reduced arginase activity. Our data provide evidence of the spread of inflammation in response to progesterone-induced obesity. Peritoneal macrophages are involved in the inflammation in obesity, undergoing polarization towards the pro-inflammatory phenotype. The long-term consequences of such inflammation include the continuation of weight gain and likely the development of systemic inflammation associated with the exhaustion of the functional capacity of peritoneal cavity macrophages. Melanin has an anti-obesity effect and exhibits anti-inflammatory properties preventing progesterone-induced weight gain and macrophage M1 polarization. This requires detailed elucidation and can be valuable in designing countermeasures to prevent obesity outcomes.</t>
  </si>
  <si>
    <t>[Konopelnuk, V., I; Kompanets, I., V; Svyatetska, V. M.; Molozhavaya, O. S.; Ostapchenko, L., I] Taras Shevchenko Natl Univ Kyiv, Volodymyrska St 64-13, UA-01601 Kiev, Ukraine</t>
  </si>
  <si>
    <t>Ministry of Education &amp; Science of Ukraine; Taras Shevchenko National University of Kyiv</t>
  </si>
  <si>
    <t>Kompanets, IV (corresponding author), Taras Shevchenko Natl Univ Kyiv, Volodymyrska St 64-13, UA-01601 Kiev, Ukraine.</t>
  </si>
  <si>
    <t>ir_kom@ukr.net</t>
  </si>
  <si>
    <t>Ostapchenko, Liudmyla/ISV-1878-2023; Molozhava, Olga/G-6862-2019; Kompanets, Iryna/I-1776-2018</t>
  </si>
  <si>
    <t>Ostapchenko, Liudmyla/0000-0001-7181-6048; Molozhava, Olga/0000-0003-3177-647X; Kompanets, Iryna/0000-0002-4643-2410; Konopelniuk, Victoria/0000-0002-5945-9719</t>
  </si>
  <si>
    <t>OLES HONCHAR DNIPROPETROVSK NATL UNIV</t>
  </si>
  <si>
    <t>DNIPROPETROVSK</t>
  </si>
  <si>
    <t>PR-KT GAGARINA, 42, DNIPROPETROVSK, 49010, UKRAINE</t>
  </si>
  <si>
    <t>2519-8521</t>
  </si>
  <si>
    <t>2520-2588</t>
  </si>
  <si>
    <t>REGUL MECH BIOSYST</t>
  </si>
  <si>
    <t>Regul. Mech. Biosyst.</t>
  </si>
  <si>
    <t>10.15421/021979</t>
  </si>
  <si>
    <t>KI2DJ</t>
  </si>
  <si>
    <t>WOS:000511156900025</t>
  </si>
  <si>
    <t>Yoo, H; Tanaka, H; Tsukagoshi, A; Lee, W; Karanovic, I</t>
  </si>
  <si>
    <t>Yoo, Hyunsu; Tanaka, Hayato; Tsukagoshi, Akira; Lee, Wonchoel; Karanovic, Ivana</t>
  </si>
  <si>
    <t>Cytheroid ostracods (Crustacea) from South Korea, with description of a new species</t>
  </si>
  <si>
    <t>ZOOSYSTEMA</t>
  </si>
  <si>
    <t>Cytheroidea; Ostracoda; South Korea; East Asia; new species</t>
  </si>
  <si>
    <t>PODOCOPIDA; TAXONOMY; JAPAN</t>
  </si>
  <si>
    <t>Living cytheroid ostracod fauna from South Korea is very poorly known, and so far only 12 species have been reported in the taxonomic literature with detail description. We describe one new species, Xestoleberis hujeongensis n. sp., and report three other cytheroid ostracods: X. setouchiensis Okubo, 1979; X. sagamiensis Okubo, 1976; and Hemicytherura kajiyarnai Hanai, 1957 from the east coast of Korea. The new species is most closely related to Xestoleberis hanaii Ishizaki, 1968, a widely distributed and ecologically versatile species. The two species have a very similar carapace shape and soft body parts morphology. Nevertheless, the new species has a distinctively different carapace ornament (presence of wart-like structures on the male carapace), as well as hemipenis morphology. The other three species were known so far only from Japan, and the South Korean populations differ from the Japanese ones only by carapace size, while the carapace shape and all soft body parts are very similar to their original descriptions. This is also the first record of a living representative of the genus Hemicytherura Elofson, 1941 from Korea.</t>
  </si>
  <si>
    <t>[Yoo, Hyunsu; Lee, Wonchoel; Karanovic, Ivana] Hanyang Univ, Coll Nat Sci, Dept Life Sci, Seoul 04763, South Korea; [Tanaka, Hayato] Tokyo Sea Life Pk, Edogawa Ku, 6-2-3 Rinkai Cho, Tokyo 1348587, Japan; [Tsukagoshi, Akira] Shizuoka Univ, Fac Sci, Dept Geosci, Suruga Ku, Ohya 836, Shizuoka 4228529, Japan; [Karanovic, Ivana] Univ Tasmania, Inst Marine &amp; Antarctic Studies, Private Bag 49, Hobart, Tas 7001, Australia</t>
  </si>
  <si>
    <t>Hanyang University; Shizuoka University; University of Tasmania</t>
  </si>
  <si>
    <t>Karanovic, I (corresponding author), Hanyang Univ, Coll Nat Sci, Dept Life Sci, Seoul 04763, South Korea.;Karanovic, I (corresponding author), Univ Tasmania, Inst Marine &amp; Antarctic Studies, Private Bag 49, Hobart, Tas 7001, Australia.</t>
  </si>
  <si>
    <t>ivana@hanyang.ac.kr</t>
  </si>
  <si>
    <t>YOO, HYUNSU/ADI-9139-2022</t>
  </si>
  <si>
    <t>National Institute of Biological Resources (NIBR) - Ministry of Environment (MOE) of the Republic of Korea [NIBR201839201]; National Research Foundation of Korea (NRF) grant [2016R1D1A1B01009806]</t>
  </si>
  <si>
    <t>National Institute of Biological Resources (NIBR) - Ministry of Environment (MOE) of the Republic of Korea; National Research Foundation of Korea (NRF) grant</t>
  </si>
  <si>
    <t>We thank reviewer Dr Hirokazu Ozawa and Dr Simone Nunes Brandao for their useful comments and advices. This work was supported by a grant from the National Institute of Biological Resources (NIBR), funded by the Ministry of Environment (MOE) of the Republic of Korea (NIBR201839201). This study was also supported by a National Research Foundation of Korea (NRF) grant (2016R1D1A1B01009806). Authors also thank Jeongho Kim (Hanyang University) for his help furing sampling.</t>
  </si>
  <si>
    <t>PUBLICATIONS SCIENTIFIQUES DU MUSEUM, PARIS</t>
  </si>
  <si>
    <t>PARIS CEDEX 05</t>
  </si>
  <si>
    <t>CP 39-57, RUE CUVIER, F-75231 PARIS CEDEX 05, FRANCE</t>
  </si>
  <si>
    <t>1280-9551</t>
  </si>
  <si>
    <t>1638-9387</t>
  </si>
  <si>
    <t>Zoosystema</t>
  </si>
  <si>
    <t>10.5252/zoosystema2019v41a22</t>
  </si>
  <si>
    <t>KH1QX</t>
  </si>
  <si>
    <t>WOS:000510422300014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</si>
</sst>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91</v>
      </c>
      <c r="AH2">
        <v>127</v>
      </c>
      <c r="AI2">
        <v>133</v>
      </c>
      <c r="AJ2">
        <v>5</v>
      </c>
      <c r="AK2">
        <v>42</v>
      </c>
      <c r="AL2" t="s">
        <v>92</v>
      </c>
      <c r="AM2" t="s">
        <v>93</v>
      </c>
      <c r="AN2" t="s">
        <v>94</v>
      </c>
      <c r="AO2" t="s">
        <v>95</v>
      </c>
      <c r="AP2" t="s">
        <v>96</v>
      </c>
      <c r="AQ2" t="s">
        <v>74</v>
      </c>
      <c r="AR2" t="s">
        <v>97</v>
      </c>
      <c r="AS2" t="s">
        <v>98</v>
      </c>
      <c r="AT2" t="s">
        <v>99</v>
      </c>
      <c r="AU2">
        <v>2019</v>
      </c>
      <c r="AV2">
        <v>76</v>
      </c>
      <c r="AW2">
        <v>3</v>
      </c>
      <c r="AX2" t="s">
        <v>74</v>
      </c>
      <c r="AY2" t="s">
        <v>74</v>
      </c>
      <c r="AZ2" t="s">
        <v>74</v>
      </c>
      <c r="BA2" t="s">
        <v>74</v>
      </c>
      <c r="BB2">
        <v>718</v>
      </c>
      <c r="BC2">
        <v>733</v>
      </c>
      <c r="BD2" t="s">
        <v>74</v>
      </c>
      <c r="BE2" t="s">
        <v>100</v>
      </c>
      <c r="BF2" t="str">
        <f>HYPERLINK("http://dx.doi.org/10.1093/icesjms/fsy037","http://dx.doi.org/10.1093/icesjms/fsy037")</f>
        <v>http://dx.doi.org/10.1093/icesjms/fsy037</v>
      </c>
      <c r="BG2" t="s">
        <v>74</v>
      </c>
      <c r="BH2" t="s">
        <v>74</v>
      </c>
      <c r="BI2">
        <v>16</v>
      </c>
      <c r="BJ2" t="s">
        <v>101</v>
      </c>
      <c r="BK2" t="s">
        <v>102</v>
      </c>
      <c r="BL2" t="s">
        <v>101</v>
      </c>
      <c r="BM2" t="s">
        <v>103</v>
      </c>
      <c r="BN2" t="s">
        <v>74</v>
      </c>
      <c r="BO2" t="s">
        <v>104</v>
      </c>
      <c r="BP2" t="s">
        <v>105</v>
      </c>
      <c r="BQ2" t="s">
        <v>106</v>
      </c>
      <c r="BR2" t="s">
        <v>107</v>
      </c>
      <c r="BS2" t="s">
        <v>108</v>
      </c>
      <c r="BT2" t="str">
        <f>HYPERLINK("https%3A%2F%2Fwww.webofscience.com%2Fwos%2Fwoscc%2Ffull-record%2FWOS:000484403400010","View Full Record in Web of Science")</f>
        <v>View Full Record in Web of Science</v>
      </c>
    </row>
    <row r="3" spans="1:72" x14ac:dyDescent="0.15">
      <c r="A3" t="s">
        <v>72</v>
      </c>
      <c r="B3" t="s">
        <v>109</v>
      </c>
      <c r="C3" t="s">
        <v>74</v>
      </c>
      <c r="D3" t="s">
        <v>74</v>
      </c>
      <c r="E3" t="s">
        <v>74</v>
      </c>
      <c r="F3" t="s">
        <v>110</v>
      </c>
      <c r="G3" t="s">
        <v>74</v>
      </c>
      <c r="H3" t="s">
        <v>74</v>
      </c>
      <c r="I3" t="s">
        <v>111</v>
      </c>
      <c r="J3" t="s">
        <v>112</v>
      </c>
      <c r="K3" t="s">
        <v>74</v>
      </c>
      <c r="L3" t="s">
        <v>74</v>
      </c>
      <c r="M3" t="s">
        <v>78</v>
      </c>
      <c r="N3" t="s">
        <v>79</v>
      </c>
      <c r="O3" t="s">
        <v>74</v>
      </c>
      <c r="P3" t="s">
        <v>74</v>
      </c>
      <c r="Q3" t="s">
        <v>74</v>
      </c>
      <c r="R3" t="s">
        <v>74</v>
      </c>
      <c r="S3" t="s">
        <v>74</v>
      </c>
      <c r="T3" t="s">
        <v>113</v>
      </c>
      <c r="U3" t="s">
        <v>114</v>
      </c>
      <c r="V3" t="s">
        <v>115</v>
      </c>
      <c r="W3" t="s">
        <v>116</v>
      </c>
      <c r="X3" t="s">
        <v>117</v>
      </c>
      <c r="Y3" t="s">
        <v>118</v>
      </c>
      <c r="Z3" t="s">
        <v>119</v>
      </c>
      <c r="AA3" t="s">
        <v>120</v>
      </c>
      <c r="AB3" t="s">
        <v>121</v>
      </c>
      <c r="AC3" t="s">
        <v>122</v>
      </c>
      <c r="AD3" t="s">
        <v>123</v>
      </c>
      <c r="AE3" t="s">
        <v>124</v>
      </c>
      <c r="AF3" t="s">
        <v>74</v>
      </c>
      <c r="AG3">
        <v>93</v>
      </c>
      <c r="AH3">
        <v>60</v>
      </c>
      <c r="AI3">
        <v>65</v>
      </c>
      <c r="AJ3">
        <v>2</v>
      </c>
      <c r="AK3">
        <v>8</v>
      </c>
      <c r="AL3" t="s">
        <v>125</v>
      </c>
      <c r="AM3" t="s">
        <v>126</v>
      </c>
      <c r="AN3" t="s">
        <v>127</v>
      </c>
      <c r="AO3" t="s">
        <v>74</v>
      </c>
      <c r="AP3" t="s">
        <v>128</v>
      </c>
      <c r="AQ3" t="s">
        <v>74</v>
      </c>
      <c r="AR3" t="s">
        <v>129</v>
      </c>
      <c r="AS3" t="s">
        <v>130</v>
      </c>
      <c r="AT3" t="s">
        <v>131</v>
      </c>
      <c r="AU3">
        <v>2019</v>
      </c>
      <c r="AV3">
        <v>11</v>
      </c>
      <c r="AW3">
        <v>5</v>
      </c>
      <c r="AX3" t="s">
        <v>74</v>
      </c>
      <c r="AY3" t="s">
        <v>74</v>
      </c>
      <c r="AZ3" t="s">
        <v>74</v>
      </c>
      <c r="BA3" t="s">
        <v>74</v>
      </c>
      <c r="BB3">
        <v>1438</v>
      </c>
      <c r="BC3">
        <v>1458</v>
      </c>
      <c r="BD3" t="s">
        <v>74</v>
      </c>
      <c r="BE3" t="s">
        <v>132</v>
      </c>
      <c r="BF3" t="str">
        <f>HYPERLINK("http://dx.doi.org/10.1029/2018MS001373","http://dx.doi.org/10.1029/2018MS001373")</f>
        <v>http://dx.doi.org/10.1029/2018MS001373</v>
      </c>
      <c r="BG3" t="s">
        <v>74</v>
      </c>
      <c r="BH3" t="s">
        <v>74</v>
      </c>
      <c r="BI3">
        <v>21</v>
      </c>
      <c r="BJ3" t="s">
        <v>133</v>
      </c>
      <c r="BK3" t="s">
        <v>102</v>
      </c>
      <c r="BL3" t="s">
        <v>133</v>
      </c>
      <c r="BM3" t="s">
        <v>134</v>
      </c>
      <c r="BN3" t="s">
        <v>74</v>
      </c>
      <c r="BO3" t="s">
        <v>135</v>
      </c>
      <c r="BP3" t="s">
        <v>74</v>
      </c>
      <c r="BQ3" t="s">
        <v>74</v>
      </c>
      <c r="BR3" t="s">
        <v>107</v>
      </c>
      <c r="BS3" t="s">
        <v>136</v>
      </c>
      <c r="BT3" t="str">
        <f>HYPERLINK("https%3A%2F%2Fwww.webofscience.com%2Fwos%2Fwoscc%2Ffull-record%2FWOS:000477717700015","View Full Record in Web of Science")</f>
        <v>View Full Record in Web of Science</v>
      </c>
    </row>
    <row r="4" spans="1:72" x14ac:dyDescent="0.15">
      <c r="A4" t="s">
        <v>72</v>
      </c>
      <c r="B4" t="s">
        <v>137</v>
      </c>
      <c r="C4" t="s">
        <v>74</v>
      </c>
      <c r="D4" t="s">
        <v>74</v>
      </c>
      <c r="E4" t="s">
        <v>74</v>
      </c>
      <c r="F4" t="s">
        <v>138</v>
      </c>
      <c r="G4" t="s">
        <v>74</v>
      </c>
      <c r="H4" t="s">
        <v>74</v>
      </c>
      <c r="I4" t="s">
        <v>139</v>
      </c>
      <c r="J4" t="s">
        <v>140</v>
      </c>
      <c r="K4" t="s">
        <v>74</v>
      </c>
      <c r="L4" t="s">
        <v>74</v>
      </c>
      <c r="M4" t="s">
        <v>78</v>
      </c>
      <c r="N4" t="s">
        <v>79</v>
      </c>
      <c r="O4" t="s">
        <v>74</v>
      </c>
      <c r="P4" t="s">
        <v>74</v>
      </c>
      <c r="Q4" t="s">
        <v>74</v>
      </c>
      <c r="R4" t="s">
        <v>74</v>
      </c>
      <c r="S4" t="s">
        <v>74</v>
      </c>
      <c r="T4" t="s">
        <v>141</v>
      </c>
      <c r="U4" t="s">
        <v>142</v>
      </c>
      <c r="V4" t="s">
        <v>143</v>
      </c>
      <c r="W4" t="s">
        <v>144</v>
      </c>
      <c r="X4" t="s">
        <v>145</v>
      </c>
      <c r="Y4" t="s">
        <v>146</v>
      </c>
      <c r="Z4" t="s">
        <v>147</v>
      </c>
      <c r="AA4" t="s">
        <v>148</v>
      </c>
      <c r="AB4" t="s">
        <v>149</v>
      </c>
      <c r="AC4" t="s">
        <v>150</v>
      </c>
      <c r="AD4" t="s">
        <v>151</v>
      </c>
      <c r="AE4" t="s">
        <v>152</v>
      </c>
      <c r="AF4" t="s">
        <v>74</v>
      </c>
      <c r="AG4">
        <v>46</v>
      </c>
      <c r="AH4">
        <v>4</v>
      </c>
      <c r="AI4">
        <v>5</v>
      </c>
      <c r="AJ4">
        <v>0</v>
      </c>
      <c r="AK4">
        <v>20</v>
      </c>
      <c r="AL4" t="s">
        <v>153</v>
      </c>
      <c r="AM4" t="s">
        <v>154</v>
      </c>
      <c r="AN4" t="s">
        <v>155</v>
      </c>
      <c r="AO4" t="s">
        <v>156</v>
      </c>
      <c r="AP4" t="s">
        <v>157</v>
      </c>
      <c r="AQ4" t="s">
        <v>74</v>
      </c>
      <c r="AR4" t="s">
        <v>158</v>
      </c>
      <c r="AS4" t="s">
        <v>159</v>
      </c>
      <c r="AT4" t="s">
        <v>131</v>
      </c>
      <c r="AU4">
        <v>2019</v>
      </c>
      <c r="AV4">
        <v>126</v>
      </c>
      <c r="AW4">
        <v>5</v>
      </c>
      <c r="AX4" t="s">
        <v>74</v>
      </c>
      <c r="AY4" t="s">
        <v>74</v>
      </c>
      <c r="AZ4" t="s">
        <v>74</v>
      </c>
      <c r="BA4" t="s">
        <v>74</v>
      </c>
      <c r="BB4">
        <v>1402</v>
      </c>
      <c r="BC4">
        <v>1413</v>
      </c>
      <c r="BD4" t="s">
        <v>74</v>
      </c>
      <c r="BE4" t="s">
        <v>160</v>
      </c>
      <c r="BF4" t="str">
        <f>HYPERLINK("http://dx.doi.org/10.1111/jam.14206","http://dx.doi.org/10.1111/jam.14206")</f>
        <v>http://dx.doi.org/10.1111/jam.14206</v>
      </c>
      <c r="BG4" t="s">
        <v>74</v>
      </c>
      <c r="BH4" t="s">
        <v>74</v>
      </c>
      <c r="BI4">
        <v>12</v>
      </c>
      <c r="BJ4" t="s">
        <v>161</v>
      </c>
      <c r="BK4" t="s">
        <v>102</v>
      </c>
      <c r="BL4" t="s">
        <v>161</v>
      </c>
      <c r="BM4" t="s">
        <v>162</v>
      </c>
      <c r="BN4">
        <v>30659746</v>
      </c>
      <c r="BO4" t="s">
        <v>74</v>
      </c>
      <c r="BP4" t="s">
        <v>74</v>
      </c>
      <c r="BQ4" t="s">
        <v>74</v>
      </c>
      <c r="BR4" t="s">
        <v>107</v>
      </c>
      <c r="BS4" t="s">
        <v>163</v>
      </c>
      <c r="BT4" t="str">
        <f>HYPERLINK("https%3A%2F%2Fwww.webofscience.com%2Fwos%2Fwoscc%2Ffull-record%2FWOS:000464519900010","View Full Record in Web of Science")</f>
        <v>View Full Record in Web of Science</v>
      </c>
    </row>
    <row r="5" spans="1:72" x14ac:dyDescent="0.15">
      <c r="A5" t="s">
        <v>72</v>
      </c>
      <c r="B5" t="s">
        <v>164</v>
      </c>
      <c r="C5" t="s">
        <v>74</v>
      </c>
      <c r="D5" t="s">
        <v>74</v>
      </c>
      <c r="E5" t="s">
        <v>74</v>
      </c>
      <c r="F5" t="s">
        <v>165</v>
      </c>
      <c r="G5" t="s">
        <v>74</v>
      </c>
      <c r="H5" t="s">
        <v>74</v>
      </c>
      <c r="I5" t="s">
        <v>166</v>
      </c>
      <c r="J5" t="s">
        <v>167</v>
      </c>
      <c r="K5" t="s">
        <v>74</v>
      </c>
      <c r="L5" t="s">
        <v>74</v>
      </c>
      <c r="M5" t="s">
        <v>78</v>
      </c>
      <c r="N5" t="s">
        <v>168</v>
      </c>
      <c r="O5" t="s">
        <v>74</v>
      </c>
      <c r="P5" t="s">
        <v>74</v>
      </c>
      <c r="Q5" t="s">
        <v>74</v>
      </c>
      <c r="R5" t="s">
        <v>74</v>
      </c>
      <c r="S5" t="s">
        <v>74</v>
      </c>
      <c r="T5" t="s">
        <v>169</v>
      </c>
      <c r="U5" t="s">
        <v>74</v>
      </c>
      <c r="V5" t="s">
        <v>170</v>
      </c>
      <c r="W5" t="s">
        <v>171</v>
      </c>
      <c r="X5" t="s">
        <v>172</v>
      </c>
      <c r="Y5" t="s">
        <v>173</v>
      </c>
      <c r="Z5" t="s">
        <v>174</v>
      </c>
      <c r="AA5" t="s">
        <v>175</v>
      </c>
      <c r="AB5" t="s">
        <v>74</v>
      </c>
      <c r="AC5" t="s">
        <v>176</v>
      </c>
      <c r="AD5" t="s">
        <v>177</v>
      </c>
      <c r="AE5" t="s">
        <v>178</v>
      </c>
      <c r="AF5" t="s">
        <v>74</v>
      </c>
      <c r="AG5">
        <v>0</v>
      </c>
      <c r="AH5">
        <v>26</v>
      </c>
      <c r="AI5">
        <v>28</v>
      </c>
      <c r="AJ5">
        <v>0</v>
      </c>
      <c r="AK5">
        <v>13</v>
      </c>
      <c r="AL5" t="s">
        <v>92</v>
      </c>
      <c r="AM5" t="s">
        <v>93</v>
      </c>
      <c r="AN5" t="s">
        <v>94</v>
      </c>
      <c r="AO5" t="s">
        <v>179</v>
      </c>
      <c r="AP5" t="s">
        <v>180</v>
      </c>
      <c r="AQ5" t="s">
        <v>74</v>
      </c>
      <c r="AR5" t="s">
        <v>181</v>
      </c>
      <c r="AS5" t="s">
        <v>182</v>
      </c>
      <c r="AT5" t="s">
        <v>131</v>
      </c>
      <c r="AU5">
        <v>2019</v>
      </c>
      <c r="AV5">
        <v>39</v>
      </c>
      <c r="AW5">
        <v>3</v>
      </c>
      <c r="AX5" t="s">
        <v>74</v>
      </c>
      <c r="AY5" t="s">
        <v>74</v>
      </c>
      <c r="AZ5" t="s">
        <v>74</v>
      </c>
      <c r="BA5" t="s">
        <v>74</v>
      </c>
      <c r="BB5">
        <v>316</v>
      </c>
      <c r="BC5">
        <v>322</v>
      </c>
      <c r="BD5" t="s">
        <v>74</v>
      </c>
      <c r="BE5" t="s">
        <v>183</v>
      </c>
      <c r="BF5" t="str">
        <f>HYPERLINK("http://dx.doi.org/10.1093/jcbiol/ruz004","http://dx.doi.org/10.1093/jcbiol/ruz004")</f>
        <v>http://dx.doi.org/10.1093/jcbiol/ruz004</v>
      </c>
      <c r="BG5" t="s">
        <v>74</v>
      </c>
      <c r="BH5" t="s">
        <v>74</v>
      </c>
      <c r="BI5">
        <v>7</v>
      </c>
      <c r="BJ5" t="s">
        <v>184</v>
      </c>
      <c r="BK5" t="s">
        <v>102</v>
      </c>
      <c r="BL5" t="s">
        <v>184</v>
      </c>
      <c r="BM5" t="s">
        <v>185</v>
      </c>
      <c r="BN5" t="s">
        <v>74</v>
      </c>
      <c r="BO5" t="s">
        <v>186</v>
      </c>
      <c r="BP5" t="s">
        <v>74</v>
      </c>
      <c r="BQ5" t="s">
        <v>74</v>
      </c>
      <c r="BR5" t="s">
        <v>107</v>
      </c>
      <c r="BS5" t="s">
        <v>187</v>
      </c>
      <c r="BT5" t="str">
        <f>HYPERLINK("https%3A%2F%2Fwww.webofscience.com%2Fwos%2Fwoscc%2Ffull-record%2FWOS:000469782300014","View Full Record in Web of Science")</f>
        <v>View Full Record in Web of Science</v>
      </c>
    </row>
    <row r="6" spans="1:72" x14ac:dyDescent="0.15">
      <c r="A6" t="s">
        <v>72</v>
      </c>
      <c r="B6" t="s">
        <v>188</v>
      </c>
      <c r="C6" t="s">
        <v>74</v>
      </c>
      <c r="D6" t="s">
        <v>74</v>
      </c>
      <c r="E6" t="s">
        <v>74</v>
      </c>
      <c r="F6" t="s">
        <v>189</v>
      </c>
      <c r="G6" t="s">
        <v>74</v>
      </c>
      <c r="H6" t="s">
        <v>74</v>
      </c>
      <c r="I6" t="s">
        <v>190</v>
      </c>
      <c r="J6" t="s">
        <v>167</v>
      </c>
      <c r="K6" t="s">
        <v>74</v>
      </c>
      <c r="L6" t="s">
        <v>74</v>
      </c>
      <c r="M6" t="s">
        <v>78</v>
      </c>
      <c r="N6" t="s">
        <v>168</v>
      </c>
      <c r="O6" t="s">
        <v>74</v>
      </c>
      <c r="P6" t="s">
        <v>74</v>
      </c>
      <c r="Q6" t="s">
        <v>74</v>
      </c>
      <c r="R6" t="s">
        <v>74</v>
      </c>
      <c r="S6" t="s">
        <v>74</v>
      </c>
      <c r="T6" t="s">
        <v>191</v>
      </c>
      <c r="U6" t="s">
        <v>74</v>
      </c>
      <c r="V6" t="s">
        <v>192</v>
      </c>
      <c r="W6" t="s">
        <v>193</v>
      </c>
      <c r="X6" t="s">
        <v>194</v>
      </c>
      <c r="Y6" t="s">
        <v>195</v>
      </c>
      <c r="Z6" t="s">
        <v>196</v>
      </c>
      <c r="AA6" t="s">
        <v>74</v>
      </c>
      <c r="AB6" t="s">
        <v>74</v>
      </c>
      <c r="AC6" t="s">
        <v>74</v>
      </c>
      <c r="AD6" t="s">
        <v>74</v>
      </c>
      <c r="AE6" t="s">
        <v>74</v>
      </c>
      <c r="AF6" t="s">
        <v>74</v>
      </c>
      <c r="AG6">
        <v>0</v>
      </c>
      <c r="AH6">
        <v>9</v>
      </c>
      <c r="AI6">
        <v>9</v>
      </c>
      <c r="AJ6">
        <v>1</v>
      </c>
      <c r="AK6">
        <v>8</v>
      </c>
      <c r="AL6" t="s">
        <v>92</v>
      </c>
      <c r="AM6" t="s">
        <v>93</v>
      </c>
      <c r="AN6" t="s">
        <v>94</v>
      </c>
      <c r="AO6" t="s">
        <v>179</v>
      </c>
      <c r="AP6" t="s">
        <v>180</v>
      </c>
      <c r="AQ6" t="s">
        <v>74</v>
      </c>
      <c r="AR6" t="s">
        <v>181</v>
      </c>
      <c r="AS6" t="s">
        <v>182</v>
      </c>
      <c r="AT6" t="s">
        <v>131</v>
      </c>
      <c r="AU6">
        <v>2019</v>
      </c>
      <c r="AV6">
        <v>39</v>
      </c>
      <c r="AW6">
        <v>3</v>
      </c>
      <c r="AX6" t="s">
        <v>74</v>
      </c>
      <c r="AY6" t="s">
        <v>74</v>
      </c>
      <c r="AZ6" t="s">
        <v>74</v>
      </c>
      <c r="BA6" t="s">
        <v>74</v>
      </c>
      <c r="BB6">
        <v>323</v>
      </c>
      <c r="BC6">
        <v>327</v>
      </c>
      <c r="BD6" t="s">
        <v>74</v>
      </c>
      <c r="BE6" t="s">
        <v>197</v>
      </c>
      <c r="BF6" t="str">
        <f>HYPERLINK("http://dx.doi.org/10.1093/jcbiol/ruz010","http://dx.doi.org/10.1093/jcbiol/ruz010")</f>
        <v>http://dx.doi.org/10.1093/jcbiol/ruz010</v>
      </c>
      <c r="BG6" t="s">
        <v>74</v>
      </c>
      <c r="BH6" t="s">
        <v>74</v>
      </c>
      <c r="BI6">
        <v>5</v>
      </c>
      <c r="BJ6" t="s">
        <v>184</v>
      </c>
      <c r="BK6" t="s">
        <v>102</v>
      </c>
      <c r="BL6" t="s">
        <v>184</v>
      </c>
      <c r="BM6" t="s">
        <v>185</v>
      </c>
      <c r="BN6" t="s">
        <v>74</v>
      </c>
      <c r="BO6" t="s">
        <v>198</v>
      </c>
      <c r="BP6" t="s">
        <v>74</v>
      </c>
      <c r="BQ6" t="s">
        <v>74</v>
      </c>
      <c r="BR6" t="s">
        <v>107</v>
      </c>
      <c r="BS6" t="s">
        <v>199</v>
      </c>
      <c r="BT6" t="str">
        <f>HYPERLINK("https%3A%2F%2Fwww.webofscience.com%2Fwos%2Fwoscc%2Ffull-record%2FWOS:000469782300015","View Full Record in Web of Science")</f>
        <v>View Full Record in Web of Science</v>
      </c>
    </row>
    <row r="7" spans="1:72" x14ac:dyDescent="0.15">
      <c r="A7" t="s">
        <v>72</v>
      </c>
      <c r="B7" t="s">
        <v>200</v>
      </c>
      <c r="C7" t="s">
        <v>74</v>
      </c>
      <c r="D7" t="s">
        <v>74</v>
      </c>
      <c r="E7" t="s">
        <v>74</v>
      </c>
      <c r="F7" t="s">
        <v>201</v>
      </c>
      <c r="G7" t="s">
        <v>74</v>
      </c>
      <c r="H7" t="s">
        <v>74</v>
      </c>
      <c r="I7" t="s">
        <v>202</v>
      </c>
      <c r="J7" t="s">
        <v>203</v>
      </c>
      <c r="K7" t="s">
        <v>74</v>
      </c>
      <c r="L7" t="s">
        <v>74</v>
      </c>
      <c r="M7" t="s">
        <v>78</v>
      </c>
      <c r="N7" t="s">
        <v>79</v>
      </c>
      <c r="O7" t="s">
        <v>74</v>
      </c>
      <c r="P7" t="s">
        <v>74</v>
      </c>
      <c r="Q7" t="s">
        <v>74</v>
      </c>
      <c r="R7" t="s">
        <v>74</v>
      </c>
      <c r="S7" t="s">
        <v>74</v>
      </c>
      <c r="T7" t="s">
        <v>74</v>
      </c>
      <c r="U7" t="s">
        <v>204</v>
      </c>
      <c r="V7" t="s">
        <v>205</v>
      </c>
      <c r="W7" t="s">
        <v>206</v>
      </c>
      <c r="X7" t="s">
        <v>207</v>
      </c>
      <c r="Y7" t="s">
        <v>208</v>
      </c>
      <c r="Z7" t="s">
        <v>209</v>
      </c>
      <c r="AA7" t="s">
        <v>210</v>
      </c>
      <c r="AB7" t="s">
        <v>211</v>
      </c>
      <c r="AC7" t="s">
        <v>212</v>
      </c>
      <c r="AD7" t="s">
        <v>213</v>
      </c>
      <c r="AE7" t="s">
        <v>214</v>
      </c>
      <c r="AF7" t="s">
        <v>74</v>
      </c>
      <c r="AG7">
        <v>62</v>
      </c>
      <c r="AH7">
        <v>25</v>
      </c>
      <c r="AI7">
        <v>27</v>
      </c>
      <c r="AJ7">
        <v>2</v>
      </c>
      <c r="AK7">
        <v>20</v>
      </c>
      <c r="AL7" t="s">
        <v>125</v>
      </c>
      <c r="AM7" t="s">
        <v>126</v>
      </c>
      <c r="AN7" t="s">
        <v>127</v>
      </c>
      <c r="AO7" t="s">
        <v>215</v>
      </c>
      <c r="AP7" t="s">
        <v>216</v>
      </c>
      <c r="AQ7" t="s">
        <v>74</v>
      </c>
      <c r="AR7" t="s">
        <v>217</v>
      </c>
      <c r="AS7" t="s">
        <v>218</v>
      </c>
      <c r="AT7" t="s">
        <v>131</v>
      </c>
      <c r="AU7">
        <v>2019</v>
      </c>
      <c r="AV7">
        <v>124</v>
      </c>
      <c r="AW7">
        <v>5</v>
      </c>
      <c r="AX7" t="s">
        <v>74</v>
      </c>
      <c r="AY7" t="s">
        <v>74</v>
      </c>
      <c r="AZ7" t="s">
        <v>74</v>
      </c>
      <c r="BA7" t="s">
        <v>74</v>
      </c>
      <c r="BB7">
        <v>1056</v>
      </c>
      <c r="BC7">
        <v>1070</v>
      </c>
      <c r="BD7" t="s">
        <v>74</v>
      </c>
      <c r="BE7" t="s">
        <v>219</v>
      </c>
      <c r="BF7" t="str">
        <f>HYPERLINK("http://dx.doi.org/10.1029/2018JG004918","http://dx.doi.org/10.1029/2018JG004918")</f>
        <v>http://dx.doi.org/10.1029/2018JG004918</v>
      </c>
      <c r="BG7" t="s">
        <v>74</v>
      </c>
      <c r="BH7" t="s">
        <v>74</v>
      </c>
      <c r="BI7">
        <v>15</v>
      </c>
      <c r="BJ7" t="s">
        <v>220</v>
      </c>
      <c r="BK7" t="s">
        <v>102</v>
      </c>
      <c r="BL7" t="s">
        <v>221</v>
      </c>
      <c r="BM7" t="s">
        <v>222</v>
      </c>
      <c r="BN7" t="s">
        <v>74</v>
      </c>
      <c r="BO7" t="s">
        <v>223</v>
      </c>
      <c r="BP7" t="s">
        <v>74</v>
      </c>
      <c r="BQ7" t="s">
        <v>74</v>
      </c>
      <c r="BR7" t="s">
        <v>107</v>
      </c>
      <c r="BS7" t="s">
        <v>224</v>
      </c>
      <c r="BT7" t="str">
        <f>HYPERLINK("https%3A%2F%2Fwww.webofscience.com%2Fwos%2Fwoscc%2Ffull-record%2FWOS:000477719600002","View Full Record in Web of Science")</f>
        <v>View Full Record in Web of Science</v>
      </c>
    </row>
    <row r="8" spans="1:72" x14ac:dyDescent="0.15">
      <c r="A8" t="s">
        <v>72</v>
      </c>
      <c r="B8" t="s">
        <v>225</v>
      </c>
      <c r="C8" t="s">
        <v>74</v>
      </c>
      <c r="D8" t="s">
        <v>74</v>
      </c>
      <c r="E8" t="s">
        <v>74</v>
      </c>
      <c r="F8" t="s">
        <v>226</v>
      </c>
      <c r="G8" t="s">
        <v>74</v>
      </c>
      <c r="H8" t="s">
        <v>74</v>
      </c>
      <c r="I8" t="s">
        <v>227</v>
      </c>
      <c r="J8" t="s">
        <v>228</v>
      </c>
      <c r="K8" t="s">
        <v>74</v>
      </c>
      <c r="L8" t="s">
        <v>74</v>
      </c>
      <c r="M8" t="s">
        <v>78</v>
      </c>
      <c r="N8" t="s">
        <v>79</v>
      </c>
      <c r="O8" t="s">
        <v>74</v>
      </c>
      <c r="P8" t="s">
        <v>74</v>
      </c>
      <c r="Q8" t="s">
        <v>74</v>
      </c>
      <c r="R8" t="s">
        <v>74</v>
      </c>
      <c r="S8" t="s">
        <v>74</v>
      </c>
      <c r="T8" t="s">
        <v>229</v>
      </c>
      <c r="U8" t="s">
        <v>230</v>
      </c>
      <c r="V8" t="s">
        <v>231</v>
      </c>
      <c r="W8" t="s">
        <v>232</v>
      </c>
      <c r="X8" t="s">
        <v>233</v>
      </c>
      <c r="Y8" t="s">
        <v>234</v>
      </c>
      <c r="Z8" t="s">
        <v>235</v>
      </c>
      <c r="AA8" t="s">
        <v>236</v>
      </c>
      <c r="AB8" t="s">
        <v>237</v>
      </c>
      <c r="AC8" t="s">
        <v>238</v>
      </c>
      <c r="AD8" t="s">
        <v>238</v>
      </c>
      <c r="AE8" t="s">
        <v>239</v>
      </c>
      <c r="AF8" t="s">
        <v>74</v>
      </c>
      <c r="AG8">
        <v>53</v>
      </c>
      <c r="AH8">
        <v>3</v>
      </c>
      <c r="AI8">
        <v>5</v>
      </c>
      <c r="AJ8">
        <v>1</v>
      </c>
      <c r="AK8">
        <v>15</v>
      </c>
      <c r="AL8" t="s">
        <v>240</v>
      </c>
      <c r="AM8" t="s">
        <v>241</v>
      </c>
      <c r="AN8" t="s">
        <v>242</v>
      </c>
      <c r="AO8" t="s">
        <v>243</v>
      </c>
      <c r="AP8" t="s">
        <v>244</v>
      </c>
      <c r="AQ8" t="s">
        <v>74</v>
      </c>
      <c r="AR8" t="s">
        <v>245</v>
      </c>
      <c r="AS8" t="s">
        <v>246</v>
      </c>
      <c r="AT8" t="s">
        <v>131</v>
      </c>
      <c r="AU8">
        <v>2019</v>
      </c>
      <c r="AV8">
        <v>37</v>
      </c>
      <c r="AW8">
        <v>3</v>
      </c>
      <c r="AX8" t="s">
        <v>74</v>
      </c>
      <c r="AY8" t="s">
        <v>74</v>
      </c>
      <c r="AZ8" t="s">
        <v>247</v>
      </c>
      <c r="BA8" t="s">
        <v>74</v>
      </c>
      <c r="BB8">
        <v>1080</v>
      </c>
      <c r="BC8">
        <v>1089</v>
      </c>
      <c r="BD8" t="s">
        <v>74</v>
      </c>
      <c r="BE8" t="s">
        <v>248</v>
      </c>
      <c r="BF8" t="str">
        <f>HYPERLINK("http://dx.doi.org/10.1007/s00343-019-8002-7","http://dx.doi.org/10.1007/s00343-019-8002-7")</f>
        <v>http://dx.doi.org/10.1007/s00343-019-8002-7</v>
      </c>
      <c r="BG8" t="s">
        <v>74</v>
      </c>
      <c r="BH8" t="s">
        <v>74</v>
      </c>
      <c r="BI8">
        <v>10</v>
      </c>
      <c r="BJ8" t="s">
        <v>249</v>
      </c>
      <c r="BK8" t="s">
        <v>102</v>
      </c>
      <c r="BL8" t="s">
        <v>250</v>
      </c>
      <c r="BM8" t="s">
        <v>251</v>
      </c>
      <c r="BN8" t="s">
        <v>74</v>
      </c>
      <c r="BO8" t="s">
        <v>74</v>
      </c>
      <c r="BP8" t="s">
        <v>74</v>
      </c>
      <c r="BQ8" t="s">
        <v>74</v>
      </c>
      <c r="BR8" t="s">
        <v>107</v>
      </c>
      <c r="BS8" t="s">
        <v>252</v>
      </c>
      <c r="BT8" t="str">
        <f>HYPERLINK("https%3A%2F%2Fwww.webofscience.com%2Fwos%2Fwoscc%2Ffull-record%2FWOS:000469401600031","View Full Record in Web of Science")</f>
        <v>View Full Record in Web of Science</v>
      </c>
    </row>
    <row r="9" spans="1:72" x14ac:dyDescent="0.15">
      <c r="A9" t="s">
        <v>72</v>
      </c>
      <c r="B9" t="s">
        <v>253</v>
      </c>
      <c r="C9" t="s">
        <v>74</v>
      </c>
      <c r="D9" t="s">
        <v>74</v>
      </c>
      <c r="E9" t="s">
        <v>74</v>
      </c>
      <c r="F9" t="s">
        <v>254</v>
      </c>
      <c r="G9" t="s">
        <v>74</v>
      </c>
      <c r="H9" t="s">
        <v>74</v>
      </c>
      <c r="I9" t="s">
        <v>255</v>
      </c>
      <c r="J9" t="s">
        <v>256</v>
      </c>
      <c r="K9" t="s">
        <v>74</v>
      </c>
      <c r="L9" t="s">
        <v>74</v>
      </c>
      <c r="M9" t="s">
        <v>78</v>
      </c>
      <c r="N9" t="s">
        <v>79</v>
      </c>
      <c r="O9" t="s">
        <v>74</v>
      </c>
      <c r="P9" t="s">
        <v>74</v>
      </c>
      <c r="Q9" t="s">
        <v>74</v>
      </c>
      <c r="R9" t="s">
        <v>74</v>
      </c>
      <c r="S9" t="s">
        <v>74</v>
      </c>
      <c r="T9" t="s">
        <v>257</v>
      </c>
      <c r="U9" t="s">
        <v>258</v>
      </c>
      <c r="V9" t="s">
        <v>259</v>
      </c>
      <c r="W9" t="s">
        <v>260</v>
      </c>
      <c r="X9" t="s">
        <v>261</v>
      </c>
      <c r="Y9" t="s">
        <v>262</v>
      </c>
      <c r="Z9" t="s">
        <v>263</v>
      </c>
      <c r="AA9" t="s">
        <v>264</v>
      </c>
      <c r="AB9" t="s">
        <v>265</v>
      </c>
      <c r="AC9" t="s">
        <v>266</v>
      </c>
      <c r="AD9" t="s">
        <v>267</v>
      </c>
      <c r="AE9" t="s">
        <v>268</v>
      </c>
      <c r="AF9" t="s">
        <v>74</v>
      </c>
      <c r="AG9">
        <v>75</v>
      </c>
      <c r="AH9">
        <v>34</v>
      </c>
      <c r="AI9">
        <v>35</v>
      </c>
      <c r="AJ9">
        <v>4</v>
      </c>
      <c r="AK9">
        <v>18</v>
      </c>
      <c r="AL9" t="s">
        <v>269</v>
      </c>
      <c r="AM9" t="s">
        <v>270</v>
      </c>
      <c r="AN9" t="s">
        <v>271</v>
      </c>
      <c r="AO9" t="s">
        <v>272</v>
      </c>
      <c r="AP9" t="s">
        <v>273</v>
      </c>
      <c r="AQ9" t="s">
        <v>74</v>
      </c>
      <c r="AR9" t="s">
        <v>274</v>
      </c>
      <c r="AS9" t="s">
        <v>275</v>
      </c>
      <c r="AT9" t="s">
        <v>131</v>
      </c>
      <c r="AU9">
        <v>2019</v>
      </c>
      <c r="AV9">
        <v>49</v>
      </c>
      <c r="AW9">
        <v>5</v>
      </c>
      <c r="AX9" t="s">
        <v>74</v>
      </c>
      <c r="AY9" t="s">
        <v>74</v>
      </c>
      <c r="AZ9" t="s">
        <v>74</v>
      </c>
      <c r="BA9" t="s">
        <v>74</v>
      </c>
      <c r="BB9">
        <v>1121</v>
      </c>
      <c r="BC9">
        <v>1140</v>
      </c>
      <c r="BD9" t="s">
        <v>74</v>
      </c>
      <c r="BE9" t="s">
        <v>276</v>
      </c>
      <c r="BF9" t="str">
        <f>HYPERLINK("http://dx.doi.org/10.1175/JPO-D-18-0051.1","http://dx.doi.org/10.1175/JPO-D-18-0051.1")</f>
        <v>http://dx.doi.org/10.1175/JPO-D-18-0051.1</v>
      </c>
      <c r="BG9" t="s">
        <v>74</v>
      </c>
      <c r="BH9" t="s">
        <v>74</v>
      </c>
      <c r="BI9">
        <v>20</v>
      </c>
      <c r="BJ9" t="s">
        <v>277</v>
      </c>
      <c r="BK9" t="s">
        <v>102</v>
      </c>
      <c r="BL9" t="s">
        <v>277</v>
      </c>
      <c r="BM9" t="s">
        <v>278</v>
      </c>
      <c r="BN9" t="s">
        <v>74</v>
      </c>
      <c r="BO9" t="s">
        <v>279</v>
      </c>
      <c r="BP9" t="s">
        <v>74</v>
      </c>
      <c r="BQ9" t="s">
        <v>74</v>
      </c>
      <c r="BR9" t="s">
        <v>107</v>
      </c>
      <c r="BS9" t="s">
        <v>280</v>
      </c>
      <c r="BT9" t="str">
        <f>HYPERLINK("https%3A%2F%2Fwww.webofscience.com%2Fwos%2Fwoscc%2Ffull-record%2FWOS:000465137700001","View Full Record in Web of Science")</f>
        <v>View Full Record in Web of Science</v>
      </c>
    </row>
    <row r="10" spans="1:72" x14ac:dyDescent="0.15">
      <c r="A10" t="s">
        <v>72</v>
      </c>
      <c r="B10" t="s">
        <v>281</v>
      </c>
      <c r="C10" t="s">
        <v>74</v>
      </c>
      <c r="D10" t="s">
        <v>74</v>
      </c>
      <c r="E10" t="s">
        <v>74</v>
      </c>
      <c r="F10" t="s">
        <v>282</v>
      </c>
      <c r="G10" t="s">
        <v>74</v>
      </c>
      <c r="H10" t="s">
        <v>74</v>
      </c>
      <c r="I10" t="s">
        <v>283</v>
      </c>
      <c r="J10" t="s">
        <v>256</v>
      </c>
      <c r="K10" t="s">
        <v>74</v>
      </c>
      <c r="L10" t="s">
        <v>74</v>
      </c>
      <c r="M10" t="s">
        <v>78</v>
      </c>
      <c r="N10" t="s">
        <v>79</v>
      </c>
      <c r="O10" t="s">
        <v>74</v>
      </c>
      <c r="P10" t="s">
        <v>74</v>
      </c>
      <c r="Q10" t="s">
        <v>74</v>
      </c>
      <c r="R10" t="s">
        <v>74</v>
      </c>
      <c r="S10" t="s">
        <v>74</v>
      </c>
      <c r="T10" t="s">
        <v>284</v>
      </c>
      <c r="U10" t="s">
        <v>285</v>
      </c>
      <c r="V10" t="s">
        <v>286</v>
      </c>
      <c r="W10" t="s">
        <v>287</v>
      </c>
      <c r="X10" t="s">
        <v>288</v>
      </c>
      <c r="Y10" t="s">
        <v>289</v>
      </c>
      <c r="Z10" t="s">
        <v>290</v>
      </c>
      <c r="AA10" t="s">
        <v>74</v>
      </c>
      <c r="AB10" t="s">
        <v>74</v>
      </c>
      <c r="AC10" t="s">
        <v>291</v>
      </c>
      <c r="AD10" t="s">
        <v>292</v>
      </c>
      <c r="AE10" t="s">
        <v>293</v>
      </c>
      <c r="AF10" t="s">
        <v>74</v>
      </c>
      <c r="AG10">
        <v>61</v>
      </c>
      <c r="AH10">
        <v>11</v>
      </c>
      <c r="AI10">
        <v>12</v>
      </c>
      <c r="AJ10">
        <v>2</v>
      </c>
      <c r="AK10">
        <v>16</v>
      </c>
      <c r="AL10" t="s">
        <v>269</v>
      </c>
      <c r="AM10" t="s">
        <v>270</v>
      </c>
      <c r="AN10" t="s">
        <v>271</v>
      </c>
      <c r="AO10" t="s">
        <v>272</v>
      </c>
      <c r="AP10" t="s">
        <v>273</v>
      </c>
      <c r="AQ10" t="s">
        <v>74</v>
      </c>
      <c r="AR10" t="s">
        <v>274</v>
      </c>
      <c r="AS10" t="s">
        <v>275</v>
      </c>
      <c r="AT10" t="s">
        <v>131</v>
      </c>
      <c r="AU10">
        <v>2019</v>
      </c>
      <c r="AV10">
        <v>49</v>
      </c>
      <c r="AW10">
        <v>5</v>
      </c>
      <c r="AX10" t="s">
        <v>74</v>
      </c>
      <c r="AY10" t="s">
        <v>74</v>
      </c>
      <c r="AZ10" t="s">
        <v>74</v>
      </c>
      <c r="BA10" t="s">
        <v>74</v>
      </c>
      <c r="BB10">
        <v>1293</v>
      </c>
      <c r="BC10">
        <v>1318</v>
      </c>
      <c r="BD10" t="s">
        <v>74</v>
      </c>
      <c r="BE10" t="s">
        <v>294</v>
      </c>
      <c r="BF10" t="str">
        <f>HYPERLINK("http://dx.doi.org/10.1175/JPO-D-18-0133.1","http://dx.doi.org/10.1175/JPO-D-18-0133.1")</f>
        <v>http://dx.doi.org/10.1175/JPO-D-18-0133.1</v>
      </c>
      <c r="BG10" t="s">
        <v>74</v>
      </c>
      <c r="BH10" t="s">
        <v>74</v>
      </c>
      <c r="BI10">
        <v>26</v>
      </c>
      <c r="BJ10" t="s">
        <v>277</v>
      </c>
      <c r="BK10" t="s">
        <v>102</v>
      </c>
      <c r="BL10" t="s">
        <v>277</v>
      </c>
      <c r="BM10" t="s">
        <v>295</v>
      </c>
      <c r="BN10" t="s">
        <v>74</v>
      </c>
      <c r="BO10" t="s">
        <v>279</v>
      </c>
      <c r="BP10" t="s">
        <v>74</v>
      </c>
      <c r="BQ10" t="s">
        <v>74</v>
      </c>
      <c r="BR10" t="s">
        <v>107</v>
      </c>
      <c r="BS10" t="s">
        <v>296</v>
      </c>
      <c r="BT10" t="str">
        <f>HYPERLINK("https%3A%2F%2Fwww.webofscience.com%2Fwos%2Fwoscc%2Ffull-record%2FWOS:000467812800001","View Full Record in Web of Science")</f>
        <v>View Full Record in Web of Science</v>
      </c>
    </row>
    <row r="11" spans="1:72" x14ac:dyDescent="0.15">
      <c r="A11" t="s">
        <v>72</v>
      </c>
      <c r="B11" t="s">
        <v>297</v>
      </c>
      <c r="C11" t="s">
        <v>74</v>
      </c>
      <c r="D11" t="s">
        <v>74</v>
      </c>
      <c r="E11" t="s">
        <v>74</v>
      </c>
      <c r="F11" t="s">
        <v>298</v>
      </c>
      <c r="G11" t="s">
        <v>74</v>
      </c>
      <c r="H11" t="s">
        <v>74</v>
      </c>
      <c r="I11" t="s">
        <v>299</v>
      </c>
      <c r="J11" t="s">
        <v>300</v>
      </c>
      <c r="K11" t="s">
        <v>74</v>
      </c>
      <c r="L11" t="s">
        <v>74</v>
      </c>
      <c r="M11" t="s">
        <v>78</v>
      </c>
      <c r="N11" t="s">
        <v>79</v>
      </c>
      <c r="O11" t="s">
        <v>74</v>
      </c>
      <c r="P11" t="s">
        <v>74</v>
      </c>
      <c r="Q11" t="s">
        <v>74</v>
      </c>
      <c r="R11" t="s">
        <v>74</v>
      </c>
      <c r="S11" t="s">
        <v>74</v>
      </c>
      <c r="T11" t="s">
        <v>74</v>
      </c>
      <c r="U11" t="s">
        <v>301</v>
      </c>
      <c r="V11" t="s">
        <v>302</v>
      </c>
      <c r="W11" t="s">
        <v>303</v>
      </c>
      <c r="X11" t="s">
        <v>74</v>
      </c>
      <c r="Y11" t="s">
        <v>304</v>
      </c>
      <c r="Z11" t="s">
        <v>305</v>
      </c>
      <c r="AA11" t="s">
        <v>74</v>
      </c>
      <c r="AB11" t="s">
        <v>74</v>
      </c>
      <c r="AC11" t="s">
        <v>74</v>
      </c>
      <c r="AD11" t="s">
        <v>74</v>
      </c>
      <c r="AE11" t="s">
        <v>74</v>
      </c>
      <c r="AF11" t="s">
        <v>74</v>
      </c>
      <c r="AG11">
        <v>89</v>
      </c>
      <c r="AH11">
        <v>11</v>
      </c>
      <c r="AI11">
        <v>11</v>
      </c>
      <c r="AJ11">
        <v>3</v>
      </c>
      <c r="AK11">
        <v>37</v>
      </c>
      <c r="AL11" t="s">
        <v>306</v>
      </c>
      <c r="AM11" t="s">
        <v>93</v>
      </c>
      <c r="AN11" t="s">
        <v>307</v>
      </c>
      <c r="AO11" t="s">
        <v>308</v>
      </c>
      <c r="AP11" t="s">
        <v>309</v>
      </c>
      <c r="AQ11" t="s">
        <v>74</v>
      </c>
      <c r="AR11" t="s">
        <v>310</v>
      </c>
      <c r="AS11" t="s">
        <v>311</v>
      </c>
      <c r="AT11" t="s">
        <v>131</v>
      </c>
      <c r="AU11">
        <v>2019</v>
      </c>
      <c r="AV11">
        <v>103</v>
      </c>
      <c r="AW11" t="s">
        <v>74</v>
      </c>
      <c r="AX11" t="s">
        <v>74</v>
      </c>
      <c r="AY11" t="s">
        <v>74</v>
      </c>
      <c r="AZ11" t="s">
        <v>74</v>
      </c>
      <c r="BA11" t="s">
        <v>74</v>
      </c>
      <c r="BB11">
        <v>91</v>
      </c>
      <c r="BC11">
        <v>100</v>
      </c>
      <c r="BD11" t="s">
        <v>74</v>
      </c>
      <c r="BE11" t="s">
        <v>312</v>
      </c>
      <c r="BF11" t="str">
        <f>HYPERLINK("http://dx.doi.org/10.1016/j.marpol.2019.02.037","http://dx.doi.org/10.1016/j.marpol.2019.02.037")</f>
        <v>http://dx.doi.org/10.1016/j.marpol.2019.02.037</v>
      </c>
      <c r="BG11" t="s">
        <v>74</v>
      </c>
      <c r="BH11" t="s">
        <v>74</v>
      </c>
      <c r="BI11">
        <v>10</v>
      </c>
      <c r="BJ11" t="s">
        <v>313</v>
      </c>
      <c r="BK11" t="s">
        <v>314</v>
      </c>
      <c r="BL11" t="s">
        <v>315</v>
      </c>
      <c r="BM11" t="s">
        <v>316</v>
      </c>
      <c r="BN11" t="s">
        <v>74</v>
      </c>
      <c r="BO11" t="s">
        <v>198</v>
      </c>
      <c r="BP11" t="s">
        <v>74</v>
      </c>
      <c r="BQ11" t="s">
        <v>74</v>
      </c>
      <c r="BR11" t="s">
        <v>107</v>
      </c>
      <c r="BS11" t="s">
        <v>317</v>
      </c>
      <c r="BT11" t="str">
        <f>HYPERLINK("https%3A%2F%2Fwww.webofscience.com%2Fwos%2Fwoscc%2Ffull-record%2FWOS:000463125700012","View Full Record in Web of Science")</f>
        <v>View Full Record in Web of Science</v>
      </c>
    </row>
    <row r="12" spans="1:72" x14ac:dyDescent="0.15">
      <c r="A12" t="s">
        <v>72</v>
      </c>
      <c r="B12" t="s">
        <v>318</v>
      </c>
      <c r="C12" t="s">
        <v>74</v>
      </c>
      <c r="D12" t="s">
        <v>74</v>
      </c>
      <c r="E12" t="s">
        <v>74</v>
      </c>
      <c r="F12" t="s">
        <v>319</v>
      </c>
      <c r="G12" t="s">
        <v>74</v>
      </c>
      <c r="H12" t="s">
        <v>74</v>
      </c>
      <c r="I12" t="s">
        <v>320</v>
      </c>
      <c r="J12" t="s">
        <v>321</v>
      </c>
      <c r="K12" t="s">
        <v>74</v>
      </c>
      <c r="L12" t="s">
        <v>74</v>
      </c>
      <c r="M12" t="s">
        <v>78</v>
      </c>
      <c r="N12" t="s">
        <v>168</v>
      </c>
      <c r="O12" t="s">
        <v>74</v>
      </c>
      <c r="P12" t="s">
        <v>74</v>
      </c>
      <c r="Q12" t="s">
        <v>74</v>
      </c>
      <c r="R12" t="s">
        <v>74</v>
      </c>
      <c r="S12" t="s">
        <v>74</v>
      </c>
      <c r="T12" t="s">
        <v>74</v>
      </c>
      <c r="U12" t="s">
        <v>74</v>
      </c>
      <c r="V12" t="s">
        <v>74</v>
      </c>
      <c r="W12" t="s">
        <v>322</v>
      </c>
      <c r="X12" t="s">
        <v>323</v>
      </c>
      <c r="Y12" t="s">
        <v>324</v>
      </c>
      <c r="Z12" t="s">
        <v>325</v>
      </c>
      <c r="AA12" t="s">
        <v>326</v>
      </c>
      <c r="AB12" t="s">
        <v>327</v>
      </c>
      <c r="AC12" t="s">
        <v>74</v>
      </c>
      <c r="AD12" t="s">
        <v>74</v>
      </c>
      <c r="AE12" t="s">
        <v>74</v>
      </c>
      <c r="AF12" t="s">
        <v>74</v>
      </c>
      <c r="AG12">
        <v>9</v>
      </c>
      <c r="AH12">
        <v>4</v>
      </c>
      <c r="AI12">
        <v>4</v>
      </c>
      <c r="AJ12">
        <v>0</v>
      </c>
      <c r="AK12">
        <v>14</v>
      </c>
      <c r="AL12" t="s">
        <v>328</v>
      </c>
      <c r="AM12" t="s">
        <v>329</v>
      </c>
      <c r="AN12" t="s">
        <v>330</v>
      </c>
      <c r="AO12" t="s">
        <v>331</v>
      </c>
      <c r="AP12" t="s">
        <v>332</v>
      </c>
      <c r="AQ12" t="s">
        <v>74</v>
      </c>
      <c r="AR12" t="s">
        <v>333</v>
      </c>
      <c r="AS12" t="s">
        <v>334</v>
      </c>
      <c r="AT12" t="s">
        <v>131</v>
      </c>
      <c r="AU12">
        <v>2019</v>
      </c>
      <c r="AV12">
        <v>9</v>
      </c>
      <c r="AW12">
        <v>5</v>
      </c>
      <c r="AX12" t="s">
        <v>74</v>
      </c>
      <c r="AY12" t="s">
        <v>74</v>
      </c>
      <c r="AZ12" t="s">
        <v>74</v>
      </c>
      <c r="BA12" t="s">
        <v>74</v>
      </c>
      <c r="BB12">
        <v>342</v>
      </c>
      <c r="BC12">
        <v>342</v>
      </c>
      <c r="BD12" t="s">
        <v>74</v>
      </c>
      <c r="BE12" t="s">
        <v>335</v>
      </c>
      <c r="BF12" t="str">
        <f>HYPERLINK("http://dx.doi.org/10.1038/s41558-019-0467-z","http://dx.doi.org/10.1038/s41558-019-0467-z")</f>
        <v>http://dx.doi.org/10.1038/s41558-019-0467-z</v>
      </c>
      <c r="BG12" t="s">
        <v>74</v>
      </c>
      <c r="BH12" t="s">
        <v>74</v>
      </c>
      <c r="BI12">
        <v>1</v>
      </c>
      <c r="BJ12" t="s">
        <v>336</v>
      </c>
      <c r="BK12" t="s">
        <v>337</v>
      </c>
      <c r="BL12" t="s">
        <v>338</v>
      </c>
      <c r="BM12" t="s">
        <v>339</v>
      </c>
      <c r="BN12" t="s">
        <v>74</v>
      </c>
      <c r="BO12" t="s">
        <v>279</v>
      </c>
      <c r="BP12" t="s">
        <v>74</v>
      </c>
      <c r="BQ12" t="s">
        <v>74</v>
      </c>
      <c r="BR12" t="s">
        <v>107</v>
      </c>
      <c r="BS12" t="s">
        <v>340</v>
      </c>
      <c r="BT12" t="str">
        <f>HYPERLINK("https%3A%2F%2Fwww.webofscience.com%2Fwos%2Fwoscc%2Ffull-record%2FWOS:000466122200002","View Full Record in Web of Science")</f>
        <v>View Full Record in Web of Science</v>
      </c>
    </row>
    <row r="13" spans="1:72" x14ac:dyDescent="0.15">
      <c r="A13" t="s">
        <v>72</v>
      </c>
      <c r="B13" t="s">
        <v>341</v>
      </c>
      <c r="C13" t="s">
        <v>74</v>
      </c>
      <c r="D13" t="s">
        <v>74</v>
      </c>
      <c r="E13" t="s">
        <v>74</v>
      </c>
      <c r="F13" t="s">
        <v>342</v>
      </c>
      <c r="G13" t="s">
        <v>74</v>
      </c>
      <c r="H13" t="s">
        <v>74</v>
      </c>
      <c r="I13" t="s">
        <v>343</v>
      </c>
      <c r="J13" t="s">
        <v>344</v>
      </c>
      <c r="K13" t="s">
        <v>74</v>
      </c>
      <c r="L13" t="s">
        <v>74</v>
      </c>
      <c r="M13" t="s">
        <v>78</v>
      </c>
      <c r="N13" t="s">
        <v>79</v>
      </c>
      <c r="O13" t="s">
        <v>74</v>
      </c>
      <c r="P13" t="s">
        <v>74</v>
      </c>
      <c r="Q13" t="s">
        <v>74</v>
      </c>
      <c r="R13" t="s">
        <v>74</v>
      </c>
      <c r="S13" t="s">
        <v>74</v>
      </c>
      <c r="T13" t="s">
        <v>345</v>
      </c>
      <c r="U13" t="s">
        <v>346</v>
      </c>
      <c r="V13" t="s">
        <v>347</v>
      </c>
      <c r="W13" t="s">
        <v>348</v>
      </c>
      <c r="X13" t="s">
        <v>349</v>
      </c>
      <c r="Y13" t="s">
        <v>350</v>
      </c>
      <c r="Z13" t="s">
        <v>351</v>
      </c>
      <c r="AA13" t="s">
        <v>352</v>
      </c>
      <c r="AB13" t="s">
        <v>353</v>
      </c>
      <c r="AC13" t="s">
        <v>354</v>
      </c>
      <c r="AD13" t="s">
        <v>355</v>
      </c>
      <c r="AE13" t="s">
        <v>356</v>
      </c>
      <c r="AF13" t="s">
        <v>74</v>
      </c>
      <c r="AG13">
        <v>73</v>
      </c>
      <c r="AH13">
        <v>63</v>
      </c>
      <c r="AI13">
        <v>63</v>
      </c>
      <c r="AJ13">
        <v>4</v>
      </c>
      <c r="AK13">
        <v>91</v>
      </c>
      <c r="AL13" t="s">
        <v>153</v>
      </c>
      <c r="AM13" t="s">
        <v>154</v>
      </c>
      <c r="AN13" t="s">
        <v>155</v>
      </c>
      <c r="AO13" t="s">
        <v>357</v>
      </c>
      <c r="AP13" t="s">
        <v>358</v>
      </c>
      <c r="AQ13" t="s">
        <v>74</v>
      </c>
      <c r="AR13" t="s">
        <v>359</v>
      </c>
      <c r="AS13" t="s">
        <v>360</v>
      </c>
      <c r="AT13" t="s">
        <v>131</v>
      </c>
      <c r="AU13">
        <v>2019</v>
      </c>
      <c r="AV13">
        <v>222</v>
      </c>
      <c r="AW13">
        <v>3</v>
      </c>
      <c r="AX13" t="s">
        <v>74</v>
      </c>
      <c r="AY13" t="s">
        <v>74</v>
      </c>
      <c r="AZ13" t="s">
        <v>74</v>
      </c>
      <c r="BA13" t="s">
        <v>74</v>
      </c>
      <c r="BB13">
        <v>1256</v>
      </c>
      <c r="BC13">
        <v>1270</v>
      </c>
      <c r="BD13" t="s">
        <v>74</v>
      </c>
      <c r="BE13" t="s">
        <v>361</v>
      </c>
      <c r="BF13" t="str">
        <f>HYPERLINK("http://dx.doi.org/10.1111/nph.15675","http://dx.doi.org/10.1111/nph.15675")</f>
        <v>http://dx.doi.org/10.1111/nph.15675</v>
      </c>
      <c r="BG13" t="s">
        <v>74</v>
      </c>
      <c r="BH13" t="s">
        <v>74</v>
      </c>
      <c r="BI13">
        <v>15</v>
      </c>
      <c r="BJ13" t="s">
        <v>362</v>
      </c>
      <c r="BK13" t="s">
        <v>102</v>
      </c>
      <c r="BL13" t="s">
        <v>362</v>
      </c>
      <c r="BM13" t="s">
        <v>363</v>
      </c>
      <c r="BN13">
        <v>30623444</v>
      </c>
      <c r="BO13" t="s">
        <v>279</v>
      </c>
      <c r="BP13" t="s">
        <v>74</v>
      </c>
      <c r="BQ13" t="s">
        <v>74</v>
      </c>
      <c r="BR13" t="s">
        <v>107</v>
      </c>
      <c r="BS13" t="s">
        <v>364</v>
      </c>
      <c r="BT13" t="str">
        <f>HYPERLINK("https%3A%2F%2Fwww.webofscience.com%2Fwos%2Fwoscc%2Ffull-record%2FWOS:000466797100013","View Full Record in Web of Science")</f>
        <v>View Full Record in Web of Science</v>
      </c>
    </row>
    <row r="14" spans="1:72" x14ac:dyDescent="0.15">
      <c r="A14" t="s">
        <v>72</v>
      </c>
      <c r="B14" t="s">
        <v>365</v>
      </c>
      <c r="C14" t="s">
        <v>74</v>
      </c>
      <c r="D14" t="s">
        <v>74</v>
      </c>
      <c r="E14" t="s">
        <v>74</v>
      </c>
      <c r="F14" t="s">
        <v>366</v>
      </c>
      <c r="G14" t="s">
        <v>74</v>
      </c>
      <c r="H14" t="s">
        <v>74</v>
      </c>
      <c r="I14" t="s">
        <v>367</v>
      </c>
      <c r="J14" t="s">
        <v>368</v>
      </c>
      <c r="K14" t="s">
        <v>74</v>
      </c>
      <c r="L14" t="s">
        <v>74</v>
      </c>
      <c r="M14" t="s">
        <v>78</v>
      </c>
      <c r="N14" t="s">
        <v>168</v>
      </c>
      <c r="O14" t="s">
        <v>74</v>
      </c>
      <c r="P14" t="s">
        <v>74</v>
      </c>
      <c r="Q14" t="s">
        <v>74</v>
      </c>
      <c r="R14" t="s">
        <v>74</v>
      </c>
      <c r="S14" t="s">
        <v>74</v>
      </c>
      <c r="T14" t="s">
        <v>74</v>
      </c>
      <c r="U14" t="s">
        <v>369</v>
      </c>
      <c r="V14" t="s">
        <v>74</v>
      </c>
      <c r="W14" t="s">
        <v>370</v>
      </c>
      <c r="X14" t="s">
        <v>371</v>
      </c>
      <c r="Y14" t="s">
        <v>372</v>
      </c>
      <c r="Z14" t="s">
        <v>74</v>
      </c>
      <c r="AA14" t="s">
        <v>373</v>
      </c>
      <c r="AB14" t="s">
        <v>374</v>
      </c>
      <c r="AC14" t="s">
        <v>375</v>
      </c>
      <c r="AD14" t="s">
        <v>376</v>
      </c>
      <c r="AE14" t="s">
        <v>377</v>
      </c>
      <c r="AF14" t="s">
        <v>74</v>
      </c>
      <c r="AG14">
        <v>31</v>
      </c>
      <c r="AH14">
        <v>2</v>
      </c>
      <c r="AI14">
        <v>2</v>
      </c>
      <c r="AJ14">
        <v>1</v>
      </c>
      <c r="AK14">
        <v>7</v>
      </c>
      <c r="AL14" t="s">
        <v>378</v>
      </c>
      <c r="AM14" t="s">
        <v>93</v>
      </c>
      <c r="AN14" t="s">
        <v>379</v>
      </c>
      <c r="AO14" t="s">
        <v>380</v>
      </c>
      <c r="AP14" t="s">
        <v>74</v>
      </c>
      <c r="AQ14" t="s">
        <v>74</v>
      </c>
      <c r="AR14" t="s">
        <v>381</v>
      </c>
      <c r="AS14" t="s">
        <v>382</v>
      </c>
      <c r="AT14" t="s">
        <v>99</v>
      </c>
      <c r="AU14">
        <v>2019</v>
      </c>
      <c r="AV14">
        <v>174</v>
      </c>
      <c r="AW14" t="s">
        <v>74</v>
      </c>
      <c r="AX14" t="s">
        <v>74</v>
      </c>
      <c r="AY14" t="s">
        <v>74</v>
      </c>
      <c r="AZ14" t="s">
        <v>247</v>
      </c>
      <c r="BA14" t="s">
        <v>74</v>
      </c>
      <c r="BB14">
        <v>1</v>
      </c>
      <c r="BC14">
        <v>6</v>
      </c>
      <c r="BD14" t="s">
        <v>74</v>
      </c>
      <c r="BE14" t="s">
        <v>383</v>
      </c>
      <c r="BF14" t="str">
        <f>HYPERLINK("http://dx.doi.org/10.1016/j.pocean.2019.05.002","http://dx.doi.org/10.1016/j.pocean.2019.05.002")</f>
        <v>http://dx.doi.org/10.1016/j.pocean.2019.05.002</v>
      </c>
      <c r="BG14" t="s">
        <v>74</v>
      </c>
      <c r="BH14" t="s">
        <v>74</v>
      </c>
      <c r="BI14">
        <v>6</v>
      </c>
      <c r="BJ14" t="s">
        <v>277</v>
      </c>
      <c r="BK14" t="s">
        <v>102</v>
      </c>
      <c r="BL14" t="s">
        <v>277</v>
      </c>
      <c r="BM14" t="s">
        <v>384</v>
      </c>
      <c r="BN14" t="s">
        <v>74</v>
      </c>
      <c r="BO14" t="s">
        <v>74</v>
      </c>
      <c r="BP14" t="s">
        <v>74</v>
      </c>
      <c r="BQ14" t="s">
        <v>74</v>
      </c>
      <c r="BR14" t="s">
        <v>107</v>
      </c>
      <c r="BS14" t="s">
        <v>385</v>
      </c>
      <c r="BT14" t="str">
        <f>HYPERLINK("https%3A%2F%2Fwww.webofscience.com%2Fwos%2Fwoscc%2Ffull-record%2FWOS:000471364200001","View Full Record in Web of Science")</f>
        <v>View Full Record in Web of Science</v>
      </c>
    </row>
    <row r="15" spans="1:72" x14ac:dyDescent="0.15">
      <c r="A15" t="s">
        <v>72</v>
      </c>
      <c r="B15" t="s">
        <v>386</v>
      </c>
      <c r="C15" t="s">
        <v>74</v>
      </c>
      <c r="D15" t="s">
        <v>74</v>
      </c>
      <c r="E15" t="s">
        <v>74</v>
      </c>
      <c r="F15" t="s">
        <v>387</v>
      </c>
      <c r="G15" t="s">
        <v>74</v>
      </c>
      <c r="H15" t="s">
        <v>74</v>
      </c>
      <c r="I15" t="s">
        <v>388</v>
      </c>
      <c r="J15" t="s">
        <v>368</v>
      </c>
      <c r="K15" t="s">
        <v>74</v>
      </c>
      <c r="L15" t="s">
        <v>74</v>
      </c>
      <c r="M15" t="s">
        <v>78</v>
      </c>
      <c r="N15" t="s">
        <v>79</v>
      </c>
      <c r="O15" t="s">
        <v>74</v>
      </c>
      <c r="P15" t="s">
        <v>74</v>
      </c>
      <c r="Q15" t="s">
        <v>74</v>
      </c>
      <c r="R15" t="s">
        <v>74</v>
      </c>
      <c r="S15" t="s">
        <v>74</v>
      </c>
      <c r="T15" t="s">
        <v>389</v>
      </c>
      <c r="U15" t="s">
        <v>390</v>
      </c>
      <c r="V15" t="s">
        <v>391</v>
      </c>
      <c r="W15" t="s">
        <v>392</v>
      </c>
      <c r="X15" t="s">
        <v>393</v>
      </c>
      <c r="Y15" t="s">
        <v>394</v>
      </c>
      <c r="Z15" t="s">
        <v>395</v>
      </c>
      <c r="AA15" t="s">
        <v>396</v>
      </c>
      <c r="AB15" t="s">
        <v>397</v>
      </c>
      <c r="AC15" t="s">
        <v>398</v>
      </c>
      <c r="AD15" t="s">
        <v>399</v>
      </c>
      <c r="AE15" t="s">
        <v>400</v>
      </c>
      <c r="AF15" t="s">
        <v>74</v>
      </c>
      <c r="AG15">
        <v>117</v>
      </c>
      <c r="AH15">
        <v>24</v>
      </c>
      <c r="AI15">
        <v>24</v>
      </c>
      <c r="AJ15">
        <v>0</v>
      </c>
      <c r="AK15">
        <v>16</v>
      </c>
      <c r="AL15" t="s">
        <v>378</v>
      </c>
      <c r="AM15" t="s">
        <v>93</v>
      </c>
      <c r="AN15" t="s">
        <v>379</v>
      </c>
      <c r="AO15" t="s">
        <v>380</v>
      </c>
      <c r="AP15" t="s">
        <v>401</v>
      </c>
      <c r="AQ15" t="s">
        <v>74</v>
      </c>
      <c r="AR15" t="s">
        <v>381</v>
      </c>
      <c r="AS15" t="s">
        <v>382</v>
      </c>
      <c r="AT15" t="s">
        <v>99</v>
      </c>
      <c r="AU15">
        <v>2019</v>
      </c>
      <c r="AV15">
        <v>174</v>
      </c>
      <c r="AW15" t="s">
        <v>74</v>
      </c>
      <c r="AX15" t="s">
        <v>74</v>
      </c>
      <c r="AY15" t="s">
        <v>74</v>
      </c>
      <c r="AZ15" t="s">
        <v>247</v>
      </c>
      <c r="BA15" t="s">
        <v>74</v>
      </c>
      <c r="BB15">
        <v>44</v>
      </c>
      <c r="BC15">
        <v>54</v>
      </c>
      <c r="BD15" t="s">
        <v>74</v>
      </c>
      <c r="BE15" t="s">
        <v>402</v>
      </c>
      <c r="BF15" t="str">
        <f>HYPERLINK("http://dx.doi.org/10.1016/j.pocean.2018.09.004","http://dx.doi.org/10.1016/j.pocean.2018.09.004")</f>
        <v>http://dx.doi.org/10.1016/j.pocean.2018.09.004</v>
      </c>
      <c r="BG15" t="s">
        <v>74</v>
      </c>
      <c r="BH15" t="s">
        <v>74</v>
      </c>
      <c r="BI15">
        <v>11</v>
      </c>
      <c r="BJ15" t="s">
        <v>277</v>
      </c>
      <c r="BK15" t="s">
        <v>102</v>
      </c>
      <c r="BL15" t="s">
        <v>277</v>
      </c>
      <c r="BM15" t="s">
        <v>384</v>
      </c>
      <c r="BN15" t="s">
        <v>74</v>
      </c>
      <c r="BO15" t="s">
        <v>403</v>
      </c>
      <c r="BP15" t="s">
        <v>74</v>
      </c>
      <c r="BQ15" t="s">
        <v>74</v>
      </c>
      <c r="BR15" t="s">
        <v>107</v>
      </c>
      <c r="BS15" t="s">
        <v>404</v>
      </c>
      <c r="BT15" t="str">
        <f>HYPERLINK("https%3A%2F%2Fwww.webofscience.com%2Fwos%2Fwoscc%2Ffull-record%2FWOS:000471364200006","View Full Record in Web of Science")</f>
        <v>View Full Record in Web of Science</v>
      </c>
    </row>
    <row r="16" spans="1:72" x14ac:dyDescent="0.15">
      <c r="A16" t="s">
        <v>72</v>
      </c>
      <c r="B16" t="s">
        <v>405</v>
      </c>
      <c r="C16" t="s">
        <v>74</v>
      </c>
      <c r="D16" t="s">
        <v>74</v>
      </c>
      <c r="E16" t="s">
        <v>74</v>
      </c>
      <c r="F16" t="s">
        <v>406</v>
      </c>
      <c r="G16" t="s">
        <v>74</v>
      </c>
      <c r="H16" t="s">
        <v>74</v>
      </c>
      <c r="I16" t="s">
        <v>407</v>
      </c>
      <c r="J16" t="s">
        <v>368</v>
      </c>
      <c r="K16" t="s">
        <v>74</v>
      </c>
      <c r="L16" t="s">
        <v>74</v>
      </c>
      <c r="M16" t="s">
        <v>78</v>
      </c>
      <c r="N16" t="s">
        <v>79</v>
      </c>
      <c r="O16" t="s">
        <v>74</v>
      </c>
      <c r="P16" t="s">
        <v>74</v>
      </c>
      <c r="Q16" t="s">
        <v>74</v>
      </c>
      <c r="R16" t="s">
        <v>74</v>
      </c>
      <c r="S16" t="s">
        <v>74</v>
      </c>
      <c r="T16" t="s">
        <v>408</v>
      </c>
      <c r="U16" t="s">
        <v>409</v>
      </c>
      <c r="V16" t="s">
        <v>410</v>
      </c>
      <c r="W16" t="s">
        <v>411</v>
      </c>
      <c r="X16" t="s">
        <v>412</v>
      </c>
      <c r="Y16" t="s">
        <v>413</v>
      </c>
      <c r="Z16" t="s">
        <v>414</v>
      </c>
      <c r="AA16" t="s">
        <v>415</v>
      </c>
      <c r="AB16" t="s">
        <v>416</v>
      </c>
      <c r="AC16" t="s">
        <v>417</v>
      </c>
      <c r="AD16" t="s">
        <v>418</v>
      </c>
      <c r="AE16" t="s">
        <v>419</v>
      </c>
      <c r="AF16" t="s">
        <v>74</v>
      </c>
      <c r="AG16">
        <v>164</v>
      </c>
      <c r="AH16">
        <v>14</v>
      </c>
      <c r="AI16">
        <v>16</v>
      </c>
      <c r="AJ16">
        <v>0</v>
      </c>
      <c r="AK16">
        <v>23</v>
      </c>
      <c r="AL16" t="s">
        <v>378</v>
      </c>
      <c r="AM16" t="s">
        <v>93</v>
      </c>
      <c r="AN16" t="s">
        <v>379</v>
      </c>
      <c r="AO16" t="s">
        <v>380</v>
      </c>
      <c r="AP16" t="s">
        <v>74</v>
      </c>
      <c r="AQ16" t="s">
        <v>74</v>
      </c>
      <c r="AR16" t="s">
        <v>381</v>
      </c>
      <c r="AS16" t="s">
        <v>382</v>
      </c>
      <c r="AT16" t="s">
        <v>99</v>
      </c>
      <c r="AU16">
        <v>2019</v>
      </c>
      <c r="AV16">
        <v>174</v>
      </c>
      <c r="AW16" t="s">
        <v>74</v>
      </c>
      <c r="AX16" t="s">
        <v>74</v>
      </c>
      <c r="AY16" t="s">
        <v>74</v>
      </c>
      <c r="AZ16" t="s">
        <v>247</v>
      </c>
      <c r="BA16" t="s">
        <v>74</v>
      </c>
      <c r="BB16">
        <v>72</v>
      </c>
      <c r="BC16">
        <v>88</v>
      </c>
      <c r="BD16" t="s">
        <v>74</v>
      </c>
      <c r="BE16" t="s">
        <v>420</v>
      </c>
      <c r="BF16" t="str">
        <f>HYPERLINK("http://dx.doi.org/10.1016/j.pocean.2018.10.004","http://dx.doi.org/10.1016/j.pocean.2018.10.004")</f>
        <v>http://dx.doi.org/10.1016/j.pocean.2018.10.004</v>
      </c>
      <c r="BG16" t="s">
        <v>74</v>
      </c>
      <c r="BH16" t="s">
        <v>74</v>
      </c>
      <c r="BI16">
        <v>17</v>
      </c>
      <c r="BJ16" t="s">
        <v>277</v>
      </c>
      <c r="BK16" t="s">
        <v>102</v>
      </c>
      <c r="BL16" t="s">
        <v>277</v>
      </c>
      <c r="BM16" t="s">
        <v>384</v>
      </c>
      <c r="BN16" t="s">
        <v>74</v>
      </c>
      <c r="BO16" t="s">
        <v>198</v>
      </c>
      <c r="BP16" t="s">
        <v>74</v>
      </c>
      <c r="BQ16" t="s">
        <v>74</v>
      </c>
      <c r="BR16" t="s">
        <v>107</v>
      </c>
      <c r="BS16" t="s">
        <v>421</v>
      </c>
      <c r="BT16" t="str">
        <f>HYPERLINK("https%3A%2F%2Fwww.webofscience.com%2Fwos%2Fwoscc%2Ffull-record%2FWOS:000471364200009","View Full Record in Web of Science")</f>
        <v>View Full Record in Web of Science</v>
      </c>
    </row>
    <row r="17" spans="1:72" x14ac:dyDescent="0.15">
      <c r="A17" t="s">
        <v>72</v>
      </c>
      <c r="B17" t="s">
        <v>422</v>
      </c>
      <c r="C17" t="s">
        <v>74</v>
      </c>
      <c r="D17" t="s">
        <v>74</v>
      </c>
      <c r="E17" t="s">
        <v>74</v>
      </c>
      <c r="F17" t="s">
        <v>423</v>
      </c>
      <c r="G17" t="s">
        <v>74</v>
      </c>
      <c r="H17" t="s">
        <v>74</v>
      </c>
      <c r="I17" t="s">
        <v>424</v>
      </c>
      <c r="J17" t="s">
        <v>368</v>
      </c>
      <c r="K17" t="s">
        <v>74</v>
      </c>
      <c r="L17" t="s">
        <v>74</v>
      </c>
      <c r="M17" t="s">
        <v>78</v>
      </c>
      <c r="N17" t="s">
        <v>79</v>
      </c>
      <c r="O17" t="s">
        <v>74</v>
      </c>
      <c r="P17" t="s">
        <v>74</v>
      </c>
      <c r="Q17" t="s">
        <v>74</v>
      </c>
      <c r="R17" t="s">
        <v>74</v>
      </c>
      <c r="S17" t="s">
        <v>74</v>
      </c>
      <c r="T17" t="s">
        <v>425</v>
      </c>
      <c r="U17" t="s">
        <v>426</v>
      </c>
      <c r="V17" t="s">
        <v>427</v>
      </c>
      <c r="W17" t="s">
        <v>428</v>
      </c>
      <c r="X17" t="s">
        <v>429</v>
      </c>
      <c r="Y17" t="s">
        <v>430</v>
      </c>
      <c r="Z17" t="s">
        <v>431</v>
      </c>
      <c r="AA17" t="s">
        <v>432</v>
      </c>
      <c r="AB17" t="s">
        <v>433</v>
      </c>
      <c r="AC17" t="s">
        <v>434</v>
      </c>
      <c r="AD17" t="s">
        <v>435</v>
      </c>
      <c r="AE17" t="s">
        <v>436</v>
      </c>
      <c r="AF17" t="s">
        <v>74</v>
      </c>
      <c r="AG17">
        <v>88</v>
      </c>
      <c r="AH17">
        <v>41</v>
      </c>
      <c r="AI17">
        <v>43</v>
      </c>
      <c r="AJ17">
        <v>2</v>
      </c>
      <c r="AK17">
        <v>26</v>
      </c>
      <c r="AL17" t="s">
        <v>378</v>
      </c>
      <c r="AM17" t="s">
        <v>93</v>
      </c>
      <c r="AN17" t="s">
        <v>379</v>
      </c>
      <c r="AO17" t="s">
        <v>380</v>
      </c>
      <c r="AP17" t="s">
        <v>74</v>
      </c>
      <c r="AQ17" t="s">
        <v>74</v>
      </c>
      <c r="AR17" t="s">
        <v>381</v>
      </c>
      <c r="AS17" t="s">
        <v>382</v>
      </c>
      <c r="AT17" t="s">
        <v>99</v>
      </c>
      <c r="AU17">
        <v>2019</v>
      </c>
      <c r="AV17">
        <v>174</v>
      </c>
      <c r="AW17" t="s">
        <v>74</v>
      </c>
      <c r="AX17" t="s">
        <v>74</v>
      </c>
      <c r="AY17" t="s">
        <v>74</v>
      </c>
      <c r="AZ17" t="s">
        <v>247</v>
      </c>
      <c r="BA17" t="s">
        <v>74</v>
      </c>
      <c r="BB17">
        <v>105</v>
      </c>
      <c r="BC17">
        <v>116</v>
      </c>
      <c r="BD17" t="s">
        <v>74</v>
      </c>
      <c r="BE17" t="s">
        <v>437</v>
      </c>
      <c r="BF17" t="str">
        <f>HYPERLINK("http://dx.doi.org/10.1016/j.pocean.2019.01.005","http://dx.doi.org/10.1016/j.pocean.2019.01.005")</f>
        <v>http://dx.doi.org/10.1016/j.pocean.2019.01.005</v>
      </c>
      <c r="BG17" t="s">
        <v>74</v>
      </c>
      <c r="BH17" t="s">
        <v>74</v>
      </c>
      <c r="BI17">
        <v>12</v>
      </c>
      <c r="BJ17" t="s">
        <v>277</v>
      </c>
      <c r="BK17" t="s">
        <v>102</v>
      </c>
      <c r="BL17" t="s">
        <v>277</v>
      </c>
      <c r="BM17" t="s">
        <v>384</v>
      </c>
      <c r="BN17" t="s">
        <v>74</v>
      </c>
      <c r="BO17" t="s">
        <v>74</v>
      </c>
      <c r="BP17" t="s">
        <v>74</v>
      </c>
      <c r="BQ17" t="s">
        <v>74</v>
      </c>
      <c r="BR17" t="s">
        <v>107</v>
      </c>
      <c r="BS17" t="s">
        <v>438</v>
      </c>
      <c r="BT17" t="str">
        <f>HYPERLINK("https%3A%2F%2Fwww.webofscience.com%2Fwos%2Fwoscc%2Ffull-record%2FWOS:000471364200011","View Full Record in Web of Science")</f>
        <v>View Full Record in Web of Science</v>
      </c>
    </row>
    <row r="18" spans="1:72" x14ac:dyDescent="0.15">
      <c r="A18" t="s">
        <v>72</v>
      </c>
      <c r="B18" t="s">
        <v>439</v>
      </c>
      <c r="C18" t="s">
        <v>74</v>
      </c>
      <c r="D18" t="s">
        <v>74</v>
      </c>
      <c r="E18" t="s">
        <v>74</v>
      </c>
      <c r="F18" t="s">
        <v>440</v>
      </c>
      <c r="G18" t="s">
        <v>74</v>
      </c>
      <c r="H18" t="s">
        <v>74</v>
      </c>
      <c r="I18" t="s">
        <v>441</v>
      </c>
      <c r="J18" t="s">
        <v>442</v>
      </c>
      <c r="K18" t="s">
        <v>74</v>
      </c>
      <c r="L18" t="s">
        <v>74</v>
      </c>
      <c r="M18" t="s">
        <v>78</v>
      </c>
      <c r="N18" t="s">
        <v>79</v>
      </c>
      <c r="O18" t="s">
        <v>74</v>
      </c>
      <c r="P18" t="s">
        <v>74</v>
      </c>
      <c r="Q18" t="s">
        <v>74</v>
      </c>
      <c r="R18" t="s">
        <v>74</v>
      </c>
      <c r="S18" t="s">
        <v>74</v>
      </c>
      <c r="T18" t="s">
        <v>74</v>
      </c>
      <c r="U18" t="s">
        <v>443</v>
      </c>
      <c r="V18" t="s">
        <v>444</v>
      </c>
      <c r="W18" t="s">
        <v>445</v>
      </c>
      <c r="X18" t="s">
        <v>446</v>
      </c>
      <c r="Y18" t="s">
        <v>447</v>
      </c>
      <c r="Z18" t="s">
        <v>448</v>
      </c>
      <c r="AA18" t="s">
        <v>449</v>
      </c>
      <c r="AB18" t="s">
        <v>450</v>
      </c>
      <c r="AC18" t="s">
        <v>451</v>
      </c>
      <c r="AD18" t="s">
        <v>451</v>
      </c>
      <c r="AE18" t="s">
        <v>452</v>
      </c>
      <c r="AF18" t="s">
        <v>74</v>
      </c>
      <c r="AG18">
        <v>59</v>
      </c>
      <c r="AH18">
        <v>76</v>
      </c>
      <c r="AI18">
        <v>83</v>
      </c>
      <c r="AJ18">
        <v>2</v>
      </c>
      <c r="AK18">
        <v>27</v>
      </c>
      <c r="AL18" t="s">
        <v>453</v>
      </c>
      <c r="AM18" t="s">
        <v>126</v>
      </c>
      <c r="AN18" t="s">
        <v>454</v>
      </c>
      <c r="AO18" t="s">
        <v>455</v>
      </c>
      <c r="AP18" t="s">
        <v>74</v>
      </c>
      <c r="AQ18" t="s">
        <v>74</v>
      </c>
      <c r="AR18" t="s">
        <v>456</v>
      </c>
      <c r="AS18" t="s">
        <v>457</v>
      </c>
      <c r="AT18" t="s">
        <v>131</v>
      </c>
      <c r="AU18">
        <v>2019</v>
      </c>
      <c r="AV18">
        <v>5</v>
      </c>
      <c r="AW18">
        <v>5</v>
      </c>
      <c r="AX18" t="s">
        <v>74</v>
      </c>
      <c r="AY18" t="s">
        <v>74</v>
      </c>
      <c r="AZ18" t="s">
        <v>74</v>
      </c>
      <c r="BA18" t="s">
        <v>74</v>
      </c>
      <c r="BB18" t="s">
        <v>74</v>
      </c>
      <c r="BC18" t="s">
        <v>74</v>
      </c>
      <c r="BD18" t="s">
        <v>458</v>
      </c>
      <c r="BE18" t="s">
        <v>459</v>
      </c>
      <c r="BF18" t="str">
        <f>HYPERLINK("http://dx.doi.org/10.1126/sciadv.aav4830","http://dx.doi.org/10.1126/sciadv.aav4830")</f>
        <v>http://dx.doi.org/10.1126/sciadv.aav4830</v>
      </c>
      <c r="BG18" t="s">
        <v>74</v>
      </c>
      <c r="BH18" t="s">
        <v>74</v>
      </c>
      <c r="BI18">
        <v>12</v>
      </c>
      <c r="BJ18" t="s">
        <v>460</v>
      </c>
      <c r="BK18" t="s">
        <v>102</v>
      </c>
      <c r="BL18" t="s">
        <v>461</v>
      </c>
      <c r="BM18" t="s">
        <v>462</v>
      </c>
      <c r="BN18">
        <v>31086818</v>
      </c>
      <c r="BO18" t="s">
        <v>463</v>
      </c>
      <c r="BP18" t="s">
        <v>74</v>
      </c>
      <c r="BQ18" t="s">
        <v>74</v>
      </c>
      <c r="BR18" t="s">
        <v>107</v>
      </c>
      <c r="BS18" t="s">
        <v>464</v>
      </c>
      <c r="BT18" t="str">
        <f>HYPERLINK("https%3A%2F%2Fwww.webofscience.com%2Fwos%2Fwoscc%2Ffull-record%2FWOS:000470125000047","View Full Record in Web of Science")</f>
        <v>View Full Record in Web of Science</v>
      </c>
    </row>
    <row r="19" spans="1:72" x14ac:dyDescent="0.15">
      <c r="A19" t="s">
        <v>72</v>
      </c>
      <c r="B19" t="s">
        <v>465</v>
      </c>
      <c r="C19" t="s">
        <v>74</v>
      </c>
      <c r="D19" t="s">
        <v>74</v>
      </c>
      <c r="E19" t="s">
        <v>74</v>
      </c>
      <c r="F19" t="s">
        <v>466</v>
      </c>
      <c r="G19" t="s">
        <v>74</v>
      </c>
      <c r="H19" t="s">
        <v>74</v>
      </c>
      <c r="I19" t="s">
        <v>467</v>
      </c>
      <c r="J19" t="s">
        <v>468</v>
      </c>
      <c r="K19" t="s">
        <v>74</v>
      </c>
      <c r="L19" t="s">
        <v>74</v>
      </c>
      <c r="M19" t="s">
        <v>78</v>
      </c>
      <c r="N19" t="s">
        <v>469</v>
      </c>
      <c r="O19" t="s">
        <v>74</v>
      </c>
      <c r="P19" t="s">
        <v>74</v>
      </c>
      <c r="Q19" t="s">
        <v>74</v>
      </c>
      <c r="R19" t="s">
        <v>74</v>
      </c>
      <c r="S19" t="s">
        <v>74</v>
      </c>
      <c r="T19" t="s">
        <v>74</v>
      </c>
      <c r="U19" t="s">
        <v>470</v>
      </c>
      <c r="V19" t="s">
        <v>471</v>
      </c>
      <c r="W19" t="s">
        <v>472</v>
      </c>
      <c r="X19" t="s">
        <v>473</v>
      </c>
      <c r="Y19" t="s">
        <v>474</v>
      </c>
      <c r="Z19" t="s">
        <v>475</v>
      </c>
      <c r="AA19" t="s">
        <v>476</v>
      </c>
      <c r="AB19" t="s">
        <v>477</v>
      </c>
      <c r="AC19" t="s">
        <v>478</v>
      </c>
      <c r="AD19" t="s">
        <v>479</v>
      </c>
      <c r="AE19" t="s">
        <v>480</v>
      </c>
      <c r="AF19" t="s">
        <v>74</v>
      </c>
      <c r="AG19">
        <v>93</v>
      </c>
      <c r="AH19">
        <v>229</v>
      </c>
      <c r="AI19">
        <v>244</v>
      </c>
      <c r="AJ19">
        <v>15</v>
      </c>
      <c r="AK19">
        <v>192</v>
      </c>
      <c r="AL19" t="s">
        <v>481</v>
      </c>
      <c r="AM19" t="s">
        <v>329</v>
      </c>
      <c r="AN19" t="s">
        <v>482</v>
      </c>
      <c r="AO19" t="s">
        <v>483</v>
      </c>
      <c r="AP19" t="s">
        <v>484</v>
      </c>
      <c r="AQ19" t="s">
        <v>74</v>
      </c>
      <c r="AR19" t="s">
        <v>485</v>
      </c>
      <c r="AS19" t="s">
        <v>486</v>
      </c>
      <c r="AT19" t="s">
        <v>131</v>
      </c>
      <c r="AU19">
        <v>2019</v>
      </c>
      <c r="AV19">
        <v>34</v>
      </c>
      <c r="AW19">
        <v>5</v>
      </c>
      <c r="AX19" t="s">
        <v>74</v>
      </c>
      <c r="AY19" t="s">
        <v>74</v>
      </c>
      <c r="AZ19" t="s">
        <v>74</v>
      </c>
      <c r="BA19" t="s">
        <v>74</v>
      </c>
      <c r="BB19">
        <v>459</v>
      </c>
      <c r="BC19">
        <v>473</v>
      </c>
      <c r="BD19" t="s">
        <v>74</v>
      </c>
      <c r="BE19" t="s">
        <v>487</v>
      </c>
      <c r="BF19" t="str">
        <f>HYPERLINK("http://dx.doi.org/10.1016/j.tree.2019.01.009","http://dx.doi.org/10.1016/j.tree.2019.01.009")</f>
        <v>http://dx.doi.org/10.1016/j.tree.2019.01.009</v>
      </c>
      <c r="BG19" t="s">
        <v>74</v>
      </c>
      <c r="BH19" t="s">
        <v>74</v>
      </c>
      <c r="BI19">
        <v>15</v>
      </c>
      <c r="BJ19" t="s">
        <v>488</v>
      </c>
      <c r="BK19" t="s">
        <v>337</v>
      </c>
      <c r="BL19" t="s">
        <v>489</v>
      </c>
      <c r="BM19" t="s">
        <v>490</v>
      </c>
      <c r="BN19">
        <v>30879872</v>
      </c>
      <c r="BO19" t="s">
        <v>491</v>
      </c>
      <c r="BP19" t="s">
        <v>105</v>
      </c>
      <c r="BQ19" t="s">
        <v>106</v>
      </c>
      <c r="BR19" t="s">
        <v>107</v>
      </c>
      <c r="BS19" t="s">
        <v>492</v>
      </c>
      <c r="BT19" t="str">
        <f>HYPERLINK("https%3A%2F%2Fwww.webofscience.com%2Fwos%2Fwoscc%2Ffull-record%2FWOS:000464931300011","View Full Record in Web of Science")</f>
        <v>View Full Record in Web of Science</v>
      </c>
    </row>
    <row r="20" spans="1:72" x14ac:dyDescent="0.15">
      <c r="A20" t="s">
        <v>72</v>
      </c>
      <c r="B20" t="s">
        <v>493</v>
      </c>
      <c r="C20" t="s">
        <v>74</v>
      </c>
      <c r="D20" t="s">
        <v>74</v>
      </c>
      <c r="E20" t="s">
        <v>74</v>
      </c>
      <c r="F20" t="s">
        <v>494</v>
      </c>
      <c r="G20" t="s">
        <v>74</v>
      </c>
      <c r="H20" t="s">
        <v>74</v>
      </c>
      <c r="I20" t="s">
        <v>495</v>
      </c>
      <c r="J20" t="s">
        <v>496</v>
      </c>
      <c r="K20" t="s">
        <v>74</v>
      </c>
      <c r="L20" t="s">
        <v>74</v>
      </c>
      <c r="M20" t="s">
        <v>78</v>
      </c>
      <c r="N20" t="s">
        <v>79</v>
      </c>
      <c r="O20" t="s">
        <v>74</v>
      </c>
      <c r="P20" t="s">
        <v>74</v>
      </c>
      <c r="Q20" t="s">
        <v>74</v>
      </c>
      <c r="R20" t="s">
        <v>74</v>
      </c>
      <c r="S20" t="s">
        <v>74</v>
      </c>
      <c r="T20" t="s">
        <v>497</v>
      </c>
      <c r="U20" t="s">
        <v>498</v>
      </c>
      <c r="V20" t="s">
        <v>499</v>
      </c>
      <c r="W20" t="s">
        <v>500</v>
      </c>
      <c r="X20" t="s">
        <v>501</v>
      </c>
      <c r="Y20" t="s">
        <v>502</v>
      </c>
      <c r="Z20" t="s">
        <v>503</v>
      </c>
      <c r="AA20" t="s">
        <v>504</v>
      </c>
      <c r="AB20" t="s">
        <v>505</v>
      </c>
      <c r="AC20" t="s">
        <v>506</v>
      </c>
      <c r="AD20" t="s">
        <v>507</v>
      </c>
      <c r="AE20" t="s">
        <v>508</v>
      </c>
      <c r="AF20" t="s">
        <v>74</v>
      </c>
      <c r="AG20">
        <v>279</v>
      </c>
      <c r="AH20">
        <v>31</v>
      </c>
      <c r="AI20">
        <v>37</v>
      </c>
      <c r="AJ20">
        <v>2</v>
      </c>
      <c r="AK20">
        <v>30</v>
      </c>
      <c r="AL20" t="s">
        <v>269</v>
      </c>
      <c r="AM20" t="s">
        <v>270</v>
      </c>
      <c r="AN20" t="s">
        <v>271</v>
      </c>
      <c r="AO20" t="s">
        <v>509</v>
      </c>
      <c r="AP20" t="s">
        <v>510</v>
      </c>
      <c r="AQ20" t="s">
        <v>74</v>
      </c>
      <c r="AR20" t="s">
        <v>511</v>
      </c>
      <c r="AS20" t="s">
        <v>512</v>
      </c>
      <c r="AT20" t="s">
        <v>131</v>
      </c>
      <c r="AU20">
        <v>2019</v>
      </c>
      <c r="AV20">
        <v>32</v>
      </c>
      <c r="AW20">
        <v>9</v>
      </c>
      <c r="AX20" t="s">
        <v>74</v>
      </c>
      <c r="AY20" t="s">
        <v>74</v>
      </c>
      <c r="AZ20" t="s">
        <v>74</v>
      </c>
      <c r="BA20" t="s">
        <v>74</v>
      </c>
      <c r="BB20">
        <v>2441</v>
      </c>
      <c r="BC20">
        <v>2482</v>
      </c>
      <c r="BD20" t="s">
        <v>74</v>
      </c>
      <c r="BE20" t="s">
        <v>513</v>
      </c>
      <c r="BF20" t="str">
        <f>HYPERLINK("http://dx.doi.org/10.1175/JCLI-D-18-0525.1","http://dx.doi.org/10.1175/JCLI-D-18-0525.1")</f>
        <v>http://dx.doi.org/10.1175/JCLI-D-18-0525.1</v>
      </c>
      <c r="BG20" t="s">
        <v>74</v>
      </c>
      <c r="BH20" t="s">
        <v>74</v>
      </c>
      <c r="BI20">
        <v>42</v>
      </c>
      <c r="BJ20" t="s">
        <v>133</v>
      </c>
      <c r="BK20" t="s">
        <v>102</v>
      </c>
      <c r="BL20" t="s">
        <v>133</v>
      </c>
      <c r="BM20" t="s">
        <v>514</v>
      </c>
      <c r="BN20" t="s">
        <v>74</v>
      </c>
      <c r="BO20" t="s">
        <v>515</v>
      </c>
      <c r="BP20" t="s">
        <v>74</v>
      </c>
      <c r="BQ20" t="s">
        <v>74</v>
      </c>
      <c r="BR20" t="s">
        <v>107</v>
      </c>
      <c r="BS20" t="s">
        <v>516</v>
      </c>
      <c r="BT20" t="str">
        <f>HYPERLINK("https%3A%2F%2Fwww.webofscience.com%2Fwos%2Fwoscc%2Ffull-record%2FWOS:000464467700001","View Full Record in Web of Science")</f>
        <v>View Full Record in Web of Science</v>
      </c>
    </row>
    <row r="21" spans="1:72" x14ac:dyDescent="0.15">
      <c r="A21" t="s">
        <v>72</v>
      </c>
      <c r="B21" t="s">
        <v>517</v>
      </c>
      <c r="C21" t="s">
        <v>74</v>
      </c>
      <c r="D21" t="s">
        <v>74</v>
      </c>
      <c r="E21" t="s">
        <v>74</v>
      </c>
      <c r="F21" t="s">
        <v>518</v>
      </c>
      <c r="G21" t="s">
        <v>74</v>
      </c>
      <c r="H21" t="s">
        <v>74</v>
      </c>
      <c r="I21" t="s">
        <v>519</v>
      </c>
      <c r="J21" t="s">
        <v>496</v>
      </c>
      <c r="K21" t="s">
        <v>74</v>
      </c>
      <c r="L21" t="s">
        <v>74</v>
      </c>
      <c r="M21" t="s">
        <v>78</v>
      </c>
      <c r="N21" t="s">
        <v>79</v>
      </c>
      <c r="O21" t="s">
        <v>74</v>
      </c>
      <c r="P21" t="s">
        <v>74</v>
      </c>
      <c r="Q21" t="s">
        <v>74</v>
      </c>
      <c r="R21" t="s">
        <v>74</v>
      </c>
      <c r="S21" t="s">
        <v>74</v>
      </c>
      <c r="T21" t="s">
        <v>520</v>
      </c>
      <c r="U21" t="s">
        <v>521</v>
      </c>
      <c r="V21" t="s">
        <v>522</v>
      </c>
      <c r="W21" t="s">
        <v>523</v>
      </c>
      <c r="X21" t="s">
        <v>524</v>
      </c>
      <c r="Y21" t="s">
        <v>525</v>
      </c>
      <c r="Z21" t="s">
        <v>526</v>
      </c>
      <c r="AA21" t="s">
        <v>527</v>
      </c>
      <c r="AB21" t="s">
        <v>528</v>
      </c>
      <c r="AC21" t="s">
        <v>529</v>
      </c>
      <c r="AD21" t="s">
        <v>530</v>
      </c>
      <c r="AE21" t="s">
        <v>531</v>
      </c>
      <c r="AF21" t="s">
        <v>74</v>
      </c>
      <c r="AG21">
        <v>69</v>
      </c>
      <c r="AH21">
        <v>5</v>
      </c>
      <c r="AI21">
        <v>5</v>
      </c>
      <c r="AJ21">
        <v>1</v>
      </c>
      <c r="AK21">
        <v>8</v>
      </c>
      <c r="AL21" t="s">
        <v>269</v>
      </c>
      <c r="AM21" t="s">
        <v>270</v>
      </c>
      <c r="AN21" t="s">
        <v>532</v>
      </c>
      <c r="AO21" t="s">
        <v>509</v>
      </c>
      <c r="AP21" t="s">
        <v>510</v>
      </c>
      <c r="AQ21" t="s">
        <v>74</v>
      </c>
      <c r="AR21" t="s">
        <v>511</v>
      </c>
      <c r="AS21" t="s">
        <v>512</v>
      </c>
      <c r="AT21" t="s">
        <v>131</v>
      </c>
      <c r="AU21">
        <v>2019</v>
      </c>
      <c r="AV21">
        <v>32</v>
      </c>
      <c r="AW21">
        <v>9</v>
      </c>
      <c r="AX21" t="s">
        <v>74</v>
      </c>
      <c r="AY21" t="s">
        <v>74</v>
      </c>
      <c r="AZ21" t="s">
        <v>74</v>
      </c>
      <c r="BA21" t="s">
        <v>74</v>
      </c>
      <c r="BB21">
        <v>2483</v>
      </c>
      <c r="BC21">
        <v>2495</v>
      </c>
      <c r="BD21" t="s">
        <v>74</v>
      </c>
      <c r="BE21" t="s">
        <v>533</v>
      </c>
      <c r="BF21" t="str">
        <f>HYPERLINK("http://dx.doi.org/10.1175/JCLI-D-18-0689.1","http://dx.doi.org/10.1175/JCLI-D-18-0689.1")</f>
        <v>http://dx.doi.org/10.1175/JCLI-D-18-0689.1</v>
      </c>
      <c r="BG21" t="s">
        <v>74</v>
      </c>
      <c r="BH21" t="s">
        <v>74</v>
      </c>
      <c r="BI21">
        <v>13</v>
      </c>
      <c r="BJ21" t="s">
        <v>133</v>
      </c>
      <c r="BK21" t="s">
        <v>102</v>
      </c>
      <c r="BL21" t="s">
        <v>133</v>
      </c>
      <c r="BM21" t="s">
        <v>534</v>
      </c>
      <c r="BN21" t="s">
        <v>74</v>
      </c>
      <c r="BO21" t="s">
        <v>198</v>
      </c>
      <c r="BP21" t="s">
        <v>74</v>
      </c>
      <c r="BQ21" t="s">
        <v>74</v>
      </c>
      <c r="BR21" t="s">
        <v>107</v>
      </c>
      <c r="BS21" t="s">
        <v>535</v>
      </c>
      <c r="BT21" t="str">
        <f>HYPERLINK("https%3A%2F%2Fwww.webofscience.com%2Fwos%2Fwoscc%2Ffull-record%2FWOS:000464743200001","View Full Record in Web of Science")</f>
        <v>View Full Record in Web of Science</v>
      </c>
    </row>
    <row r="22" spans="1:72" x14ac:dyDescent="0.15">
      <c r="A22" t="s">
        <v>72</v>
      </c>
      <c r="B22" t="s">
        <v>536</v>
      </c>
      <c r="C22" t="s">
        <v>74</v>
      </c>
      <c r="D22" t="s">
        <v>74</v>
      </c>
      <c r="E22" t="s">
        <v>74</v>
      </c>
      <c r="F22" t="s">
        <v>537</v>
      </c>
      <c r="G22" t="s">
        <v>74</v>
      </c>
      <c r="H22" t="s">
        <v>74</v>
      </c>
      <c r="I22" t="s">
        <v>538</v>
      </c>
      <c r="J22" t="s">
        <v>539</v>
      </c>
      <c r="K22" t="s">
        <v>74</v>
      </c>
      <c r="L22" t="s">
        <v>74</v>
      </c>
      <c r="M22" t="s">
        <v>78</v>
      </c>
      <c r="N22" t="s">
        <v>79</v>
      </c>
      <c r="O22" t="s">
        <v>74</v>
      </c>
      <c r="P22" t="s">
        <v>74</v>
      </c>
      <c r="Q22" t="s">
        <v>74</v>
      </c>
      <c r="R22" t="s">
        <v>74</v>
      </c>
      <c r="S22" t="s">
        <v>74</v>
      </c>
      <c r="T22" t="s">
        <v>74</v>
      </c>
      <c r="U22" t="s">
        <v>540</v>
      </c>
      <c r="V22" t="s">
        <v>541</v>
      </c>
      <c r="W22" t="s">
        <v>542</v>
      </c>
      <c r="X22" t="s">
        <v>543</v>
      </c>
      <c r="Y22" t="s">
        <v>544</v>
      </c>
      <c r="Z22" t="s">
        <v>545</v>
      </c>
      <c r="AA22" t="s">
        <v>546</v>
      </c>
      <c r="AB22" t="s">
        <v>547</v>
      </c>
      <c r="AC22" t="s">
        <v>548</v>
      </c>
      <c r="AD22" t="s">
        <v>548</v>
      </c>
      <c r="AE22" t="s">
        <v>549</v>
      </c>
      <c r="AF22" t="s">
        <v>74</v>
      </c>
      <c r="AG22">
        <v>125</v>
      </c>
      <c r="AH22">
        <v>1</v>
      </c>
      <c r="AI22">
        <v>1</v>
      </c>
      <c r="AJ22">
        <v>1</v>
      </c>
      <c r="AK22">
        <v>10</v>
      </c>
      <c r="AL22" t="s">
        <v>550</v>
      </c>
      <c r="AM22" t="s">
        <v>551</v>
      </c>
      <c r="AN22" t="s">
        <v>552</v>
      </c>
      <c r="AO22" t="s">
        <v>553</v>
      </c>
      <c r="AP22" t="s">
        <v>554</v>
      </c>
      <c r="AQ22" t="s">
        <v>74</v>
      </c>
      <c r="AR22" t="s">
        <v>555</v>
      </c>
      <c r="AS22" t="s">
        <v>556</v>
      </c>
      <c r="AT22" t="s">
        <v>131</v>
      </c>
      <c r="AU22">
        <v>2019</v>
      </c>
      <c r="AV22">
        <v>166</v>
      </c>
      <c r="AW22">
        <v>5</v>
      </c>
      <c r="AX22" t="s">
        <v>74</v>
      </c>
      <c r="AY22" t="s">
        <v>74</v>
      </c>
      <c r="AZ22" t="s">
        <v>74</v>
      </c>
      <c r="BA22" t="s">
        <v>74</v>
      </c>
      <c r="BB22" t="s">
        <v>74</v>
      </c>
      <c r="BC22" t="s">
        <v>74</v>
      </c>
      <c r="BD22">
        <v>61</v>
      </c>
      <c r="BE22" t="s">
        <v>557</v>
      </c>
      <c r="BF22" t="str">
        <f>HYPERLINK("http://dx.doi.org/10.1007/s00227-019-3509-1","http://dx.doi.org/10.1007/s00227-019-3509-1")</f>
        <v>http://dx.doi.org/10.1007/s00227-019-3509-1</v>
      </c>
      <c r="BG22" t="s">
        <v>74</v>
      </c>
      <c r="BH22" t="s">
        <v>74</v>
      </c>
      <c r="BI22">
        <v>16</v>
      </c>
      <c r="BJ22" t="s">
        <v>558</v>
      </c>
      <c r="BK22" t="s">
        <v>102</v>
      </c>
      <c r="BL22" t="s">
        <v>558</v>
      </c>
      <c r="BM22" t="s">
        <v>559</v>
      </c>
      <c r="BN22" t="s">
        <v>74</v>
      </c>
      <c r="BO22" t="s">
        <v>74</v>
      </c>
      <c r="BP22" t="s">
        <v>74</v>
      </c>
      <c r="BQ22" t="s">
        <v>74</v>
      </c>
      <c r="BR22" t="s">
        <v>107</v>
      </c>
      <c r="BS22" t="s">
        <v>560</v>
      </c>
      <c r="BT22" t="str">
        <f>HYPERLINK("https%3A%2F%2Fwww.webofscience.com%2Fwos%2Fwoscc%2Ffull-record%2FWOS:000464843800001","View Full Record in Web of Science")</f>
        <v>View Full Record in Web of Science</v>
      </c>
    </row>
    <row r="23" spans="1:72" x14ac:dyDescent="0.15">
      <c r="A23" t="s">
        <v>72</v>
      </c>
      <c r="B23" t="s">
        <v>561</v>
      </c>
      <c r="C23" t="s">
        <v>74</v>
      </c>
      <c r="D23" t="s">
        <v>74</v>
      </c>
      <c r="E23" t="s">
        <v>74</v>
      </c>
      <c r="F23" t="s">
        <v>562</v>
      </c>
      <c r="G23" t="s">
        <v>74</v>
      </c>
      <c r="H23" t="s">
        <v>74</v>
      </c>
      <c r="I23" t="s">
        <v>563</v>
      </c>
      <c r="J23" t="s">
        <v>564</v>
      </c>
      <c r="K23" t="s">
        <v>74</v>
      </c>
      <c r="L23" t="s">
        <v>74</v>
      </c>
      <c r="M23" t="s">
        <v>78</v>
      </c>
      <c r="N23" t="s">
        <v>79</v>
      </c>
      <c r="O23" t="s">
        <v>74</v>
      </c>
      <c r="P23" t="s">
        <v>74</v>
      </c>
      <c r="Q23" t="s">
        <v>74</v>
      </c>
      <c r="R23" t="s">
        <v>74</v>
      </c>
      <c r="S23" t="s">
        <v>74</v>
      </c>
      <c r="T23" t="s">
        <v>565</v>
      </c>
      <c r="U23" t="s">
        <v>566</v>
      </c>
      <c r="V23" t="s">
        <v>567</v>
      </c>
      <c r="W23" t="s">
        <v>568</v>
      </c>
      <c r="X23" t="s">
        <v>569</v>
      </c>
      <c r="Y23" t="s">
        <v>570</v>
      </c>
      <c r="Z23" t="s">
        <v>571</v>
      </c>
      <c r="AA23" t="s">
        <v>572</v>
      </c>
      <c r="AB23" t="s">
        <v>573</v>
      </c>
      <c r="AC23" t="s">
        <v>574</v>
      </c>
      <c r="AD23" t="s">
        <v>574</v>
      </c>
      <c r="AE23" t="s">
        <v>575</v>
      </c>
      <c r="AF23" t="s">
        <v>74</v>
      </c>
      <c r="AG23">
        <v>39</v>
      </c>
      <c r="AH23">
        <v>27</v>
      </c>
      <c r="AI23">
        <v>27</v>
      </c>
      <c r="AJ23">
        <v>0</v>
      </c>
      <c r="AK23">
        <v>8</v>
      </c>
      <c r="AL23" t="s">
        <v>576</v>
      </c>
      <c r="AM23" t="s">
        <v>577</v>
      </c>
      <c r="AN23" t="s">
        <v>578</v>
      </c>
      <c r="AO23" t="s">
        <v>579</v>
      </c>
      <c r="AP23" t="s">
        <v>580</v>
      </c>
      <c r="AQ23" t="s">
        <v>74</v>
      </c>
      <c r="AR23" t="s">
        <v>581</v>
      </c>
      <c r="AS23" t="s">
        <v>582</v>
      </c>
      <c r="AT23" t="s">
        <v>131</v>
      </c>
      <c r="AU23">
        <v>2019</v>
      </c>
      <c r="AV23">
        <v>171</v>
      </c>
      <c r="AW23">
        <v>2</v>
      </c>
      <c r="AX23" t="s">
        <v>74</v>
      </c>
      <c r="AY23" t="s">
        <v>74</v>
      </c>
      <c r="AZ23" t="s">
        <v>74</v>
      </c>
      <c r="BA23" t="s">
        <v>74</v>
      </c>
      <c r="BB23">
        <v>151</v>
      </c>
      <c r="BC23">
        <v>173</v>
      </c>
      <c r="BD23" t="s">
        <v>74</v>
      </c>
      <c r="BE23" t="s">
        <v>583</v>
      </c>
      <c r="BF23" t="str">
        <f>HYPERLINK("http://dx.doi.org/10.1007/s10546-019-00426-7","http://dx.doi.org/10.1007/s10546-019-00426-7")</f>
        <v>http://dx.doi.org/10.1007/s10546-019-00426-7</v>
      </c>
      <c r="BG23" t="s">
        <v>74</v>
      </c>
      <c r="BH23" t="s">
        <v>74</v>
      </c>
      <c r="BI23">
        <v>23</v>
      </c>
      <c r="BJ23" t="s">
        <v>133</v>
      </c>
      <c r="BK23" t="s">
        <v>102</v>
      </c>
      <c r="BL23" t="s">
        <v>133</v>
      </c>
      <c r="BM23" t="s">
        <v>584</v>
      </c>
      <c r="BN23" t="s">
        <v>74</v>
      </c>
      <c r="BO23" t="s">
        <v>74</v>
      </c>
      <c r="BP23" t="s">
        <v>74</v>
      </c>
      <c r="BQ23" t="s">
        <v>74</v>
      </c>
      <c r="BR23" t="s">
        <v>107</v>
      </c>
      <c r="BS23" t="s">
        <v>585</v>
      </c>
      <c r="BT23" t="str">
        <f>HYPERLINK("https%3A%2F%2Fwww.webofscience.com%2Fwos%2Fwoscc%2Ffull-record%2FWOS:000463665400001","View Full Record in Web of Science")</f>
        <v>View Full Record in Web of Science</v>
      </c>
    </row>
    <row r="24" spans="1:72" x14ac:dyDescent="0.15">
      <c r="A24" t="s">
        <v>72</v>
      </c>
      <c r="B24" t="s">
        <v>586</v>
      </c>
      <c r="C24" t="s">
        <v>74</v>
      </c>
      <c r="D24" t="s">
        <v>74</v>
      </c>
      <c r="E24" t="s">
        <v>74</v>
      </c>
      <c r="F24" t="s">
        <v>587</v>
      </c>
      <c r="G24" t="s">
        <v>74</v>
      </c>
      <c r="H24" t="s">
        <v>74</v>
      </c>
      <c r="I24" t="s">
        <v>588</v>
      </c>
      <c r="J24" t="s">
        <v>589</v>
      </c>
      <c r="K24" t="s">
        <v>74</v>
      </c>
      <c r="L24" t="s">
        <v>74</v>
      </c>
      <c r="M24" t="s">
        <v>78</v>
      </c>
      <c r="N24" t="s">
        <v>590</v>
      </c>
      <c r="O24" t="s">
        <v>591</v>
      </c>
      <c r="P24" t="s">
        <v>592</v>
      </c>
      <c r="Q24" t="s">
        <v>593</v>
      </c>
      <c r="R24" t="s">
        <v>74</v>
      </c>
      <c r="S24" t="s">
        <v>74</v>
      </c>
      <c r="T24" t="s">
        <v>594</v>
      </c>
      <c r="U24" t="s">
        <v>595</v>
      </c>
      <c r="V24" t="s">
        <v>596</v>
      </c>
      <c r="W24" t="s">
        <v>597</v>
      </c>
      <c r="X24" t="s">
        <v>598</v>
      </c>
      <c r="Y24" t="s">
        <v>599</v>
      </c>
      <c r="Z24" t="s">
        <v>600</v>
      </c>
      <c r="AA24" t="s">
        <v>601</v>
      </c>
      <c r="AB24" t="s">
        <v>602</v>
      </c>
      <c r="AC24" t="s">
        <v>603</v>
      </c>
      <c r="AD24" t="s">
        <v>604</v>
      </c>
      <c r="AE24" t="s">
        <v>605</v>
      </c>
      <c r="AF24" t="s">
        <v>74</v>
      </c>
      <c r="AG24">
        <v>73</v>
      </c>
      <c r="AH24">
        <v>48</v>
      </c>
      <c r="AI24">
        <v>51</v>
      </c>
      <c r="AJ24">
        <v>0</v>
      </c>
      <c r="AK24">
        <v>53</v>
      </c>
      <c r="AL24" t="s">
        <v>606</v>
      </c>
      <c r="AM24" t="s">
        <v>607</v>
      </c>
      <c r="AN24" t="s">
        <v>608</v>
      </c>
      <c r="AO24" t="s">
        <v>609</v>
      </c>
      <c r="AP24" t="s">
        <v>610</v>
      </c>
      <c r="AQ24" t="s">
        <v>74</v>
      </c>
      <c r="AR24" t="s">
        <v>611</v>
      </c>
      <c r="AS24" t="s">
        <v>612</v>
      </c>
      <c r="AT24" t="s">
        <v>131</v>
      </c>
      <c r="AU24">
        <v>2019</v>
      </c>
      <c r="AV24">
        <v>231</v>
      </c>
      <c r="AW24" t="s">
        <v>74</v>
      </c>
      <c r="AX24" t="s">
        <v>74</v>
      </c>
      <c r="AY24" t="s">
        <v>74</v>
      </c>
      <c r="AZ24" t="s">
        <v>74</v>
      </c>
      <c r="BA24" t="s">
        <v>74</v>
      </c>
      <c r="BB24">
        <v>30</v>
      </c>
      <c r="BC24">
        <v>38</v>
      </c>
      <c r="BD24" t="s">
        <v>74</v>
      </c>
      <c r="BE24" t="s">
        <v>613</v>
      </c>
      <c r="BF24" t="str">
        <f>HYPERLINK("http://dx.doi.org/10.1016/j.cbpa.2019.01.012","http://dx.doi.org/10.1016/j.cbpa.2019.01.012")</f>
        <v>http://dx.doi.org/10.1016/j.cbpa.2019.01.012</v>
      </c>
      <c r="BG24" t="s">
        <v>74</v>
      </c>
      <c r="BH24" t="s">
        <v>74</v>
      </c>
      <c r="BI24">
        <v>9</v>
      </c>
      <c r="BJ24" t="s">
        <v>614</v>
      </c>
      <c r="BK24" t="s">
        <v>615</v>
      </c>
      <c r="BL24" t="s">
        <v>614</v>
      </c>
      <c r="BM24" t="s">
        <v>616</v>
      </c>
      <c r="BN24">
        <v>30690152</v>
      </c>
      <c r="BO24" t="s">
        <v>74</v>
      </c>
      <c r="BP24" t="s">
        <v>74</v>
      </c>
      <c r="BQ24" t="s">
        <v>74</v>
      </c>
      <c r="BR24" t="s">
        <v>107</v>
      </c>
      <c r="BS24" t="s">
        <v>617</v>
      </c>
      <c r="BT24" t="str">
        <f>HYPERLINK("https%3A%2F%2Fwww.webofscience.com%2Fwos%2Fwoscc%2Ffull-record%2FWOS:000463312300004","View Full Record in Web of Science")</f>
        <v>View Full Record in Web of Science</v>
      </c>
    </row>
    <row r="25" spans="1:72" x14ac:dyDescent="0.15">
      <c r="A25" t="s">
        <v>72</v>
      </c>
      <c r="B25" t="s">
        <v>618</v>
      </c>
      <c r="C25" t="s">
        <v>74</v>
      </c>
      <c r="D25" t="s">
        <v>74</v>
      </c>
      <c r="E25" t="s">
        <v>74</v>
      </c>
      <c r="F25" t="s">
        <v>619</v>
      </c>
      <c r="G25" t="s">
        <v>74</v>
      </c>
      <c r="H25" t="s">
        <v>74</v>
      </c>
      <c r="I25" t="s">
        <v>620</v>
      </c>
      <c r="J25" t="s">
        <v>621</v>
      </c>
      <c r="K25" t="s">
        <v>74</v>
      </c>
      <c r="L25" t="s">
        <v>74</v>
      </c>
      <c r="M25" t="s">
        <v>78</v>
      </c>
      <c r="N25" t="s">
        <v>79</v>
      </c>
      <c r="O25" t="s">
        <v>74</v>
      </c>
      <c r="P25" t="s">
        <v>74</v>
      </c>
      <c r="Q25" t="s">
        <v>74</v>
      </c>
      <c r="R25" t="s">
        <v>74</v>
      </c>
      <c r="S25" t="s">
        <v>74</v>
      </c>
      <c r="T25" t="s">
        <v>622</v>
      </c>
      <c r="U25" t="s">
        <v>623</v>
      </c>
      <c r="V25" t="s">
        <v>624</v>
      </c>
      <c r="W25" t="s">
        <v>625</v>
      </c>
      <c r="X25" t="s">
        <v>626</v>
      </c>
      <c r="Y25" t="s">
        <v>627</v>
      </c>
      <c r="Z25" t="s">
        <v>628</v>
      </c>
      <c r="AA25" t="s">
        <v>629</v>
      </c>
      <c r="AB25" t="s">
        <v>630</v>
      </c>
      <c r="AC25" t="s">
        <v>631</v>
      </c>
      <c r="AD25" t="s">
        <v>632</v>
      </c>
      <c r="AE25" t="s">
        <v>633</v>
      </c>
      <c r="AF25" t="s">
        <v>74</v>
      </c>
      <c r="AG25">
        <v>58</v>
      </c>
      <c r="AH25">
        <v>20</v>
      </c>
      <c r="AI25">
        <v>24</v>
      </c>
      <c r="AJ25">
        <v>0</v>
      </c>
      <c r="AK25">
        <v>19</v>
      </c>
      <c r="AL25" t="s">
        <v>634</v>
      </c>
      <c r="AM25" t="s">
        <v>635</v>
      </c>
      <c r="AN25" t="s">
        <v>636</v>
      </c>
      <c r="AO25" t="s">
        <v>637</v>
      </c>
      <c r="AP25" t="s">
        <v>638</v>
      </c>
      <c r="AQ25" t="s">
        <v>74</v>
      </c>
      <c r="AR25" t="s">
        <v>639</v>
      </c>
      <c r="AS25" t="s">
        <v>640</v>
      </c>
      <c r="AT25" t="s">
        <v>641</v>
      </c>
      <c r="AU25">
        <v>2019</v>
      </c>
      <c r="AV25">
        <v>513</v>
      </c>
      <c r="AW25" t="s">
        <v>74</v>
      </c>
      <c r="AX25" t="s">
        <v>74</v>
      </c>
      <c r="AY25" t="s">
        <v>74</v>
      </c>
      <c r="AZ25" t="s">
        <v>74</v>
      </c>
      <c r="BA25" t="s">
        <v>74</v>
      </c>
      <c r="BB25">
        <v>40</v>
      </c>
      <c r="BC25">
        <v>50</v>
      </c>
      <c r="BD25" t="s">
        <v>74</v>
      </c>
      <c r="BE25" t="s">
        <v>642</v>
      </c>
      <c r="BF25" t="str">
        <f>HYPERLINK("http://dx.doi.org/10.1016/j.epsl.2019.02.013","http://dx.doi.org/10.1016/j.epsl.2019.02.013")</f>
        <v>http://dx.doi.org/10.1016/j.epsl.2019.02.013</v>
      </c>
      <c r="BG25" t="s">
        <v>74</v>
      </c>
      <c r="BH25" t="s">
        <v>74</v>
      </c>
      <c r="BI25">
        <v>11</v>
      </c>
      <c r="BJ25" t="s">
        <v>643</v>
      </c>
      <c r="BK25" t="s">
        <v>102</v>
      </c>
      <c r="BL25" t="s">
        <v>643</v>
      </c>
      <c r="BM25" t="s">
        <v>644</v>
      </c>
      <c r="BN25" t="s">
        <v>74</v>
      </c>
      <c r="BO25" t="s">
        <v>645</v>
      </c>
      <c r="BP25" t="s">
        <v>74</v>
      </c>
      <c r="BQ25" t="s">
        <v>74</v>
      </c>
      <c r="BR25" t="s">
        <v>107</v>
      </c>
      <c r="BS25" t="s">
        <v>646</v>
      </c>
      <c r="BT25" t="str">
        <f>HYPERLINK("https%3A%2F%2Fwww.webofscience.com%2Fwos%2Fwoscc%2Ffull-record%2FWOS:000463307800005","View Full Record in Web of Science")</f>
        <v>View Full Record in Web of Science</v>
      </c>
    </row>
    <row r="26" spans="1:72" x14ac:dyDescent="0.15">
      <c r="A26" t="s">
        <v>72</v>
      </c>
      <c r="B26" t="s">
        <v>647</v>
      </c>
      <c r="C26" t="s">
        <v>74</v>
      </c>
      <c r="D26" t="s">
        <v>74</v>
      </c>
      <c r="E26" t="s">
        <v>74</v>
      </c>
      <c r="F26" t="s">
        <v>648</v>
      </c>
      <c r="G26" t="s">
        <v>74</v>
      </c>
      <c r="H26" t="s">
        <v>74</v>
      </c>
      <c r="I26" t="s">
        <v>649</v>
      </c>
      <c r="J26" t="s">
        <v>621</v>
      </c>
      <c r="K26" t="s">
        <v>74</v>
      </c>
      <c r="L26" t="s">
        <v>74</v>
      </c>
      <c r="M26" t="s">
        <v>78</v>
      </c>
      <c r="N26" t="s">
        <v>79</v>
      </c>
      <c r="O26" t="s">
        <v>74</v>
      </c>
      <c r="P26" t="s">
        <v>74</v>
      </c>
      <c r="Q26" t="s">
        <v>74</v>
      </c>
      <c r="R26" t="s">
        <v>74</v>
      </c>
      <c r="S26" t="s">
        <v>74</v>
      </c>
      <c r="T26" t="s">
        <v>650</v>
      </c>
      <c r="U26" t="s">
        <v>651</v>
      </c>
      <c r="V26" t="s">
        <v>652</v>
      </c>
      <c r="W26" t="s">
        <v>653</v>
      </c>
      <c r="X26" t="s">
        <v>654</v>
      </c>
      <c r="Y26" t="s">
        <v>655</v>
      </c>
      <c r="Z26" t="s">
        <v>656</v>
      </c>
      <c r="AA26" t="s">
        <v>657</v>
      </c>
      <c r="AB26" t="s">
        <v>658</v>
      </c>
      <c r="AC26" t="s">
        <v>659</v>
      </c>
      <c r="AD26" t="s">
        <v>660</v>
      </c>
      <c r="AE26" t="s">
        <v>661</v>
      </c>
      <c r="AF26" t="s">
        <v>74</v>
      </c>
      <c r="AG26">
        <v>53</v>
      </c>
      <c r="AH26">
        <v>34</v>
      </c>
      <c r="AI26">
        <v>35</v>
      </c>
      <c r="AJ26">
        <v>1</v>
      </c>
      <c r="AK26">
        <v>54</v>
      </c>
      <c r="AL26" t="s">
        <v>662</v>
      </c>
      <c r="AM26" t="s">
        <v>635</v>
      </c>
      <c r="AN26" t="s">
        <v>663</v>
      </c>
      <c r="AO26" t="s">
        <v>637</v>
      </c>
      <c r="AP26" t="s">
        <v>638</v>
      </c>
      <c r="AQ26" t="s">
        <v>74</v>
      </c>
      <c r="AR26" t="s">
        <v>639</v>
      </c>
      <c r="AS26" t="s">
        <v>640</v>
      </c>
      <c r="AT26" t="s">
        <v>641</v>
      </c>
      <c r="AU26">
        <v>2019</v>
      </c>
      <c r="AV26">
        <v>513</v>
      </c>
      <c r="AW26" t="s">
        <v>74</v>
      </c>
      <c r="AX26" t="s">
        <v>74</v>
      </c>
      <c r="AY26" t="s">
        <v>74</v>
      </c>
      <c r="AZ26" t="s">
        <v>74</v>
      </c>
      <c r="BA26" t="s">
        <v>74</v>
      </c>
      <c r="BB26">
        <v>103</v>
      </c>
      <c r="BC26">
        <v>112</v>
      </c>
      <c r="BD26" t="s">
        <v>74</v>
      </c>
      <c r="BE26" t="s">
        <v>664</v>
      </c>
      <c r="BF26" t="str">
        <f>HYPERLINK("http://dx.doi.org/10.1016/j.epsl.2019.01.045","http://dx.doi.org/10.1016/j.epsl.2019.01.045")</f>
        <v>http://dx.doi.org/10.1016/j.epsl.2019.01.045</v>
      </c>
      <c r="BG26" t="s">
        <v>74</v>
      </c>
      <c r="BH26" t="s">
        <v>74</v>
      </c>
      <c r="BI26">
        <v>10</v>
      </c>
      <c r="BJ26" t="s">
        <v>643</v>
      </c>
      <c r="BK26" t="s">
        <v>102</v>
      </c>
      <c r="BL26" t="s">
        <v>643</v>
      </c>
      <c r="BM26" t="s">
        <v>644</v>
      </c>
      <c r="BN26" t="s">
        <v>74</v>
      </c>
      <c r="BO26" t="s">
        <v>198</v>
      </c>
      <c r="BP26" t="s">
        <v>74</v>
      </c>
      <c r="BQ26" t="s">
        <v>74</v>
      </c>
      <c r="BR26" t="s">
        <v>107</v>
      </c>
      <c r="BS26" t="s">
        <v>665</v>
      </c>
      <c r="BT26" t="str">
        <f>HYPERLINK("https%3A%2F%2Fwww.webofscience.com%2Fwos%2Fwoscc%2Ffull-record%2FWOS:000463307800011","View Full Record in Web of Science")</f>
        <v>View Full Record in Web of Science</v>
      </c>
    </row>
    <row r="27" spans="1:72" x14ac:dyDescent="0.15">
      <c r="A27" t="s">
        <v>72</v>
      </c>
      <c r="B27" t="s">
        <v>666</v>
      </c>
      <c r="C27" t="s">
        <v>74</v>
      </c>
      <c r="D27" t="s">
        <v>74</v>
      </c>
      <c r="E27" t="s">
        <v>74</v>
      </c>
      <c r="F27" t="s">
        <v>667</v>
      </c>
      <c r="G27" t="s">
        <v>74</v>
      </c>
      <c r="H27" t="s">
        <v>74</v>
      </c>
      <c r="I27" t="s">
        <v>668</v>
      </c>
      <c r="J27" t="s">
        <v>669</v>
      </c>
      <c r="K27" t="s">
        <v>74</v>
      </c>
      <c r="L27" t="s">
        <v>74</v>
      </c>
      <c r="M27" t="s">
        <v>78</v>
      </c>
      <c r="N27" t="s">
        <v>79</v>
      </c>
      <c r="O27" t="s">
        <v>74</v>
      </c>
      <c r="P27" t="s">
        <v>74</v>
      </c>
      <c r="Q27" t="s">
        <v>74</v>
      </c>
      <c r="R27" t="s">
        <v>74</v>
      </c>
      <c r="S27" t="s">
        <v>74</v>
      </c>
      <c r="T27" t="s">
        <v>670</v>
      </c>
      <c r="U27" t="s">
        <v>671</v>
      </c>
      <c r="V27" t="s">
        <v>672</v>
      </c>
      <c r="W27" t="s">
        <v>673</v>
      </c>
      <c r="X27" t="s">
        <v>674</v>
      </c>
      <c r="Y27" t="s">
        <v>675</v>
      </c>
      <c r="Z27" t="s">
        <v>676</v>
      </c>
      <c r="AA27" t="s">
        <v>677</v>
      </c>
      <c r="AB27" t="s">
        <v>678</v>
      </c>
      <c r="AC27" t="s">
        <v>679</v>
      </c>
      <c r="AD27" t="s">
        <v>680</v>
      </c>
      <c r="AE27" t="s">
        <v>681</v>
      </c>
      <c r="AF27" t="s">
        <v>74</v>
      </c>
      <c r="AG27">
        <v>52</v>
      </c>
      <c r="AH27">
        <v>3</v>
      </c>
      <c r="AI27">
        <v>3</v>
      </c>
      <c r="AJ27">
        <v>1</v>
      </c>
      <c r="AK27">
        <v>18</v>
      </c>
      <c r="AL27" t="s">
        <v>606</v>
      </c>
      <c r="AM27" t="s">
        <v>607</v>
      </c>
      <c r="AN27" t="s">
        <v>608</v>
      </c>
      <c r="AO27" t="s">
        <v>682</v>
      </c>
      <c r="AP27" t="s">
        <v>683</v>
      </c>
      <c r="AQ27" t="s">
        <v>74</v>
      </c>
      <c r="AR27" t="s">
        <v>684</v>
      </c>
      <c r="AS27" t="s">
        <v>685</v>
      </c>
      <c r="AT27" t="s">
        <v>131</v>
      </c>
      <c r="AU27">
        <v>2019</v>
      </c>
      <c r="AV27">
        <v>231</v>
      </c>
      <c r="AW27" t="s">
        <v>74</v>
      </c>
      <c r="AX27" t="s">
        <v>74</v>
      </c>
      <c r="AY27" t="s">
        <v>74</v>
      </c>
      <c r="AZ27" t="s">
        <v>74</v>
      </c>
      <c r="BA27" t="s">
        <v>74</v>
      </c>
      <c r="BB27">
        <v>52</v>
      </c>
      <c r="BC27">
        <v>58</v>
      </c>
      <c r="BD27" t="s">
        <v>74</v>
      </c>
      <c r="BE27" t="s">
        <v>686</v>
      </c>
      <c r="BF27" t="str">
        <f>HYPERLINK("http://dx.doi.org/10.1016/j.cbpb.2019.01.014","http://dx.doi.org/10.1016/j.cbpb.2019.01.014")</f>
        <v>http://dx.doi.org/10.1016/j.cbpb.2019.01.014</v>
      </c>
      <c r="BG27" t="s">
        <v>74</v>
      </c>
      <c r="BH27" t="s">
        <v>74</v>
      </c>
      <c r="BI27">
        <v>7</v>
      </c>
      <c r="BJ27" t="s">
        <v>687</v>
      </c>
      <c r="BK27" t="s">
        <v>102</v>
      </c>
      <c r="BL27" t="s">
        <v>687</v>
      </c>
      <c r="BM27" t="s">
        <v>688</v>
      </c>
      <c r="BN27">
        <v>30776436</v>
      </c>
      <c r="BO27" t="s">
        <v>74</v>
      </c>
      <c r="BP27" t="s">
        <v>74</v>
      </c>
      <c r="BQ27" t="s">
        <v>74</v>
      </c>
      <c r="BR27" t="s">
        <v>107</v>
      </c>
      <c r="BS27" t="s">
        <v>689</v>
      </c>
      <c r="BT27" t="str">
        <f>HYPERLINK("https%3A%2F%2Fwww.webofscience.com%2Fwos%2Fwoscc%2Ffull-record%2FWOS:000463304600007","View Full Record in Web of Science")</f>
        <v>View Full Record in Web of Science</v>
      </c>
    </row>
    <row r="28" spans="1:72" x14ac:dyDescent="0.15">
      <c r="A28" t="s">
        <v>72</v>
      </c>
      <c r="B28" t="s">
        <v>690</v>
      </c>
      <c r="C28" t="s">
        <v>74</v>
      </c>
      <c r="D28" t="s">
        <v>74</v>
      </c>
      <c r="E28" t="s">
        <v>74</v>
      </c>
      <c r="F28" t="s">
        <v>691</v>
      </c>
      <c r="G28" t="s">
        <v>74</v>
      </c>
      <c r="H28" t="s">
        <v>74</v>
      </c>
      <c r="I28" t="s">
        <v>692</v>
      </c>
      <c r="J28" t="s">
        <v>539</v>
      </c>
      <c r="K28" t="s">
        <v>74</v>
      </c>
      <c r="L28" t="s">
        <v>74</v>
      </c>
      <c r="M28" t="s">
        <v>78</v>
      </c>
      <c r="N28" t="s">
        <v>79</v>
      </c>
      <c r="O28" t="s">
        <v>74</v>
      </c>
      <c r="P28" t="s">
        <v>74</v>
      </c>
      <c r="Q28" t="s">
        <v>74</v>
      </c>
      <c r="R28" t="s">
        <v>74</v>
      </c>
      <c r="S28" t="s">
        <v>74</v>
      </c>
      <c r="T28" t="s">
        <v>74</v>
      </c>
      <c r="U28" t="s">
        <v>693</v>
      </c>
      <c r="V28" t="s">
        <v>694</v>
      </c>
      <c r="W28" t="s">
        <v>695</v>
      </c>
      <c r="X28" t="s">
        <v>696</v>
      </c>
      <c r="Y28" t="s">
        <v>697</v>
      </c>
      <c r="Z28" t="s">
        <v>698</v>
      </c>
      <c r="AA28" t="s">
        <v>74</v>
      </c>
      <c r="AB28" t="s">
        <v>699</v>
      </c>
      <c r="AC28" t="s">
        <v>700</v>
      </c>
      <c r="AD28" t="s">
        <v>701</v>
      </c>
      <c r="AE28" t="s">
        <v>702</v>
      </c>
      <c r="AF28" t="s">
        <v>74</v>
      </c>
      <c r="AG28">
        <v>68</v>
      </c>
      <c r="AH28">
        <v>10</v>
      </c>
      <c r="AI28">
        <v>11</v>
      </c>
      <c r="AJ28">
        <v>1</v>
      </c>
      <c r="AK28">
        <v>16</v>
      </c>
      <c r="AL28" t="s">
        <v>550</v>
      </c>
      <c r="AM28" t="s">
        <v>551</v>
      </c>
      <c r="AN28" t="s">
        <v>552</v>
      </c>
      <c r="AO28" t="s">
        <v>553</v>
      </c>
      <c r="AP28" t="s">
        <v>554</v>
      </c>
      <c r="AQ28" t="s">
        <v>74</v>
      </c>
      <c r="AR28" t="s">
        <v>555</v>
      </c>
      <c r="AS28" t="s">
        <v>556</v>
      </c>
      <c r="AT28" t="s">
        <v>131</v>
      </c>
      <c r="AU28">
        <v>2019</v>
      </c>
      <c r="AV28">
        <v>166</v>
      </c>
      <c r="AW28">
        <v>5</v>
      </c>
      <c r="AX28" t="s">
        <v>74</v>
      </c>
      <c r="AY28" t="s">
        <v>74</v>
      </c>
      <c r="AZ28" t="s">
        <v>74</v>
      </c>
      <c r="BA28" t="s">
        <v>74</v>
      </c>
      <c r="BB28" t="s">
        <v>74</v>
      </c>
      <c r="BC28" t="s">
        <v>74</v>
      </c>
      <c r="BD28">
        <v>56</v>
      </c>
      <c r="BE28" t="s">
        <v>703</v>
      </c>
      <c r="BF28" t="str">
        <f>HYPERLINK("http://dx.doi.org/10.1007/s00227-019-3500-x","http://dx.doi.org/10.1007/s00227-019-3500-x")</f>
        <v>http://dx.doi.org/10.1007/s00227-019-3500-x</v>
      </c>
      <c r="BG28" t="s">
        <v>74</v>
      </c>
      <c r="BH28" t="s">
        <v>74</v>
      </c>
      <c r="BI28">
        <v>17</v>
      </c>
      <c r="BJ28" t="s">
        <v>558</v>
      </c>
      <c r="BK28" t="s">
        <v>102</v>
      </c>
      <c r="BL28" t="s">
        <v>558</v>
      </c>
      <c r="BM28" t="s">
        <v>704</v>
      </c>
      <c r="BN28" t="s">
        <v>74</v>
      </c>
      <c r="BO28" t="s">
        <v>74</v>
      </c>
      <c r="BP28" t="s">
        <v>74</v>
      </c>
      <c r="BQ28" t="s">
        <v>74</v>
      </c>
      <c r="BR28" t="s">
        <v>107</v>
      </c>
      <c r="BS28" t="s">
        <v>705</v>
      </c>
      <c r="BT28" t="str">
        <f>HYPERLINK("https%3A%2F%2Fwww.webofscience.com%2Fwos%2Fwoscc%2Ffull-record%2FWOS:000462935100002","View Full Record in Web of Science")</f>
        <v>View Full Record in Web of Science</v>
      </c>
    </row>
    <row r="29" spans="1:72" x14ac:dyDescent="0.15">
      <c r="A29" t="s">
        <v>72</v>
      </c>
      <c r="B29" t="s">
        <v>706</v>
      </c>
      <c r="C29" t="s">
        <v>74</v>
      </c>
      <c r="D29" t="s">
        <v>74</v>
      </c>
      <c r="E29" t="s">
        <v>74</v>
      </c>
      <c r="F29" t="s">
        <v>707</v>
      </c>
      <c r="G29" t="s">
        <v>74</v>
      </c>
      <c r="H29" t="s">
        <v>74</v>
      </c>
      <c r="I29" t="s">
        <v>708</v>
      </c>
      <c r="J29" t="s">
        <v>709</v>
      </c>
      <c r="K29" t="s">
        <v>74</v>
      </c>
      <c r="L29" t="s">
        <v>74</v>
      </c>
      <c r="M29" t="s">
        <v>78</v>
      </c>
      <c r="N29" t="s">
        <v>79</v>
      </c>
      <c r="O29" t="s">
        <v>74</v>
      </c>
      <c r="P29" t="s">
        <v>74</v>
      </c>
      <c r="Q29" t="s">
        <v>74</v>
      </c>
      <c r="R29" t="s">
        <v>74</v>
      </c>
      <c r="S29" t="s">
        <v>74</v>
      </c>
      <c r="T29" t="s">
        <v>710</v>
      </c>
      <c r="U29" t="s">
        <v>711</v>
      </c>
      <c r="V29" t="s">
        <v>712</v>
      </c>
      <c r="W29" t="s">
        <v>713</v>
      </c>
      <c r="X29" t="s">
        <v>714</v>
      </c>
      <c r="Y29" t="s">
        <v>715</v>
      </c>
      <c r="Z29" t="s">
        <v>716</v>
      </c>
      <c r="AA29" t="s">
        <v>717</v>
      </c>
      <c r="AB29" t="s">
        <v>74</v>
      </c>
      <c r="AC29" t="s">
        <v>718</v>
      </c>
      <c r="AD29" t="s">
        <v>719</v>
      </c>
      <c r="AE29" t="s">
        <v>720</v>
      </c>
      <c r="AF29" t="s">
        <v>74</v>
      </c>
      <c r="AG29">
        <v>20</v>
      </c>
      <c r="AH29">
        <v>6</v>
      </c>
      <c r="AI29">
        <v>6</v>
      </c>
      <c r="AJ29">
        <v>0</v>
      </c>
      <c r="AK29">
        <v>33</v>
      </c>
      <c r="AL29" t="s">
        <v>721</v>
      </c>
      <c r="AM29" t="s">
        <v>722</v>
      </c>
      <c r="AN29" t="s">
        <v>723</v>
      </c>
      <c r="AO29" t="s">
        <v>724</v>
      </c>
      <c r="AP29" t="s">
        <v>725</v>
      </c>
      <c r="AQ29" t="s">
        <v>74</v>
      </c>
      <c r="AR29" t="s">
        <v>726</v>
      </c>
      <c r="AS29" t="s">
        <v>727</v>
      </c>
      <c r="AT29" t="s">
        <v>131</v>
      </c>
      <c r="AU29">
        <v>2019</v>
      </c>
      <c r="AV29">
        <v>15</v>
      </c>
      <c r="AW29">
        <v>5</v>
      </c>
      <c r="AX29" t="s">
        <v>74</v>
      </c>
      <c r="AY29" t="s">
        <v>74</v>
      </c>
      <c r="AZ29" t="s">
        <v>74</v>
      </c>
      <c r="BA29" t="s">
        <v>74</v>
      </c>
      <c r="BB29">
        <v>878</v>
      </c>
      <c r="BC29">
        <v>892</v>
      </c>
      <c r="BD29" t="s">
        <v>74</v>
      </c>
      <c r="BE29" t="s">
        <v>728</v>
      </c>
      <c r="BF29" t="str">
        <f>HYPERLINK("http://dx.doi.org/10.1166/jbn.2019.2733","http://dx.doi.org/10.1166/jbn.2019.2733")</f>
        <v>http://dx.doi.org/10.1166/jbn.2019.2733</v>
      </c>
      <c r="BG29" t="s">
        <v>74</v>
      </c>
      <c r="BH29" t="s">
        <v>74</v>
      </c>
      <c r="BI29">
        <v>15</v>
      </c>
      <c r="BJ29" t="s">
        <v>729</v>
      </c>
      <c r="BK29" t="s">
        <v>102</v>
      </c>
      <c r="BL29" t="s">
        <v>730</v>
      </c>
      <c r="BM29" t="s">
        <v>731</v>
      </c>
      <c r="BN29">
        <v>30890221</v>
      </c>
      <c r="BO29" t="s">
        <v>74</v>
      </c>
      <c r="BP29" t="s">
        <v>74</v>
      </c>
      <c r="BQ29" t="s">
        <v>74</v>
      </c>
      <c r="BR29" t="s">
        <v>107</v>
      </c>
      <c r="BS29" t="s">
        <v>732</v>
      </c>
      <c r="BT29" t="str">
        <f>HYPERLINK("https%3A%2F%2Fwww.webofscience.com%2Fwos%2Fwoscc%2Ffull-record%2FWOS:000461761600002","View Full Record in Web of Science")</f>
        <v>View Full Record in Web of Science</v>
      </c>
    </row>
    <row r="30" spans="1:72" x14ac:dyDescent="0.15">
      <c r="A30" t="s">
        <v>72</v>
      </c>
      <c r="B30" t="s">
        <v>733</v>
      </c>
      <c r="C30" t="s">
        <v>74</v>
      </c>
      <c r="D30" t="s">
        <v>74</v>
      </c>
      <c r="E30" t="s">
        <v>74</v>
      </c>
      <c r="F30" t="s">
        <v>734</v>
      </c>
      <c r="G30" t="s">
        <v>74</v>
      </c>
      <c r="H30" t="s">
        <v>74</v>
      </c>
      <c r="I30" t="s">
        <v>735</v>
      </c>
      <c r="J30" t="s">
        <v>736</v>
      </c>
      <c r="K30" t="s">
        <v>74</v>
      </c>
      <c r="L30" t="s">
        <v>74</v>
      </c>
      <c r="M30" t="s">
        <v>78</v>
      </c>
      <c r="N30" t="s">
        <v>79</v>
      </c>
      <c r="O30" t="s">
        <v>74</v>
      </c>
      <c r="P30" t="s">
        <v>74</v>
      </c>
      <c r="Q30" t="s">
        <v>74</v>
      </c>
      <c r="R30" t="s">
        <v>74</v>
      </c>
      <c r="S30" t="s">
        <v>74</v>
      </c>
      <c r="T30" t="s">
        <v>737</v>
      </c>
      <c r="U30" t="s">
        <v>738</v>
      </c>
      <c r="V30" t="s">
        <v>739</v>
      </c>
      <c r="W30" t="s">
        <v>740</v>
      </c>
      <c r="X30" t="s">
        <v>741</v>
      </c>
      <c r="Y30" t="s">
        <v>742</v>
      </c>
      <c r="Z30" t="s">
        <v>743</v>
      </c>
      <c r="AA30" t="s">
        <v>74</v>
      </c>
      <c r="AB30" t="s">
        <v>744</v>
      </c>
      <c r="AC30" t="s">
        <v>745</v>
      </c>
      <c r="AD30" t="s">
        <v>746</v>
      </c>
      <c r="AE30" t="s">
        <v>747</v>
      </c>
      <c r="AF30" t="s">
        <v>74</v>
      </c>
      <c r="AG30">
        <v>102</v>
      </c>
      <c r="AH30">
        <v>58</v>
      </c>
      <c r="AI30">
        <v>61</v>
      </c>
      <c r="AJ30">
        <v>0</v>
      </c>
      <c r="AK30">
        <v>25</v>
      </c>
      <c r="AL30" t="s">
        <v>662</v>
      </c>
      <c r="AM30" t="s">
        <v>635</v>
      </c>
      <c r="AN30" t="s">
        <v>663</v>
      </c>
      <c r="AO30" t="s">
        <v>748</v>
      </c>
      <c r="AP30" t="s">
        <v>749</v>
      </c>
      <c r="AQ30" t="s">
        <v>74</v>
      </c>
      <c r="AR30" t="s">
        <v>750</v>
      </c>
      <c r="AS30" t="s">
        <v>751</v>
      </c>
      <c r="AT30" t="s">
        <v>131</v>
      </c>
      <c r="AU30">
        <v>2019</v>
      </c>
      <c r="AV30">
        <v>213</v>
      </c>
      <c r="AW30" t="s">
        <v>74</v>
      </c>
      <c r="AX30" t="s">
        <v>74</v>
      </c>
      <c r="AY30" t="s">
        <v>74</v>
      </c>
      <c r="AZ30" t="s">
        <v>74</v>
      </c>
      <c r="BA30" t="s">
        <v>74</v>
      </c>
      <c r="BB30">
        <v>132</v>
      </c>
      <c r="BC30">
        <v>143</v>
      </c>
      <c r="BD30" t="s">
        <v>74</v>
      </c>
      <c r="BE30" t="s">
        <v>752</v>
      </c>
      <c r="BF30" t="str">
        <f>HYPERLINK("http://dx.doi.org/10.1016/j.fishres.2019.01.014","http://dx.doi.org/10.1016/j.fishres.2019.01.014")</f>
        <v>http://dx.doi.org/10.1016/j.fishres.2019.01.014</v>
      </c>
      <c r="BG30" t="s">
        <v>74</v>
      </c>
      <c r="BH30" t="s">
        <v>74</v>
      </c>
      <c r="BI30">
        <v>12</v>
      </c>
      <c r="BJ30" t="s">
        <v>753</v>
      </c>
      <c r="BK30" t="s">
        <v>102</v>
      </c>
      <c r="BL30" t="s">
        <v>753</v>
      </c>
      <c r="BM30" t="s">
        <v>754</v>
      </c>
      <c r="BN30" t="s">
        <v>74</v>
      </c>
      <c r="BO30" t="s">
        <v>198</v>
      </c>
      <c r="BP30" t="s">
        <v>74</v>
      </c>
      <c r="BQ30" t="s">
        <v>74</v>
      </c>
      <c r="BR30" t="s">
        <v>107</v>
      </c>
      <c r="BS30" t="s">
        <v>755</v>
      </c>
      <c r="BT30" t="str">
        <f>HYPERLINK("https%3A%2F%2Fwww.webofscience.com%2Fwos%2Fwoscc%2Ffull-record%2FWOS:000460824700013","View Full Record in Web of Science")</f>
        <v>View Full Record in Web of Science</v>
      </c>
    </row>
    <row r="31" spans="1:72" x14ac:dyDescent="0.15">
      <c r="A31" t="s">
        <v>72</v>
      </c>
      <c r="B31" t="s">
        <v>756</v>
      </c>
      <c r="C31" t="s">
        <v>74</v>
      </c>
      <c r="D31" t="s">
        <v>74</v>
      </c>
      <c r="E31" t="s">
        <v>74</v>
      </c>
      <c r="F31" t="s">
        <v>757</v>
      </c>
      <c r="G31" t="s">
        <v>74</v>
      </c>
      <c r="H31" t="s">
        <v>74</v>
      </c>
      <c r="I31" t="s">
        <v>758</v>
      </c>
      <c r="J31" t="s">
        <v>759</v>
      </c>
      <c r="K31" t="s">
        <v>74</v>
      </c>
      <c r="L31" t="s">
        <v>74</v>
      </c>
      <c r="M31" t="s">
        <v>78</v>
      </c>
      <c r="N31" t="s">
        <v>79</v>
      </c>
      <c r="O31" t="s">
        <v>74</v>
      </c>
      <c r="P31" t="s">
        <v>74</v>
      </c>
      <c r="Q31" t="s">
        <v>74</v>
      </c>
      <c r="R31" t="s">
        <v>74</v>
      </c>
      <c r="S31" t="s">
        <v>74</v>
      </c>
      <c r="T31" t="s">
        <v>760</v>
      </c>
      <c r="U31" t="s">
        <v>761</v>
      </c>
      <c r="V31" t="s">
        <v>762</v>
      </c>
      <c r="W31" t="s">
        <v>763</v>
      </c>
      <c r="X31" t="s">
        <v>764</v>
      </c>
      <c r="Y31" t="s">
        <v>765</v>
      </c>
      <c r="Z31" t="s">
        <v>766</v>
      </c>
      <c r="AA31" t="s">
        <v>767</v>
      </c>
      <c r="AB31" t="s">
        <v>768</v>
      </c>
      <c r="AC31" t="s">
        <v>769</v>
      </c>
      <c r="AD31" t="s">
        <v>770</v>
      </c>
      <c r="AE31" t="s">
        <v>771</v>
      </c>
      <c r="AF31" t="s">
        <v>74</v>
      </c>
      <c r="AG31">
        <v>131</v>
      </c>
      <c r="AH31">
        <v>10</v>
      </c>
      <c r="AI31">
        <v>12</v>
      </c>
      <c r="AJ31">
        <v>1</v>
      </c>
      <c r="AK31">
        <v>29</v>
      </c>
      <c r="AL31" t="s">
        <v>576</v>
      </c>
      <c r="AM31" t="s">
        <v>577</v>
      </c>
      <c r="AN31" t="s">
        <v>578</v>
      </c>
      <c r="AO31" t="s">
        <v>772</v>
      </c>
      <c r="AP31" t="s">
        <v>773</v>
      </c>
      <c r="AQ31" t="s">
        <v>74</v>
      </c>
      <c r="AR31" t="s">
        <v>759</v>
      </c>
      <c r="AS31" t="s">
        <v>774</v>
      </c>
      <c r="AT31" t="s">
        <v>131</v>
      </c>
      <c r="AU31">
        <v>2019</v>
      </c>
      <c r="AV31">
        <v>833</v>
      </c>
      <c r="AW31">
        <v>1</v>
      </c>
      <c r="AX31" t="s">
        <v>74</v>
      </c>
      <c r="AY31" t="s">
        <v>74</v>
      </c>
      <c r="AZ31" t="s">
        <v>74</v>
      </c>
      <c r="BA31" t="s">
        <v>74</v>
      </c>
      <c r="BB31">
        <v>25</v>
      </c>
      <c r="BC31">
        <v>51</v>
      </c>
      <c r="BD31" t="s">
        <v>74</v>
      </c>
      <c r="BE31" t="s">
        <v>775</v>
      </c>
      <c r="BF31" t="str">
        <f>HYPERLINK("http://dx.doi.org/10.1007/s10750-018-3876-5","http://dx.doi.org/10.1007/s10750-018-3876-5")</f>
        <v>http://dx.doi.org/10.1007/s10750-018-3876-5</v>
      </c>
      <c r="BG31" t="s">
        <v>74</v>
      </c>
      <c r="BH31" t="s">
        <v>74</v>
      </c>
      <c r="BI31">
        <v>27</v>
      </c>
      <c r="BJ31" t="s">
        <v>558</v>
      </c>
      <c r="BK31" t="s">
        <v>102</v>
      </c>
      <c r="BL31" t="s">
        <v>558</v>
      </c>
      <c r="BM31" t="s">
        <v>776</v>
      </c>
      <c r="BN31" t="s">
        <v>74</v>
      </c>
      <c r="BO31" t="s">
        <v>74</v>
      </c>
      <c r="BP31" t="s">
        <v>74</v>
      </c>
      <c r="BQ31" t="s">
        <v>74</v>
      </c>
      <c r="BR31" t="s">
        <v>107</v>
      </c>
      <c r="BS31" t="s">
        <v>777</v>
      </c>
      <c r="BT31" t="str">
        <f>HYPERLINK("https%3A%2F%2Fwww.webofscience.com%2Fwos%2Fwoscc%2Ffull-record%2FWOS:000460694400003","View Full Record in Web of Science")</f>
        <v>View Full Record in Web of Science</v>
      </c>
    </row>
    <row r="32" spans="1:72" x14ac:dyDescent="0.15">
      <c r="A32" t="s">
        <v>72</v>
      </c>
      <c r="B32" t="s">
        <v>778</v>
      </c>
      <c r="C32" t="s">
        <v>74</v>
      </c>
      <c r="D32" t="s">
        <v>74</v>
      </c>
      <c r="E32" t="s">
        <v>74</v>
      </c>
      <c r="F32" t="s">
        <v>779</v>
      </c>
      <c r="G32" t="s">
        <v>74</v>
      </c>
      <c r="H32" t="s">
        <v>74</v>
      </c>
      <c r="I32" t="s">
        <v>780</v>
      </c>
      <c r="J32" t="s">
        <v>781</v>
      </c>
      <c r="K32" t="s">
        <v>74</v>
      </c>
      <c r="L32" t="s">
        <v>74</v>
      </c>
      <c r="M32" t="s">
        <v>78</v>
      </c>
      <c r="N32" t="s">
        <v>469</v>
      </c>
      <c r="O32" t="s">
        <v>74</v>
      </c>
      <c r="P32" t="s">
        <v>74</v>
      </c>
      <c r="Q32" t="s">
        <v>74</v>
      </c>
      <c r="R32" t="s">
        <v>74</v>
      </c>
      <c r="S32" t="s">
        <v>74</v>
      </c>
      <c r="T32" t="s">
        <v>782</v>
      </c>
      <c r="U32" t="s">
        <v>783</v>
      </c>
      <c r="V32" t="s">
        <v>784</v>
      </c>
      <c r="W32" t="s">
        <v>785</v>
      </c>
      <c r="X32" t="s">
        <v>786</v>
      </c>
      <c r="Y32" t="s">
        <v>787</v>
      </c>
      <c r="Z32" t="s">
        <v>788</v>
      </c>
      <c r="AA32" t="s">
        <v>789</v>
      </c>
      <c r="AB32" t="s">
        <v>790</v>
      </c>
      <c r="AC32" t="s">
        <v>791</v>
      </c>
      <c r="AD32" t="s">
        <v>791</v>
      </c>
      <c r="AE32" t="s">
        <v>792</v>
      </c>
      <c r="AF32" t="s">
        <v>74</v>
      </c>
      <c r="AG32">
        <v>118</v>
      </c>
      <c r="AH32">
        <v>6</v>
      </c>
      <c r="AI32">
        <v>7</v>
      </c>
      <c r="AJ32">
        <v>1</v>
      </c>
      <c r="AK32">
        <v>39</v>
      </c>
      <c r="AL32" t="s">
        <v>793</v>
      </c>
      <c r="AM32" t="s">
        <v>794</v>
      </c>
      <c r="AN32" t="s">
        <v>795</v>
      </c>
      <c r="AO32" t="s">
        <v>796</v>
      </c>
      <c r="AP32" t="s">
        <v>797</v>
      </c>
      <c r="AQ32" t="s">
        <v>74</v>
      </c>
      <c r="AR32" t="s">
        <v>798</v>
      </c>
      <c r="AS32" t="s">
        <v>799</v>
      </c>
      <c r="AT32" t="s">
        <v>131</v>
      </c>
      <c r="AU32">
        <v>2019</v>
      </c>
      <c r="AV32">
        <v>14</v>
      </c>
      <c r="AW32">
        <v>3</v>
      </c>
      <c r="AX32" t="s">
        <v>74</v>
      </c>
      <c r="AY32" t="s">
        <v>74</v>
      </c>
      <c r="AZ32" t="s">
        <v>74</v>
      </c>
      <c r="BA32" t="s">
        <v>74</v>
      </c>
      <c r="BB32" t="s">
        <v>74</v>
      </c>
      <c r="BC32" t="s">
        <v>74</v>
      </c>
      <c r="BD32">
        <v>31001</v>
      </c>
      <c r="BE32" t="s">
        <v>800</v>
      </c>
      <c r="BF32" t="str">
        <f>HYPERLINK("http://dx.doi.org/10.1088/1748-3190/ab0253","http://dx.doi.org/10.1088/1748-3190/ab0253")</f>
        <v>http://dx.doi.org/10.1088/1748-3190/ab0253</v>
      </c>
      <c r="BG32" t="s">
        <v>74</v>
      </c>
      <c r="BH32" t="s">
        <v>74</v>
      </c>
      <c r="BI32">
        <v>15</v>
      </c>
      <c r="BJ32" t="s">
        <v>801</v>
      </c>
      <c r="BK32" t="s">
        <v>102</v>
      </c>
      <c r="BL32" t="s">
        <v>802</v>
      </c>
      <c r="BM32" t="s">
        <v>803</v>
      </c>
      <c r="BN32">
        <v>30690442</v>
      </c>
      <c r="BO32" t="s">
        <v>74</v>
      </c>
      <c r="BP32" t="s">
        <v>74</v>
      </c>
      <c r="BQ32" t="s">
        <v>74</v>
      </c>
      <c r="BR32" t="s">
        <v>107</v>
      </c>
      <c r="BS32" t="s">
        <v>804</v>
      </c>
      <c r="BT32" t="str">
        <f>HYPERLINK("https%3A%2F%2Fwww.webofscience.com%2Fwos%2Fwoscc%2Ffull-record%2FWOS:000459887800001","View Full Record in Web of Science")</f>
        <v>View Full Record in Web of Science</v>
      </c>
    </row>
    <row r="33" spans="1:72" x14ac:dyDescent="0.15">
      <c r="A33" t="s">
        <v>72</v>
      </c>
      <c r="B33" t="s">
        <v>805</v>
      </c>
      <c r="C33" t="s">
        <v>74</v>
      </c>
      <c r="D33" t="s">
        <v>74</v>
      </c>
      <c r="E33" t="s">
        <v>74</v>
      </c>
      <c r="F33" t="s">
        <v>806</v>
      </c>
      <c r="G33" t="s">
        <v>74</v>
      </c>
      <c r="H33" t="s">
        <v>74</v>
      </c>
      <c r="I33" t="s">
        <v>807</v>
      </c>
      <c r="J33" t="s">
        <v>808</v>
      </c>
      <c r="K33" t="s">
        <v>74</v>
      </c>
      <c r="L33" t="s">
        <v>74</v>
      </c>
      <c r="M33" t="s">
        <v>78</v>
      </c>
      <c r="N33" t="s">
        <v>469</v>
      </c>
      <c r="O33" t="s">
        <v>74</v>
      </c>
      <c r="P33" t="s">
        <v>74</v>
      </c>
      <c r="Q33" t="s">
        <v>74</v>
      </c>
      <c r="R33" t="s">
        <v>74</v>
      </c>
      <c r="S33" t="s">
        <v>74</v>
      </c>
      <c r="T33" t="s">
        <v>809</v>
      </c>
      <c r="U33" t="s">
        <v>810</v>
      </c>
      <c r="V33" t="s">
        <v>811</v>
      </c>
      <c r="W33" t="s">
        <v>812</v>
      </c>
      <c r="X33" t="s">
        <v>813</v>
      </c>
      <c r="Y33" t="s">
        <v>814</v>
      </c>
      <c r="Z33" t="s">
        <v>815</v>
      </c>
      <c r="AA33" t="s">
        <v>816</v>
      </c>
      <c r="AB33" t="s">
        <v>817</v>
      </c>
      <c r="AC33" t="s">
        <v>818</v>
      </c>
      <c r="AD33" t="s">
        <v>819</v>
      </c>
      <c r="AE33" t="s">
        <v>820</v>
      </c>
      <c r="AF33" t="s">
        <v>74</v>
      </c>
      <c r="AG33">
        <v>47</v>
      </c>
      <c r="AH33">
        <v>44</v>
      </c>
      <c r="AI33">
        <v>47</v>
      </c>
      <c r="AJ33">
        <v>1</v>
      </c>
      <c r="AK33">
        <v>28</v>
      </c>
      <c r="AL33" t="s">
        <v>821</v>
      </c>
      <c r="AM33" t="s">
        <v>822</v>
      </c>
      <c r="AN33" t="s">
        <v>823</v>
      </c>
      <c r="AO33" t="s">
        <v>74</v>
      </c>
      <c r="AP33" t="s">
        <v>824</v>
      </c>
      <c r="AQ33" t="s">
        <v>74</v>
      </c>
      <c r="AR33" t="s">
        <v>825</v>
      </c>
      <c r="AS33" t="s">
        <v>826</v>
      </c>
      <c r="AT33" t="s">
        <v>827</v>
      </c>
      <c r="AU33">
        <v>2019</v>
      </c>
      <c r="AV33">
        <v>6</v>
      </c>
      <c r="AW33" t="s">
        <v>74</v>
      </c>
      <c r="AX33" t="s">
        <v>74</v>
      </c>
      <c r="AY33" t="s">
        <v>74</v>
      </c>
      <c r="AZ33" t="s">
        <v>74</v>
      </c>
      <c r="BA33" t="s">
        <v>74</v>
      </c>
      <c r="BB33" t="s">
        <v>74</v>
      </c>
      <c r="BC33" t="s">
        <v>74</v>
      </c>
      <c r="BD33">
        <v>209</v>
      </c>
      <c r="BE33" t="s">
        <v>828</v>
      </c>
      <c r="BF33" t="str">
        <f>HYPERLINK("http://dx.doi.org/10.3389/fmars.2019.00209","http://dx.doi.org/10.3389/fmars.2019.00209")</f>
        <v>http://dx.doi.org/10.3389/fmars.2019.00209</v>
      </c>
      <c r="BG33" t="s">
        <v>74</v>
      </c>
      <c r="BH33" t="s">
        <v>74</v>
      </c>
      <c r="BI33">
        <v>8</v>
      </c>
      <c r="BJ33" t="s">
        <v>829</v>
      </c>
      <c r="BK33" t="s">
        <v>102</v>
      </c>
      <c r="BL33" t="s">
        <v>830</v>
      </c>
      <c r="BM33" t="s">
        <v>831</v>
      </c>
      <c r="BN33" t="s">
        <v>74</v>
      </c>
      <c r="BO33" t="s">
        <v>832</v>
      </c>
      <c r="BP33" t="s">
        <v>74</v>
      </c>
      <c r="BQ33" t="s">
        <v>74</v>
      </c>
      <c r="BR33" t="s">
        <v>107</v>
      </c>
      <c r="BS33" t="s">
        <v>833</v>
      </c>
      <c r="BT33" t="str">
        <f>HYPERLINK("https%3A%2F%2Fwww.webofscience.com%2Fwos%2Fwoscc%2Ffull-record%2FWOS:000467012900001","View Full Record in Web of Science")</f>
        <v>View Full Record in Web of Science</v>
      </c>
    </row>
    <row r="34" spans="1:72" x14ac:dyDescent="0.15">
      <c r="A34" t="s">
        <v>72</v>
      </c>
      <c r="B34" t="s">
        <v>834</v>
      </c>
      <c r="C34" t="s">
        <v>74</v>
      </c>
      <c r="D34" t="s">
        <v>74</v>
      </c>
      <c r="E34" t="s">
        <v>74</v>
      </c>
      <c r="F34" t="s">
        <v>835</v>
      </c>
      <c r="G34" t="s">
        <v>74</v>
      </c>
      <c r="H34" t="s">
        <v>74</v>
      </c>
      <c r="I34" t="s">
        <v>836</v>
      </c>
      <c r="J34" t="s">
        <v>808</v>
      </c>
      <c r="K34" t="s">
        <v>74</v>
      </c>
      <c r="L34" t="s">
        <v>74</v>
      </c>
      <c r="M34" t="s">
        <v>78</v>
      </c>
      <c r="N34" t="s">
        <v>469</v>
      </c>
      <c r="O34" t="s">
        <v>74</v>
      </c>
      <c r="P34" t="s">
        <v>74</v>
      </c>
      <c r="Q34" t="s">
        <v>74</v>
      </c>
      <c r="R34" t="s">
        <v>74</v>
      </c>
      <c r="S34" t="s">
        <v>74</v>
      </c>
      <c r="T34" t="s">
        <v>837</v>
      </c>
      <c r="U34" t="s">
        <v>838</v>
      </c>
      <c r="V34" t="s">
        <v>839</v>
      </c>
      <c r="W34" t="s">
        <v>840</v>
      </c>
      <c r="X34" t="s">
        <v>841</v>
      </c>
      <c r="Y34" t="s">
        <v>842</v>
      </c>
      <c r="Z34" t="s">
        <v>843</v>
      </c>
      <c r="AA34" t="s">
        <v>844</v>
      </c>
      <c r="AB34" t="s">
        <v>845</v>
      </c>
      <c r="AC34" t="s">
        <v>846</v>
      </c>
      <c r="AD34" t="s">
        <v>847</v>
      </c>
      <c r="AE34" t="s">
        <v>848</v>
      </c>
      <c r="AF34" t="s">
        <v>74</v>
      </c>
      <c r="AG34">
        <v>55</v>
      </c>
      <c r="AH34">
        <v>23</v>
      </c>
      <c r="AI34">
        <v>23</v>
      </c>
      <c r="AJ34">
        <v>3</v>
      </c>
      <c r="AK34">
        <v>15</v>
      </c>
      <c r="AL34" t="s">
        <v>821</v>
      </c>
      <c r="AM34" t="s">
        <v>822</v>
      </c>
      <c r="AN34" t="s">
        <v>823</v>
      </c>
      <c r="AO34" t="s">
        <v>74</v>
      </c>
      <c r="AP34" t="s">
        <v>824</v>
      </c>
      <c r="AQ34" t="s">
        <v>74</v>
      </c>
      <c r="AR34" t="s">
        <v>825</v>
      </c>
      <c r="AS34" t="s">
        <v>826</v>
      </c>
      <c r="AT34" t="s">
        <v>827</v>
      </c>
      <c r="AU34">
        <v>2019</v>
      </c>
      <c r="AV34">
        <v>6</v>
      </c>
      <c r="AW34" t="s">
        <v>74</v>
      </c>
      <c r="AX34" t="s">
        <v>74</v>
      </c>
      <c r="AY34" t="s">
        <v>74</v>
      </c>
      <c r="AZ34" t="s">
        <v>74</v>
      </c>
      <c r="BA34" t="s">
        <v>74</v>
      </c>
      <c r="BB34" t="s">
        <v>74</v>
      </c>
      <c r="BC34" t="s">
        <v>74</v>
      </c>
      <c r="BD34">
        <v>168</v>
      </c>
      <c r="BE34" t="s">
        <v>849</v>
      </c>
      <c r="BF34" t="str">
        <f>HYPERLINK("http://dx.doi.org/10.3389/fmars.2019.00168","http://dx.doi.org/10.3389/fmars.2019.00168")</f>
        <v>http://dx.doi.org/10.3389/fmars.2019.00168</v>
      </c>
      <c r="BG34" t="s">
        <v>74</v>
      </c>
      <c r="BH34" t="s">
        <v>74</v>
      </c>
      <c r="BI34">
        <v>7</v>
      </c>
      <c r="BJ34" t="s">
        <v>829</v>
      </c>
      <c r="BK34" t="s">
        <v>102</v>
      </c>
      <c r="BL34" t="s">
        <v>830</v>
      </c>
      <c r="BM34" t="s">
        <v>850</v>
      </c>
      <c r="BN34" t="s">
        <v>74</v>
      </c>
      <c r="BO34" t="s">
        <v>851</v>
      </c>
      <c r="BP34" t="s">
        <v>74</v>
      </c>
      <c r="BQ34" t="s">
        <v>74</v>
      </c>
      <c r="BR34" t="s">
        <v>107</v>
      </c>
      <c r="BS34" t="s">
        <v>852</v>
      </c>
      <c r="BT34" t="str">
        <f>HYPERLINK("https%3A%2F%2Fwww.webofscience.com%2Fwos%2Fwoscc%2Ffull-record%2FWOS:000467012700001","View Full Record in Web of Science")</f>
        <v>View Full Record in Web of Science</v>
      </c>
    </row>
    <row r="35" spans="1:72" x14ac:dyDescent="0.15">
      <c r="A35" t="s">
        <v>72</v>
      </c>
      <c r="B35" t="s">
        <v>853</v>
      </c>
      <c r="C35" t="s">
        <v>74</v>
      </c>
      <c r="D35" t="s">
        <v>74</v>
      </c>
      <c r="E35" t="s">
        <v>74</v>
      </c>
      <c r="F35" t="s">
        <v>854</v>
      </c>
      <c r="G35" t="s">
        <v>74</v>
      </c>
      <c r="H35" t="s">
        <v>74</v>
      </c>
      <c r="I35" t="s">
        <v>855</v>
      </c>
      <c r="J35" t="s">
        <v>856</v>
      </c>
      <c r="K35" t="s">
        <v>74</v>
      </c>
      <c r="L35" t="s">
        <v>74</v>
      </c>
      <c r="M35" t="s">
        <v>78</v>
      </c>
      <c r="N35" t="s">
        <v>79</v>
      </c>
      <c r="O35" t="s">
        <v>74</v>
      </c>
      <c r="P35" t="s">
        <v>74</v>
      </c>
      <c r="Q35" t="s">
        <v>74</v>
      </c>
      <c r="R35" t="s">
        <v>74</v>
      </c>
      <c r="S35" t="s">
        <v>74</v>
      </c>
      <c r="T35" t="s">
        <v>74</v>
      </c>
      <c r="U35" t="s">
        <v>857</v>
      </c>
      <c r="V35" t="s">
        <v>858</v>
      </c>
      <c r="W35" t="s">
        <v>859</v>
      </c>
      <c r="X35" t="s">
        <v>860</v>
      </c>
      <c r="Y35" t="s">
        <v>861</v>
      </c>
      <c r="Z35" t="s">
        <v>862</v>
      </c>
      <c r="AA35" t="s">
        <v>863</v>
      </c>
      <c r="AB35" t="s">
        <v>864</v>
      </c>
      <c r="AC35" t="s">
        <v>865</v>
      </c>
      <c r="AD35" t="s">
        <v>866</v>
      </c>
      <c r="AE35" t="s">
        <v>867</v>
      </c>
      <c r="AF35" t="s">
        <v>74</v>
      </c>
      <c r="AG35">
        <v>152</v>
      </c>
      <c r="AH35">
        <v>37</v>
      </c>
      <c r="AI35">
        <v>39</v>
      </c>
      <c r="AJ35">
        <v>2</v>
      </c>
      <c r="AK35">
        <v>14</v>
      </c>
      <c r="AL35" t="s">
        <v>868</v>
      </c>
      <c r="AM35" t="s">
        <v>869</v>
      </c>
      <c r="AN35" t="s">
        <v>870</v>
      </c>
      <c r="AO35" t="s">
        <v>871</v>
      </c>
      <c r="AP35" t="s">
        <v>872</v>
      </c>
      <c r="AQ35" t="s">
        <v>74</v>
      </c>
      <c r="AR35" t="s">
        <v>873</v>
      </c>
      <c r="AS35" t="s">
        <v>874</v>
      </c>
      <c r="AT35" t="s">
        <v>827</v>
      </c>
      <c r="AU35">
        <v>2019</v>
      </c>
      <c r="AV35">
        <v>15</v>
      </c>
      <c r="AW35">
        <v>2</v>
      </c>
      <c r="AX35" t="s">
        <v>74</v>
      </c>
      <c r="AY35" t="s">
        <v>74</v>
      </c>
      <c r="AZ35" t="s">
        <v>74</v>
      </c>
      <c r="BA35" t="s">
        <v>74</v>
      </c>
      <c r="BB35">
        <v>849</v>
      </c>
      <c r="BC35">
        <v>879</v>
      </c>
      <c r="BD35" t="s">
        <v>74</v>
      </c>
      <c r="BE35" t="s">
        <v>875</v>
      </c>
      <c r="BF35" t="str">
        <f>HYPERLINK("http://dx.doi.org/10.5194/cp-15-849-2019","http://dx.doi.org/10.5194/cp-15-849-2019")</f>
        <v>http://dx.doi.org/10.5194/cp-15-849-2019</v>
      </c>
      <c r="BG35" t="s">
        <v>74</v>
      </c>
      <c r="BH35" t="s">
        <v>74</v>
      </c>
      <c r="BI35">
        <v>31</v>
      </c>
      <c r="BJ35" t="s">
        <v>876</v>
      </c>
      <c r="BK35" t="s">
        <v>102</v>
      </c>
      <c r="BL35" t="s">
        <v>877</v>
      </c>
      <c r="BM35" t="s">
        <v>878</v>
      </c>
      <c r="BN35" t="s">
        <v>74</v>
      </c>
      <c r="BO35" t="s">
        <v>879</v>
      </c>
      <c r="BP35" t="s">
        <v>74</v>
      </c>
      <c r="BQ35" t="s">
        <v>74</v>
      </c>
      <c r="BR35" t="s">
        <v>107</v>
      </c>
      <c r="BS35" t="s">
        <v>880</v>
      </c>
      <c r="BT35" t="str">
        <f>HYPERLINK("https%3A%2F%2Fwww.webofscience.com%2Fwos%2Fwoscc%2Ffull-record%2FWOS:000466601300001","View Full Record in Web of Science")</f>
        <v>View Full Record in Web of Science</v>
      </c>
    </row>
    <row r="36" spans="1:72" x14ac:dyDescent="0.15">
      <c r="A36" t="s">
        <v>72</v>
      </c>
      <c r="B36" t="s">
        <v>881</v>
      </c>
      <c r="C36" t="s">
        <v>74</v>
      </c>
      <c r="D36" t="s">
        <v>74</v>
      </c>
      <c r="E36" t="s">
        <v>74</v>
      </c>
      <c r="F36" t="s">
        <v>882</v>
      </c>
      <c r="G36" t="s">
        <v>74</v>
      </c>
      <c r="H36" t="s">
        <v>74</v>
      </c>
      <c r="I36" t="s">
        <v>883</v>
      </c>
      <c r="J36" t="s">
        <v>884</v>
      </c>
      <c r="K36" t="s">
        <v>74</v>
      </c>
      <c r="L36" t="s">
        <v>74</v>
      </c>
      <c r="M36" t="s">
        <v>78</v>
      </c>
      <c r="N36" t="s">
        <v>79</v>
      </c>
      <c r="O36" t="s">
        <v>74</v>
      </c>
      <c r="P36" t="s">
        <v>74</v>
      </c>
      <c r="Q36" t="s">
        <v>74</v>
      </c>
      <c r="R36" t="s">
        <v>74</v>
      </c>
      <c r="S36" t="s">
        <v>74</v>
      </c>
      <c r="T36" t="s">
        <v>885</v>
      </c>
      <c r="U36" t="s">
        <v>886</v>
      </c>
      <c r="V36" t="s">
        <v>887</v>
      </c>
      <c r="W36" t="s">
        <v>888</v>
      </c>
      <c r="X36" t="s">
        <v>889</v>
      </c>
      <c r="Y36" t="s">
        <v>890</v>
      </c>
      <c r="Z36" t="s">
        <v>891</v>
      </c>
      <c r="AA36" t="s">
        <v>892</v>
      </c>
      <c r="AB36" t="s">
        <v>893</v>
      </c>
      <c r="AC36" t="s">
        <v>894</v>
      </c>
      <c r="AD36" t="s">
        <v>895</v>
      </c>
      <c r="AE36" t="s">
        <v>896</v>
      </c>
      <c r="AF36" t="s">
        <v>74</v>
      </c>
      <c r="AG36">
        <v>43</v>
      </c>
      <c r="AH36">
        <v>28</v>
      </c>
      <c r="AI36">
        <v>28</v>
      </c>
      <c r="AJ36">
        <v>4</v>
      </c>
      <c r="AK36">
        <v>19</v>
      </c>
      <c r="AL36" t="s">
        <v>821</v>
      </c>
      <c r="AM36" t="s">
        <v>822</v>
      </c>
      <c r="AN36" t="s">
        <v>823</v>
      </c>
      <c r="AO36" t="s">
        <v>74</v>
      </c>
      <c r="AP36" t="s">
        <v>897</v>
      </c>
      <c r="AQ36" t="s">
        <v>74</v>
      </c>
      <c r="AR36" t="s">
        <v>898</v>
      </c>
      <c r="AS36" t="s">
        <v>899</v>
      </c>
      <c r="AT36" t="s">
        <v>827</v>
      </c>
      <c r="AU36">
        <v>2019</v>
      </c>
      <c r="AV36">
        <v>10</v>
      </c>
      <c r="AW36" t="s">
        <v>74</v>
      </c>
      <c r="AX36" t="s">
        <v>74</v>
      </c>
      <c r="AY36" t="s">
        <v>74</v>
      </c>
      <c r="AZ36" t="s">
        <v>74</v>
      </c>
      <c r="BA36" t="s">
        <v>74</v>
      </c>
      <c r="BB36" t="s">
        <v>74</v>
      </c>
      <c r="BC36" t="s">
        <v>74</v>
      </c>
      <c r="BD36">
        <v>908</v>
      </c>
      <c r="BE36" t="s">
        <v>900</v>
      </c>
      <c r="BF36" t="str">
        <f>HYPERLINK("http://dx.doi.org/10.3389/fmicb.2019.00908","http://dx.doi.org/10.3389/fmicb.2019.00908")</f>
        <v>http://dx.doi.org/10.3389/fmicb.2019.00908</v>
      </c>
      <c r="BG36" t="s">
        <v>74</v>
      </c>
      <c r="BH36" t="s">
        <v>74</v>
      </c>
      <c r="BI36">
        <v>12</v>
      </c>
      <c r="BJ36" t="s">
        <v>901</v>
      </c>
      <c r="BK36" t="s">
        <v>102</v>
      </c>
      <c r="BL36" t="s">
        <v>901</v>
      </c>
      <c r="BM36" t="s">
        <v>902</v>
      </c>
      <c r="BN36">
        <v>31114558</v>
      </c>
      <c r="BO36" t="s">
        <v>851</v>
      </c>
      <c r="BP36" t="s">
        <v>74</v>
      </c>
      <c r="BQ36" t="s">
        <v>74</v>
      </c>
      <c r="BR36" t="s">
        <v>107</v>
      </c>
      <c r="BS36" t="s">
        <v>903</v>
      </c>
      <c r="BT36" t="str">
        <f>HYPERLINK("https%3A%2F%2Fwww.webofscience.com%2Fwos%2Fwoscc%2Ffull-record%2FWOS:000466460000001","View Full Record in Web of Science")</f>
        <v>View Full Record in Web of Science</v>
      </c>
    </row>
    <row r="37" spans="1:72" x14ac:dyDescent="0.15">
      <c r="A37" t="s">
        <v>72</v>
      </c>
      <c r="B37" t="s">
        <v>904</v>
      </c>
      <c r="C37" t="s">
        <v>74</v>
      </c>
      <c r="D37" t="s">
        <v>74</v>
      </c>
      <c r="E37" t="s">
        <v>74</v>
      </c>
      <c r="F37" t="s">
        <v>905</v>
      </c>
      <c r="G37" t="s">
        <v>74</v>
      </c>
      <c r="H37" t="s">
        <v>74</v>
      </c>
      <c r="I37" t="s">
        <v>906</v>
      </c>
      <c r="J37" t="s">
        <v>907</v>
      </c>
      <c r="K37" t="s">
        <v>74</v>
      </c>
      <c r="L37" t="s">
        <v>74</v>
      </c>
      <c r="M37" t="s">
        <v>78</v>
      </c>
      <c r="N37" t="s">
        <v>79</v>
      </c>
      <c r="O37" t="s">
        <v>74</v>
      </c>
      <c r="P37" t="s">
        <v>74</v>
      </c>
      <c r="Q37" t="s">
        <v>74</v>
      </c>
      <c r="R37" t="s">
        <v>74</v>
      </c>
      <c r="S37" t="s">
        <v>74</v>
      </c>
      <c r="T37" t="s">
        <v>74</v>
      </c>
      <c r="U37" t="s">
        <v>908</v>
      </c>
      <c r="V37" t="s">
        <v>909</v>
      </c>
      <c r="W37" t="s">
        <v>910</v>
      </c>
      <c r="X37" t="s">
        <v>911</v>
      </c>
      <c r="Y37" t="s">
        <v>912</v>
      </c>
      <c r="Z37" t="s">
        <v>913</v>
      </c>
      <c r="AA37" t="s">
        <v>914</v>
      </c>
      <c r="AB37" t="s">
        <v>915</v>
      </c>
      <c r="AC37" t="s">
        <v>74</v>
      </c>
      <c r="AD37" t="s">
        <v>74</v>
      </c>
      <c r="AE37" t="s">
        <v>74</v>
      </c>
      <c r="AF37" t="s">
        <v>74</v>
      </c>
      <c r="AG37">
        <v>82</v>
      </c>
      <c r="AH37">
        <v>8</v>
      </c>
      <c r="AI37">
        <v>8</v>
      </c>
      <c r="AJ37">
        <v>0</v>
      </c>
      <c r="AK37">
        <v>10</v>
      </c>
      <c r="AL37" t="s">
        <v>125</v>
      </c>
      <c r="AM37" t="s">
        <v>126</v>
      </c>
      <c r="AN37" t="s">
        <v>127</v>
      </c>
      <c r="AO37" t="s">
        <v>916</v>
      </c>
      <c r="AP37" t="s">
        <v>917</v>
      </c>
      <c r="AQ37" t="s">
        <v>74</v>
      </c>
      <c r="AR37" t="s">
        <v>918</v>
      </c>
      <c r="AS37" t="s">
        <v>919</v>
      </c>
      <c r="AT37" t="s">
        <v>920</v>
      </c>
      <c r="AU37">
        <v>2019</v>
      </c>
      <c r="AV37">
        <v>46</v>
      </c>
      <c r="AW37">
        <v>8</v>
      </c>
      <c r="AX37" t="s">
        <v>74</v>
      </c>
      <c r="AY37" t="s">
        <v>74</v>
      </c>
      <c r="AZ37" t="s">
        <v>74</v>
      </c>
      <c r="BA37" t="s">
        <v>74</v>
      </c>
      <c r="BB37">
        <v>4288</v>
      </c>
      <c r="BC37">
        <v>4298</v>
      </c>
      <c r="BD37" t="s">
        <v>74</v>
      </c>
      <c r="BE37" t="s">
        <v>921</v>
      </c>
      <c r="BF37" t="str">
        <f>HYPERLINK("http://dx.doi.org/10.1029/2019GL082163","http://dx.doi.org/10.1029/2019GL082163")</f>
        <v>http://dx.doi.org/10.1029/2019GL082163</v>
      </c>
      <c r="BG37" t="s">
        <v>74</v>
      </c>
      <c r="BH37" t="s">
        <v>74</v>
      </c>
      <c r="BI37">
        <v>11</v>
      </c>
      <c r="BJ37" t="s">
        <v>922</v>
      </c>
      <c r="BK37" t="s">
        <v>102</v>
      </c>
      <c r="BL37" t="s">
        <v>923</v>
      </c>
      <c r="BM37" t="s">
        <v>924</v>
      </c>
      <c r="BN37" t="s">
        <v>74</v>
      </c>
      <c r="BO37" t="s">
        <v>925</v>
      </c>
      <c r="BP37" t="s">
        <v>74</v>
      </c>
      <c r="BQ37" t="s">
        <v>74</v>
      </c>
      <c r="BR37" t="s">
        <v>107</v>
      </c>
      <c r="BS37" t="s">
        <v>926</v>
      </c>
      <c r="BT37" t="str">
        <f>HYPERLINK("https%3A%2F%2Fwww.webofscience.com%2Fwos%2Fwoscc%2Ffull-record%2FWOS:000467949200025","View Full Record in Web of Science")</f>
        <v>View Full Record in Web of Science</v>
      </c>
    </row>
    <row r="38" spans="1:72" x14ac:dyDescent="0.15">
      <c r="A38" t="s">
        <v>72</v>
      </c>
      <c r="B38" t="s">
        <v>927</v>
      </c>
      <c r="C38" t="s">
        <v>74</v>
      </c>
      <c r="D38" t="s">
        <v>74</v>
      </c>
      <c r="E38" t="s">
        <v>74</v>
      </c>
      <c r="F38" t="s">
        <v>928</v>
      </c>
      <c r="G38" t="s">
        <v>74</v>
      </c>
      <c r="H38" t="s">
        <v>74</v>
      </c>
      <c r="I38" t="s">
        <v>929</v>
      </c>
      <c r="J38" t="s">
        <v>907</v>
      </c>
      <c r="K38" t="s">
        <v>74</v>
      </c>
      <c r="L38" t="s">
        <v>74</v>
      </c>
      <c r="M38" t="s">
        <v>78</v>
      </c>
      <c r="N38" t="s">
        <v>79</v>
      </c>
      <c r="O38" t="s">
        <v>74</v>
      </c>
      <c r="P38" t="s">
        <v>74</v>
      </c>
      <c r="Q38" t="s">
        <v>74</v>
      </c>
      <c r="R38" t="s">
        <v>74</v>
      </c>
      <c r="S38" t="s">
        <v>74</v>
      </c>
      <c r="T38" t="s">
        <v>74</v>
      </c>
      <c r="U38" t="s">
        <v>930</v>
      </c>
      <c r="V38" t="s">
        <v>931</v>
      </c>
      <c r="W38" t="s">
        <v>932</v>
      </c>
      <c r="X38" t="s">
        <v>933</v>
      </c>
      <c r="Y38" t="s">
        <v>934</v>
      </c>
      <c r="Z38" t="s">
        <v>935</v>
      </c>
      <c r="AA38" t="s">
        <v>936</v>
      </c>
      <c r="AB38" t="s">
        <v>937</v>
      </c>
      <c r="AC38" t="s">
        <v>938</v>
      </c>
      <c r="AD38" t="s">
        <v>939</v>
      </c>
      <c r="AE38" t="s">
        <v>940</v>
      </c>
      <c r="AF38" t="s">
        <v>74</v>
      </c>
      <c r="AG38">
        <v>25</v>
      </c>
      <c r="AH38">
        <v>19</v>
      </c>
      <c r="AI38">
        <v>19</v>
      </c>
      <c r="AJ38">
        <v>0</v>
      </c>
      <c r="AK38">
        <v>9</v>
      </c>
      <c r="AL38" t="s">
        <v>125</v>
      </c>
      <c r="AM38" t="s">
        <v>126</v>
      </c>
      <c r="AN38" t="s">
        <v>127</v>
      </c>
      <c r="AO38" t="s">
        <v>916</v>
      </c>
      <c r="AP38" t="s">
        <v>917</v>
      </c>
      <c r="AQ38" t="s">
        <v>74</v>
      </c>
      <c r="AR38" t="s">
        <v>918</v>
      </c>
      <c r="AS38" t="s">
        <v>919</v>
      </c>
      <c r="AT38" t="s">
        <v>920</v>
      </c>
      <c r="AU38">
        <v>2019</v>
      </c>
      <c r="AV38">
        <v>46</v>
      </c>
      <c r="AW38">
        <v>8</v>
      </c>
      <c r="AX38" t="s">
        <v>74</v>
      </c>
      <c r="AY38" t="s">
        <v>74</v>
      </c>
      <c r="AZ38" t="s">
        <v>74</v>
      </c>
      <c r="BA38" t="s">
        <v>74</v>
      </c>
      <c r="BB38">
        <v>4299</v>
      </c>
      <c r="BC38">
        <v>4307</v>
      </c>
      <c r="BD38" t="s">
        <v>74</v>
      </c>
      <c r="BE38" t="s">
        <v>941</v>
      </c>
      <c r="BF38" t="str">
        <f>HYPERLINK("http://dx.doi.org/10.1029/2018GL081796","http://dx.doi.org/10.1029/2018GL081796")</f>
        <v>http://dx.doi.org/10.1029/2018GL081796</v>
      </c>
      <c r="BG38" t="s">
        <v>74</v>
      </c>
      <c r="BH38" t="s">
        <v>74</v>
      </c>
      <c r="BI38">
        <v>9</v>
      </c>
      <c r="BJ38" t="s">
        <v>922</v>
      </c>
      <c r="BK38" t="s">
        <v>102</v>
      </c>
      <c r="BL38" t="s">
        <v>923</v>
      </c>
      <c r="BM38" t="s">
        <v>924</v>
      </c>
      <c r="BN38" t="s">
        <v>74</v>
      </c>
      <c r="BO38" t="s">
        <v>942</v>
      </c>
      <c r="BP38" t="s">
        <v>74</v>
      </c>
      <c r="BQ38" t="s">
        <v>74</v>
      </c>
      <c r="BR38" t="s">
        <v>107</v>
      </c>
      <c r="BS38" t="s">
        <v>943</v>
      </c>
      <c r="BT38" t="str">
        <f>HYPERLINK("https%3A%2F%2Fwww.webofscience.com%2Fwos%2Fwoscc%2Ffull-record%2FWOS:000467949200026","View Full Record in Web of Science")</f>
        <v>View Full Record in Web of Science</v>
      </c>
    </row>
    <row r="39" spans="1:72" x14ac:dyDescent="0.15">
      <c r="A39" t="s">
        <v>72</v>
      </c>
      <c r="B39" t="s">
        <v>944</v>
      </c>
      <c r="C39" t="s">
        <v>74</v>
      </c>
      <c r="D39" t="s">
        <v>74</v>
      </c>
      <c r="E39" t="s">
        <v>74</v>
      </c>
      <c r="F39" t="s">
        <v>945</v>
      </c>
      <c r="G39" t="s">
        <v>74</v>
      </c>
      <c r="H39" t="s">
        <v>74</v>
      </c>
      <c r="I39" t="s">
        <v>946</v>
      </c>
      <c r="J39" t="s">
        <v>907</v>
      </c>
      <c r="K39" t="s">
        <v>74</v>
      </c>
      <c r="L39" t="s">
        <v>74</v>
      </c>
      <c r="M39" t="s">
        <v>78</v>
      </c>
      <c r="N39" t="s">
        <v>79</v>
      </c>
      <c r="O39" t="s">
        <v>74</v>
      </c>
      <c r="P39" t="s">
        <v>74</v>
      </c>
      <c r="Q39" t="s">
        <v>74</v>
      </c>
      <c r="R39" t="s">
        <v>74</v>
      </c>
      <c r="S39" t="s">
        <v>74</v>
      </c>
      <c r="T39" t="s">
        <v>74</v>
      </c>
      <c r="U39" t="s">
        <v>947</v>
      </c>
      <c r="V39" t="s">
        <v>948</v>
      </c>
      <c r="W39" t="s">
        <v>949</v>
      </c>
      <c r="X39" t="s">
        <v>950</v>
      </c>
      <c r="Y39" t="s">
        <v>951</v>
      </c>
      <c r="Z39" t="s">
        <v>952</v>
      </c>
      <c r="AA39" t="s">
        <v>264</v>
      </c>
      <c r="AB39" t="s">
        <v>953</v>
      </c>
      <c r="AC39" t="s">
        <v>954</v>
      </c>
      <c r="AD39" t="s">
        <v>955</v>
      </c>
      <c r="AE39" t="s">
        <v>956</v>
      </c>
      <c r="AF39" t="s">
        <v>74</v>
      </c>
      <c r="AG39">
        <v>48</v>
      </c>
      <c r="AH39">
        <v>30</v>
      </c>
      <c r="AI39">
        <v>33</v>
      </c>
      <c r="AJ39">
        <v>1</v>
      </c>
      <c r="AK39">
        <v>14</v>
      </c>
      <c r="AL39" t="s">
        <v>125</v>
      </c>
      <c r="AM39" t="s">
        <v>126</v>
      </c>
      <c r="AN39" t="s">
        <v>127</v>
      </c>
      <c r="AO39" t="s">
        <v>916</v>
      </c>
      <c r="AP39" t="s">
        <v>917</v>
      </c>
      <c r="AQ39" t="s">
        <v>74</v>
      </c>
      <c r="AR39" t="s">
        <v>918</v>
      </c>
      <c r="AS39" t="s">
        <v>919</v>
      </c>
      <c r="AT39" t="s">
        <v>920</v>
      </c>
      <c r="AU39">
        <v>2019</v>
      </c>
      <c r="AV39">
        <v>46</v>
      </c>
      <c r="AW39">
        <v>8</v>
      </c>
      <c r="AX39" t="s">
        <v>74</v>
      </c>
      <c r="AY39" t="s">
        <v>74</v>
      </c>
      <c r="AZ39" t="s">
        <v>74</v>
      </c>
      <c r="BA39" t="s">
        <v>74</v>
      </c>
      <c r="BB39">
        <v>4320</v>
      </c>
      <c r="BC39">
        <v>4329</v>
      </c>
      <c r="BD39" t="s">
        <v>74</v>
      </c>
      <c r="BE39" t="s">
        <v>957</v>
      </c>
      <c r="BF39" t="str">
        <f>HYPERLINK("http://dx.doi.org/10.1029/2018GL081482","http://dx.doi.org/10.1029/2018GL081482")</f>
        <v>http://dx.doi.org/10.1029/2018GL081482</v>
      </c>
      <c r="BG39" t="s">
        <v>74</v>
      </c>
      <c r="BH39" t="s">
        <v>74</v>
      </c>
      <c r="BI39">
        <v>10</v>
      </c>
      <c r="BJ39" t="s">
        <v>922</v>
      </c>
      <c r="BK39" t="s">
        <v>102</v>
      </c>
      <c r="BL39" t="s">
        <v>923</v>
      </c>
      <c r="BM39" t="s">
        <v>924</v>
      </c>
      <c r="BN39" t="s">
        <v>74</v>
      </c>
      <c r="BO39" t="s">
        <v>74</v>
      </c>
      <c r="BP39" t="s">
        <v>74</v>
      </c>
      <c r="BQ39" t="s">
        <v>74</v>
      </c>
      <c r="BR39" t="s">
        <v>107</v>
      </c>
      <c r="BS39" t="s">
        <v>958</v>
      </c>
      <c r="BT39" t="str">
        <f>HYPERLINK("https%3A%2F%2Fwww.webofscience.com%2Fwos%2Fwoscc%2Ffull-record%2FWOS:000467949200028","View Full Record in Web of Science")</f>
        <v>View Full Record in Web of Science</v>
      </c>
    </row>
    <row r="40" spans="1:72" x14ac:dyDescent="0.15">
      <c r="A40" t="s">
        <v>72</v>
      </c>
      <c r="B40" t="s">
        <v>959</v>
      </c>
      <c r="C40" t="s">
        <v>74</v>
      </c>
      <c r="D40" t="s">
        <v>74</v>
      </c>
      <c r="E40" t="s">
        <v>74</v>
      </c>
      <c r="F40" t="s">
        <v>960</v>
      </c>
      <c r="G40" t="s">
        <v>74</v>
      </c>
      <c r="H40" t="s">
        <v>74</v>
      </c>
      <c r="I40" t="s">
        <v>961</v>
      </c>
      <c r="J40" t="s">
        <v>907</v>
      </c>
      <c r="K40" t="s">
        <v>74</v>
      </c>
      <c r="L40" t="s">
        <v>74</v>
      </c>
      <c r="M40" t="s">
        <v>78</v>
      </c>
      <c r="N40" t="s">
        <v>79</v>
      </c>
      <c r="O40" t="s">
        <v>74</v>
      </c>
      <c r="P40" t="s">
        <v>74</v>
      </c>
      <c r="Q40" t="s">
        <v>74</v>
      </c>
      <c r="R40" t="s">
        <v>74</v>
      </c>
      <c r="S40" t="s">
        <v>74</v>
      </c>
      <c r="T40" t="s">
        <v>74</v>
      </c>
      <c r="U40" t="s">
        <v>962</v>
      </c>
      <c r="V40" t="s">
        <v>963</v>
      </c>
      <c r="W40" t="s">
        <v>964</v>
      </c>
      <c r="X40" t="s">
        <v>965</v>
      </c>
      <c r="Y40" t="s">
        <v>966</v>
      </c>
      <c r="Z40" t="s">
        <v>967</v>
      </c>
      <c r="AA40" t="s">
        <v>968</v>
      </c>
      <c r="AB40" t="s">
        <v>969</v>
      </c>
      <c r="AC40" t="s">
        <v>970</v>
      </c>
      <c r="AD40" t="s">
        <v>971</v>
      </c>
      <c r="AE40" t="s">
        <v>972</v>
      </c>
      <c r="AF40" t="s">
        <v>74</v>
      </c>
      <c r="AG40">
        <v>78</v>
      </c>
      <c r="AH40">
        <v>27</v>
      </c>
      <c r="AI40">
        <v>28</v>
      </c>
      <c r="AJ40">
        <v>1</v>
      </c>
      <c r="AK40">
        <v>11</v>
      </c>
      <c r="AL40" t="s">
        <v>125</v>
      </c>
      <c r="AM40" t="s">
        <v>126</v>
      </c>
      <c r="AN40" t="s">
        <v>127</v>
      </c>
      <c r="AO40" t="s">
        <v>916</v>
      </c>
      <c r="AP40" t="s">
        <v>917</v>
      </c>
      <c r="AQ40" t="s">
        <v>74</v>
      </c>
      <c r="AR40" t="s">
        <v>918</v>
      </c>
      <c r="AS40" t="s">
        <v>919</v>
      </c>
      <c r="AT40" t="s">
        <v>920</v>
      </c>
      <c r="AU40">
        <v>2019</v>
      </c>
      <c r="AV40">
        <v>46</v>
      </c>
      <c r="AW40">
        <v>8</v>
      </c>
      <c r="AX40" t="s">
        <v>74</v>
      </c>
      <c r="AY40" t="s">
        <v>74</v>
      </c>
      <c r="AZ40" t="s">
        <v>74</v>
      </c>
      <c r="BA40" t="s">
        <v>74</v>
      </c>
      <c r="BB40">
        <v>4365</v>
      </c>
      <c r="BC40">
        <v>4377</v>
      </c>
      <c r="BD40" t="s">
        <v>74</v>
      </c>
      <c r="BE40" t="s">
        <v>973</v>
      </c>
      <c r="BF40" t="str">
        <f>HYPERLINK("http://dx.doi.org/10.1029/2019GL082758","http://dx.doi.org/10.1029/2019GL082758")</f>
        <v>http://dx.doi.org/10.1029/2019GL082758</v>
      </c>
      <c r="BG40" t="s">
        <v>74</v>
      </c>
      <c r="BH40" t="s">
        <v>74</v>
      </c>
      <c r="BI40">
        <v>13</v>
      </c>
      <c r="BJ40" t="s">
        <v>922</v>
      </c>
      <c r="BK40" t="s">
        <v>102</v>
      </c>
      <c r="BL40" t="s">
        <v>923</v>
      </c>
      <c r="BM40" t="s">
        <v>924</v>
      </c>
      <c r="BN40" t="s">
        <v>74</v>
      </c>
      <c r="BO40" t="s">
        <v>223</v>
      </c>
      <c r="BP40" t="s">
        <v>74</v>
      </c>
      <c r="BQ40" t="s">
        <v>74</v>
      </c>
      <c r="BR40" t="s">
        <v>107</v>
      </c>
      <c r="BS40" t="s">
        <v>974</v>
      </c>
      <c r="BT40" t="str">
        <f>HYPERLINK("https%3A%2F%2Fwww.webofscience.com%2Fwos%2Fwoscc%2Ffull-record%2FWOS:000467949200033","View Full Record in Web of Science")</f>
        <v>View Full Record in Web of Science</v>
      </c>
    </row>
    <row r="41" spans="1:72" x14ac:dyDescent="0.15">
      <c r="A41" t="s">
        <v>72</v>
      </c>
      <c r="B41" t="s">
        <v>975</v>
      </c>
      <c r="C41" t="s">
        <v>74</v>
      </c>
      <c r="D41" t="s">
        <v>74</v>
      </c>
      <c r="E41" t="s">
        <v>74</v>
      </c>
      <c r="F41" t="s">
        <v>976</v>
      </c>
      <c r="G41" t="s">
        <v>74</v>
      </c>
      <c r="H41" t="s">
        <v>74</v>
      </c>
      <c r="I41" t="s">
        <v>977</v>
      </c>
      <c r="J41" t="s">
        <v>907</v>
      </c>
      <c r="K41" t="s">
        <v>74</v>
      </c>
      <c r="L41" t="s">
        <v>74</v>
      </c>
      <c r="M41" t="s">
        <v>78</v>
      </c>
      <c r="N41" t="s">
        <v>79</v>
      </c>
      <c r="O41" t="s">
        <v>74</v>
      </c>
      <c r="P41" t="s">
        <v>74</v>
      </c>
      <c r="Q41" t="s">
        <v>74</v>
      </c>
      <c r="R41" t="s">
        <v>74</v>
      </c>
      <c r="S41" t="s">
        <v>74</v>
      </c>
      <c r="T41" t="s">
        <v>74</v>
      </c>
      <c r="U41" t="s">
        <v>978</v>
      </c>
      <c r="V41" t="s">
        <v>979</v>
      </c>
      <c r="W41" t="s">
        <v>980</v>
      </c>
      <c r="X41" t="s">
        <v>981</v>
      </c>
      <c r="Y41" t="s">
        <v>982</v>
      </c>
      <c r="Z41" t="s">
        <v>983</v>
      </c>
      <c r="AA41" t="s">
        <v>984</v>
      </c>
      <c r="AB41" t="s">
        <v>985</v>
      </c>
      <c r="AC41" t="s">
        <v>986</v>
      </c>
      <c r="AD41" t="s">
        <v>987</v>
      </c>
      <c r="AE41" t="s">
        <v>988</v>
      </c>
      <c r="AF41" t="s">
        <v>74</v>
      </c>
      <c r="AG41">
        <v>63</v>
      </c>
      <c r="AH41">
        <v>16</v>
      </c>
      <c r="AI41">
        <v>17</v>
      </c>
      <c r="AJ41">
        <v>0</v>
      </c>
      <c r="AK41">
        <v>20</v>
      </c>
      <c r="AL41" t="s">
        <v>125</v>
      </c>
      <c r="AM41" t="s">
        <v>126</v>
      </c>
      <c r="AN41" t="s">
        <v>127</v>
      </c>
      <c r="AO41" t="s">
        <v>916</v>
      </c>
      <c r="AP41" t="s">
        <v>917</v>
      </c>
      <c r="AQ41" t="s">
        <v>74</v>
      </c>
      <c r="AR41" t="s">
        <v>918</v>
      </c>
      <c r="AS41" t="s">
        <v>919</v>
      </c>
      <c r="AT41" t="s">
        <v>920</v>
      </c>
      <c r="AU41">
        <v>2019</v>
      </c>
      <c r="AV41">
        <v>46</v>
      </c>
      <c r="AW41">
        <v>8</v>
      </c>
      <c r="AX41" t="s">
        <v>74</v>
      </c>
      <c r="AY41" t="s">
        <v>74</v>
      </c>
      <c r="AZ41" t="s">
        <v>74</v>
      </c>
      <c r="BA41" t="s">
        <v>74</v>
      </c>
      <c r="BB41">
        <v>4386</v>
      </c>
      <c r="BC41">
        <v>4395</v>
      </c>
      <c r="BD41" t="s">
        <v>74</v>
      </c>
      <c r="BE41" t="s">
        <v>989</v>
      </c>
      <c r="BF41" t="str">
        <f>HYPERLINK("http://dx.doi.org/10.1029/2018GL081355","http://dx.doi.org/10.1029/2018GL081355")</f>
        <v>http://dx.doi.org/10.1029/2018GL081355</v>
      </c>
      <c r="BG41" t="s">
        <v>74</v>
      </c>
      <c r="BH41" t="s">
        <v>74</v>
      </c>
      <c r="BI41">
        <v>10</v>
      </c>
      <c r="BJ41" t="s">
        <v>922</v>
      </c>
      <c r="BK41" t="s">
        <v>102</v>
      </c>
      <c r="BL41" t="s">
        <v>923</v>
      </c>
      <c r="BM41" t="s">
        <v>924</v>
      </c>
      <c r="BN41" t="s">
        <v>74</v>
      </c>
      <c r="BO41" t="s">
        <v>491</v>
      </c>
      <c r="BP41" t="s">
        <v>74</v>
      </c>
      <c r="BQ41" t="s">
        <v>74</v>
      </c>
      <c r="BR41" t="s">
        <v>107</v>
      </c>
      <c r="BS41" t="s">
        <v>990</v>
      </c>
      <c r="BT41" t="str">
        <f>HYPERLINK("https%3A%2F%2Fwww.webofscience.com%2Fwos%2Fwoscc%2Ffull-record%2FWOS:000467949200035","View Full Record in Web of Science")</f>
        <v>View Full Record in Web of Science</v>
      </c>
    </row>
    <row r="42" spans="1:72" x14ac:dyDescent="0.15">
      <c r="A42" t="s">
        <v>72</v>
      </c>
      <c r="B42" t="s">
        <v>991</v>
      </c>
      <c r="C42" t="s">
        <v>74</v>
      </c>
      <c r="D42" t="s">
        <v>74</v>
      </c>
      <c r="E42" t="s">
        <v>74</v>
      </c>
      <c r="F42" t="s">
        <v>992</v>
      </c>
      <c r="G42" t="s">
        <v>74</v>
      </c>
      <c r="H42" t="s">
        <v>74</v>
      </c>
      <c r="I42" t="s">
        <v>993</v>
      </c>
      <c r="J42" t="s">
        <v>994</v>
      </c>
      <c r="K42" t="s">
        <v>74</v>
      </c>
      <c r="L42" t="s">
        <v>74</v>
      </c>
      <c r="M42" t="s">
        <v>78</v>
      </c>
      <c r="N42" t="s">
        <v>79</v>
      </c>
      <c r="O42" t="s">
        <v>74</v>
      </c>
      <c r="P42" t="s">
        <v>74</v>
      </c>
      <c r="Q42" t="s">
        <v>74</v>
      </c>
      <c r="R42" t="s">
        <v>74</v>
      </c>
      <c r="S42" t="s">
        <v>74</v>
      </c>
      <c r="T42" t="s">
        <v>74</v>
      </c>
      <c r="U42" t="s">
        <v>995</v>
      </c>
      <c r="V42" t="s">
        <v>996</v>
      </c>
      <c r="W42" t="s">
        <v>997</v>
      </c>
      <c r="X42" t="s">
        <v>998</v>
      </c>
      <c r="Y42" t="s">
        <v>999</v>
      </c>
      <c r="Z42" t="s">
        <v>1000</v>
      </c>
      <c r="AA42" t="s">
        <v>1001</v>
      </c>
      <c r="AB42" t="s">
        <v>1002</v>
      </c>
      <c r="AC42" t="s">
        <v>74</v>
      </c>
      <c r="AD42" t="s">
        <v>74</v>
      </c>
      <c r="AE42" t="s">
        <v>74</v>
      </c>
      <c r="AF42" t="s">
        <v>74</v>
      </c>
      <c r="AG42">
        <v>61</v>
      </c>
      <c r="AH42">
        <v>8</v>
      </c>
      <c r="AI42">
        <v>8</v>
      </c>
      <c r="AJ42">
        <v>2</v>
      </c>
      <c r="AK42">
        <v>16</v>
      </c>
      <c r="AL42" t="s">
        <v>1003</v>
      </c>
      <c r="AM42" t="s">
        <v>1004</v>
      </c>
      <c r="AN42" t="s">
        <v>1005</v>
      </c>
      <c r="AO42" t="s">
        <v>1006</v>
      </c>
      <c r="AP42" t="s">
        <v>1007</v>
      </c>
      <c r="AQ42" t="s">
        <v>74</v>
      </c>
      <c r="AR42" t="s">
        <v>1008</v>
      </c>
      <c r="AS42" t="s">
        <v>1009</v>
      </c>
      <c r="AT42" t="s">
        <v>920</v>
      </c>
      <c r="AU42">
        <v>2019</v>
      </c>
      <c r="AV42">
        <v>21</v>
      </c>
      <c r="AW42">
        <v>16</v>
      </c>
      <c r="AX42" t="s">
        <v>74</v>
      </c>
      <c r="AY42" t="s">
        <v>74</v>
      </c>
      <c r="AZ42" t="s">
        <v>74</v>
      </c>
      <c r="BA42" t="s">
        <v>74</v>
      </c>
      <c r="BB42">
        <v>8264</v>
      </c>
      <c r="BC42">
        <v>8274</v>
      </c>
      <c r="BD42" t="s">
        <v>74</v>
      </c>
      <c r="BE42" t="s">
        <v>1010</v>
      </c>
      <c r="BF42" t="str">
        <f>HYPERLINK("http://dx.doi.org/10.1039/c9cp01234f","http://dx.doi.org/10.1039/c9cp01234f")</f>
        <v>http://dx.doi.org/10.1039/c9cp01234f</v>
      </c>
      <c r="BG42" t="s">
        <v>74</v>
      </c>
      <c r="BH42" t="s">
        <v>74</v>
      </c>
      <c r="BI42">
        <v>11</v>
      </c>
      <c r="BJ42" t="s">
        <v>1011</v>
      </c>
      <c r="BK42" t="s">
        <v>102</v>
      </c>
      <c r="BL42" t="s">
        <v>1012</v>
      </c>
      <c r="BM42" t="s">
        <v>1013</v>
      </c>
      <c r="BN42">
        <v>30942245</v>
      </c>
      <c r="BO42" t="s">
        <v>1014</v>
      </c>
      <c r="BP42" t="s">
        <v>74</v>
      </c>
      <c r="BQ42" t="s">
        <v>74</v>
      </c>
      <c r="BR42" t="s">
        <v>107</v>
      </c>
      <c r="BS42" t="s">
        <v>1015</v>
      </c>
      <c r="BT42" t="str">
        <f>HYPERLINK("https%3A%2F%2Fwww.webofscience.com%2Fwos%2Fwoscc%2Ffull-record%2FWOS:000465603200005","View Full Record in Web of Science")</f>
        <v>View Full Record in Web of Science</v>
      </c>
    </row>
    <row r="43" spans="1:72" x14ac:dyDescent="0.15">
      <c r="A43" t="s">
        <v>72</v>
      </c>
      <c r="B43" t="s">
        <v>1016</v>
      </c>
      <c r="C43" t="s">
        <v>74</v>
      </c>
      <c r="D43" t="s">
        <v>74</v>
      </c>
      <c r="E43" t="s">
        <v>74</v>
      </c>
      <c r="F43" t="s">
        <v>1017</v>
      </c>
      <c r="G43" t="s">
        <v>74</v>
      </c>
      <c r="H43" t="s">
        <v>74</v>
      </c>
      <c r="I43" t="s">
        <v>1018</v>
      </c>
      <c r="J43" t="s">
        <v>1019</v>
      </c>
      <c r="K43" t="s">
        <v>74</v>
      </c>
      <c r="L43" t="s">
        <v>74</v>
      </c>
      <c r="M43" t="s">
        <v>78</v>
      </c>
      <c r="N43" t="s">
        <v>79</v>
      </c>
      <c r="O43" t="s">
        <v>74</v>
      </c>
      <c r="P43" t="s">
        <v>74</v>
      </c>
      <c r="Q43" t="s">
        <v>74</v>
      </c>
      <c r="R43" t="s">
        <v>74</v>
      </c>
      <c r="S43" t="s">
        <v>74</v>
      </c>
      <c r="T43" t="s">
        <v>74</v>
      </c>
      <c r="U43" t="s">
        <v>1020</v>
      </c>
      <c r="V43" t="s">
        <v>1021</v>
      </c>
      <c r="W43" t="s">
        <v>1022</v>
      </c>
      <c r="X43" t="s">
        <v>1023</v>
      </c>
      <c r="Y43" t="s">
        <v>1024</v>
      </c>
      <c r="Z43" t="s">
        <v>1025</v>
      </c>
      <c r="AA43" t="s">
        <v>1026</v>
      </c>
      <c r="AB43" t="s">
        <v>1027</v>
      </c>
      <c r="AC43" t="s">
        <v>1028</v>
      </c>
      <c r="AD43" t="s">
        <v>1029</v>
      </c>
      <c r="AE43" t="s">
        <v>1030</v>
      </c>
      <c r="AF43" t="s">
        <v>74</v>
      </c>
      <c r="AG43">
        <v>44</v>
      </c>
      <c r="AH43">
        <v>14</v>
      </c>
      <c r="AI43">
        <v>15</v>
      </c>
      <c r="AJ43">
        <v>1</v>
      </c>
      <c r="AK43">
        <v>4</v>
      </c>
      <c r="AL43" t="s">
        <v>125</v>
      </c>
      <c r="AM43" t="s">
        <v>126</v>
      </c>
      <c r="AN43" t="s">
        <v>127</v>
      </c>
      <c r="AO43" t="s">
        <v>1031</v>
      </c>
      <c r="AP43" t="s">
        <v>1032</v>
      </c>
      <c r="AQ43" t="s">
        <v>74</v>
      </c>
      <c r="AR43" t="s">
        <v>1033</v>
      </c>
      <c r="AS43" t="s">
        <v>1034</v>
      </c>
      <c r="AT43" t="s">
        <v>1035</v>
      </c>
      <c r="AU43">
        <v>2019</v>
      </c>
      <c r="AV43">
        <v>124</v>
      </c>
      <c r="AW43">
        <v>8</v>
      </c>
      <c r="AX43" t="s">
        <v>74</v>
      </c>
      <c r="AY43" t="s">
        <v>74</v>
      </c>
      <c r="AZ43" t="s">
        <v>74</v>
      </c>
      <c r="BA43" t="s">
        <v>74</v>
      </c>
      <c r="BB43">
        <v>4761</v>
      </c>
      <c r="BC43">
        <v>4781</v>
      </c>
      <c r="BD43" t="s">
        <v>74</v>
      </c>
      <c r="BE43" t="s">
        <v>1036</v>
      </c>
      <c r="BF43" t="str">
        <f>HYPERLINK("http://dx.doi.org/10.1029/2018JD029205","http://dx.doi.org/10.1029/2018JD029205")</f>
        <v>http://dx.doi.org/10.1029/2018JD029205</v>
      </c>
      <c r="BG43" t="s">
        <v>74</v>
      </c>
      <c r="BH43" t="s">
        <v>74</v>
      </c>
      <c r="BI43">
        <v>21</v>
      </c>
      <c r="BJ43" t="s">
        <v>133</v>
      </c>
      <c r="BK43" t="s">
        <v>102</v>
      </c>
      <c r="BL43" t="s">
        <v>133</v>
      </c>
      <c r="BM43" t="s">
        <v>1037</v>
      </c>
      <c r="BN43" t="s">
        <v>74</v>
      </c>
      <c r="BO43" t="s">
        <v>74</v>
      </c>
      <c r="BP43" t="s">
        <v>74</v>
      </c>
      <c r="BQ43" t="s">
        <v>74</v>
      </c>
      <c r="BR43" t="s">
        <v>107</v>
      </c>
      <c r="BS43" t="s">
        <v>1038</v>
      </c>
      <c r="BT43" t="str">
        <f>HYPERLINK("https%3A%2F%2Fwww.webofscience.com%2Fwos%2Fwoscc%2Ffull-record%2FWOS:000469071400028","View Full Record in Web of Science")</f>
        <v>View Full Record in Web of Science</v>
      </c>
    </row>
    <row r="44" spans="1:72" x14ac:dyDescent="0.15">
      <c r="A44" t="s">
        <v>72</v>
      </c>
      <c r="B44" t="s">
        <v>1039</v>
      </c>
      <c r="C44" t="s">
        <v>74</v>
      </c>
      <c r="D44" t="s">
        <v>74</v>
      </c>
      <c r="E44" t="s">
        <v>74</v>
      </c>
      <c r="F44" t="s">
        <v>1040</v>
      </c>
      <c r="G44" t="s">
        <v>74</v>
      </c>
      <c r="H44" t="s">
        <v>74</v>
      </c>
      <c r="I44" t="s">
        <v>1041</v>
      </c>
      <c r="J44" t="s">
        <v>1042</v>
      </c>
      <c r="K44" t="s">
        <v>74</v>
      </c>
      <c r="L44" t="s">
        <v>74</v>
      </c>
      <c r="M44" t="s">
        <v>78</v>
      </c>
      <c r="N44" t="s">
        <v>79</v>
      </c>
      <c r="O44" t="s">
        <v>74</v>
      </c>
      <c r="P44" t="s">
        <v>74</v>
      </c>
      <c r="Q44" t="s">
        <v>74</v>
      </c>
      <c r="R44" t="s">
        <v>74</v>
      </c>
      <c r="S44" t="s">
        <v>74</v>
      </c>
      <c r="T44" t="s">
        <v>74</v>
      </c>
      <c r="U44" t="s">
        <v>1043</v>
      </c>
      <c r="V44" t="s">
        <v>1044</v>
      </c>
      <c r="W44" t="s">
        <v>1045</v>
      </c>
      <c r="X44" t="s">
        <v>1046</v>
      </c>
      <c r="Y44" t="s">
        <v>1047</v>
      </c>
      <c r="Z44" t="s">
        <v>1048</v>
      </c>
      <c r="AA44" t="s">
        <v>1049</v>
      </c>
      <c r="AB44" t="s">
        <v>1050</v>
      </c>
      <c r="AC44" t="s">
        <v>1051</v>
      </c>
      <c r="AD44" t="s">
        <v>1052</v>
      </c>
      <c r="AE44" t="s">
        <v>1053</v>
      </c>
      <c r="AF44" t="s">
        <v>74</v>
      </c>
      <c r="AG44">
        <v>37</v>
      </c>
      <c r="AH44">
        <v>8</v>
      </c>
      <c r="AI44">
        <v>9</v>
      </c>
      <c r="AJ44">
        <v>0</v>
      </c>
      <c r="AK44">
        <v>11</v>
      </c>
      <c r="AL44" t="s">
        <v>868</v>
      </c>
      <c r="AM44" t="s">
        <v>869</v>
      </c>
      <c r="AN44" t="s">
        <v>870</v>
      </c>
      <c r="AO44" t="s">
        <v>1054</v>
      </c>
      <c r="AP44" t="s">
        <v>1055</v>
      </c>
      <c r="AQ44" t="s">
        <v>74</v>
      </c>
      <c r="AR44" t="s">
        <v>1056</v>
      </c>
      <c r="AS44" t="s">
        <v>1057</v>
      </c>
      <c r="AT44" t="s">
        <v>1058</v>
      </c>
      <c r="AU44">
        <v>2019</v>
      </c>
      <c r="AV44">
        <v>19</v>
      </c>
      <c r="AW44">
        <v>8</v>
      </c>
      <c r="AX44" t="s">
        <v>74</v>
      </c>
      <c r="AY44" t="s">
        <v>74</v>
      </c>
      <c r="AZ44" t="s">
        <v>74</v>
      </c>
      <c r="BA44" t="s">
        <v>74</v>
      </c>
      <c r="BB44">
        <v>5511</v>
      </c>
      <c r="BC44">
        <v>5528</v>
      </c>
      <c r="BD44" t="s">
        <v>74</v>
      </c>
      <c r="BE44" t="s">
        <v>1059</v>
      </c>
      <c r="BF44" t="str">
        <f>HYPERLINK("http://dx.doi.org/10.5194/acp-19-5511-2019","http://dx.doi.org/10.5194/acp-19-5511-2019")</f>
        <v>http://dx.doi.org/10.5194/acp-19-5511-2019</v>
      </c>
      <c r="BG44" t="s">
        <v>74</v>
      </c>
      <c r="BH44" t="s">
        <v>74</v>
      </c>
      <c r="BI44">
        <v>18</v>
      </c>
      <c r="BJ44" t="s">
        <v>1060</v>
      </c>
      <c r="BK44" t="s">
        <v>102</v>
      </c>
      <c r="BL44" t="s">
        <v>338</v>
      </c>
      <c r="BM44" t="s">
        <v>1061</v>
      </c>
      <c r="BN44" t="s">
        <v>74</v>
      </c>
      <c r="BO44" t="s">
        <v>1062</v>
      </c>
      <c r="BP44" t="s">
        <v>74</v>
      </c>
      <c r="BQ44" t="s">
        <v>74</v>
      </c>
      <c r="BR44" t="s">
        <v>107</v>
      </c>
      <c r="BS44" t="s">
        <v>1063</v>
      </c>
      <c r="BT44" t="str">
        <f>HYPERLINK("https%3A%2F%2Fwww.webofscience.com%2Fwos%2Fwoscc%2Ffull-record%2FWOS:000466113900002","View Full Record in Web of Science")</f>
        <v>View Full Record in Web of Science</v>
      </c>
    </row>
    <row r="45" spans="1:72" x14ac:dyDescent="0.15">
      <c r="A45" t="s">
        <v>72</v>
      </c>
      <c r="B45" t="s">
        <v>1064</v>
      </c>
      <c r="C45" t="s">
        <v>74</v>
      </c>
      <c r="D45" t="s">
        <v>74</v>
      </c>
      <c r="E45" t="s">
        <v>74</v>
      </c>
      <c r="F45" t="s">
        <v>1065</v>
      </c>
      <c r="G45" t="s">
        <v>74</v>
      </c>
      <c r="H45" t="s">
        <v>74</v>
      </c>
      <c r="I45" t="s">
        <v>1066</v>
      </c>
      <c r="J45" t="s">
        <v>856</v>
      </c>
      <c r="K45" t="s">
        <v>74</v>
      </c>
      <c r="L45" t="s">
        <v>74</v>
      </c>
      <c r="M45" t="s">
        <v>78</v>
      </c>
      <c r="N45" t="s">
        <v>79</v>
      </c>
      <c r="O45" t="s">
        <v>74</v>
      </c>
      <c r="P45" t="s">
        <v>74</v>
      </c>
      <c r="Q45" t="s">
        <v>74</v>
      </c>
      <c r="R45" t="s">
        <v>74</v>
      </c>
      <c r="S45" t="s">
        <v>74</v>
      </c>
      <c r="T45" t="s">
        <v>74</v>
      </c>
      <c r="U45" t="s">
        <v>1067</v>
      </c>
      <c r="V45" t="s">
        <v>1068</v>
      </c>
      <c r="W45" t="s">
        <v>1069</v>
      </c>
      <c r="X45" t="s">
        <v>1070</v>
      </c>
      <c r="Y45" t="s">
        <v>1071</v>
      </c>
      <c r="Z45" t="s">
        <v>1072</v>
      </c>
      <c r="AA45" t="s">
        <v>1073</v>
      </c>
      <c r="AB45" t="s">
        <v>1074</v>
      </c>
      <c r="AC45" t="s">
        <v>1075</v>
      </c>
      <c r="AD45" t="s">
        <v>1076</v>
      </c>
      <c r="AE45" t="s">
        <v>1077</v>
      </c>
      <c r="AF45" t="s">
        <v>74</v>
      </c>
      <c r="AG45">
        <v>81</v>
      </c>
      <c r="AH45">
        <v>29</v>
      </c>
      <c r="AI45">
        <v>30</v>
      </c>
      <c r="AJ45">
        <v>1</v>
      </c>
      <c r="AK45">
        <v>26</v>
      </c>
      <c r="AL45" t="s">
        <v>868</v>
      </c>
      <c r="AM45" t="s">
        <v>869</v>
      </c>
      <c r="AN45" t="s">
        <v>870</v>
      </c>
      <c r="AO45" t="s">
        <v>871</v>
      </c>
      <c r="AP45" t="s">
        <v>872</v>
      </c>
      <c r="AQ45" t="s">
        <v>74</v>
      </c>
      <c r="AR45" t="s">
        <v>873</v>
      </c>
      <c r="AS45" t="s">
        <v>874</v>
      </c>
      <c r="AT45" t="s">
        <v>1078</v>
      </c>
      <c r="AU45">
        <v>2019</v>
      </c>
      <c r="AV45">
        <v>15</v>
      </c>
      <c r="AW45">
        <v>2</v>
      </c>
      <c r="AX45" t="s">
        <v>74</v>
      </c>
      <c r="AY45" t="s">
        <v>74</v>
      </c>
      <c r="AZ45" t="s">
        <v>74</v>
      </c>
      <c r="BA45" t="s">
        <v>74</v>
      </c>
      <c r="BB45">
        <v>811</v>
      </c>
      <c r="BC45">
        <v>825</v>
      </c>
      <c r="BD45" t="s">
        <v>74</v>
      </c>
      <c r="BE45" t="s">
        <v>1079</v>
      </c>
      <c r="BF45" t="str">
        <f>HYPERLINK("http://dx.doi.org/10.5194/cp-15-811-2019","http://dx.doi.org/10.5194/cp-15-811-2019")</f>
        <v>http://dx.doi.org/10.5194/cp-15-811-2019</v>
      </c>
      <c r="BG45" t="s">
        <v>74</v>
      </c>
      <c r="BH45" t="s">
        <v>74</v>
      </c>
      <c r="BI45">
        <v>15</v>
      </c>
      <c r="BJ45" t="s">
        <v>876</v>
      </c>
      <c r="BK45" t="s">
        <v>102</v>
      </c>
      <c r="BL45" t="s">
        <v>877</v>
      </c>
      <c r="BM45" t="s">
        <v>1080</v>
      </c>
      <c r="BN45" t="s">
        <v>74</v>
      </c>
      <c r="BO45" t="s">
        <v>1081</v>
      </c>
      <c r="BP45" t="s">
        <v>74</v>
      </c>
      <c r="BQ45" t="s">
        <v>74</v>
      </c>
      <c r="BR45" t="s">
        <v>107</v>
      </c>
      <c r="BS45" t="s">
        <v>1082</v>
      </c>
      <c r="BT45" t="str">
        <f>HYPERLINK("https%3A%2F%2Fwww.webofscience.com%2Fwos%2Fwoscc%2Ffull-record%2FWOS:000465965600001","View Full Record in Web of Science")</f>
        <v>View Full Record in Web of Science</v>
      </c>
    </row>
    <row r="46" spans="1:72" x14ac:dyDescent="0.15">
      <c r="A46" t="s">
        <v>72</v>
      </c>
      <c r="B46" t="s">
        <v>1083</v>
      </c>
      <c r="C46" t="s">
        <v>74</v>
      </c>
      <c r="D46" t="s">
        <v>74</v>
      </c>
      <c r="E46" t="s">
        <v>74</v>
      </c>
      <c r="F46" t="s">
        <v>1084</v>
      </c>
      <c r="G46" t="s">
        <v>74</v>
      </c>
      <c r="H46" t="s">
        <v>74</v>
      </c>
      <c r="I46" t="s">
        <v>1085</v>
      </c>
      <c r="J46" t="s">
        <v>808</v>
      </c>
      <c r="K46" t="s">
        <v>74</v>
      </c>
      <c r="L46" t="s">
        <v>74</v>
      </c>
      <c r="M46" t="s">
        <v>78</v>
      </c>
      <c r="N46" t="s">
        <v>469</v>
      </c>
      <c r="O46" t="s">
        <v>74</v>
      </c>
      <c r="P46" t="s">
        <v>74</v>
      </c>
      <c r="Q46" t="s">
        <v>74</v>
      </c>
      <c r="R46" t="s">
        <v>74</v>
      </c>
      <c r="S46" t="s">
        <v>74</v>
      </c>
      <c r="T46" t="s">
        <v>1086</v>
      </c>
      <c r="U46" t="s">
        <v>1087</v>
      </c>
      <c r="V46" t="s">
        <v>1088</v>
      </c>
      <c r="W46" t="s">
        <v>1089</v>
      </c>
      <c r="X46" t="s">
        <v>1090</v>
      </c>
      <c r="Y46" t="s">
        <v>1091</v>
      </c>
      <c r="Z46" t="s">
        <v>1092</v>
      </c>
      <c r="AA46" t="s">
        <v>1093</v>
      </c>
      <c r="AB46" t="s">
        <v>1094</v>
      </c>
      <c r="AC46" t="s">
        <v>1095</v>
      </c>
      <c r="AD46" t="s">
        <v>1096</v>
      </c>
      <c r="AE46" t="s">
        <v>1097</v>
      </c>
      <c r="AF46" t="s">
        <v>74</v>
      </c>
      <c r="AG46">
        <v>193</v>
      </c>
      <c r="AH46">
        <v>199</v>
      </c>
      <c r="AI46">
        <v>218</v>
      </c>
      <c r="AJ46">
        <v>8</v>
      </c>
      <c r="AK46">
        <v>132</v>
      </c>
      <c r="AL46" t="s">
        <v>821</v>
      </c>
      <c r="AM46" t="s">
        <v>822</v>
      </c>
      <c r="AN46" t="s">
        <v>823</v>
      </c>
      <c r="AO46" t="s">
        <v>74</v>
      </c>
      <c r="AP46" t="s">
        <v>824</v>
      </c>
      <c r="AQ46" t="s">
        <v>74</v>
      </c>
      <c r="AR46" t="s">
        <v>825</v>
      </c>
      <c r="AS46" t="s">
        <v>826</v>
      </c>
      <c r="AT46" t="s">
        <v>1078</v>
      </c>
      <c r="AU46">
        <v>2019</v>
      </c>
      <c r="AV46">
        <v>6</v>
      </c>
      <c r="AW46" t="s">
        <v>74</v>
      </c>
      <c r="AX46" t="s">
        <v>74</v>
      </c>
      <c r="AY46" t="s">
        <v>74</v>
      </c>
      <c r="AZ46" t="s">
        <v>74</v>
      </c>
      <c r="BA46" t="s">
        <v>74</v>
      </c>
      <c r="BB46" t="s">
        <v>74</v>
      </c>
      <c r="BC46" t="s">
        <v>74</v>
      </c>
      <c r="BD46">
        <v>196</v>
      </c>
      <c r="BE46" t="s">
        <v>1098</v>
      </c>
      <c r="BF46" t="str">
        <f>HYPERLINK("http://dx.doi.org/10.3389/fmars.2019.00196","http://dx.doi.org/10.3389/fmars.2019.00196")</f>
        <v>http://dx.doi.org/10.3389/fmars.2019.00196</v>
      </c>
      <c r="BG46" t="s">
        <v>74</v>
      </c>
      <c r="BH46" t="s">
        <v>74</v>
      </c>
      <c r="BI46">
        <v>21</v>
      </c>
      <c r="BJ46" t="s">
        <v>829</v>
      </c>
      <c r="BK46" t="s">
        <v>102</v>
      </c>
      <c r="BL46" t="s">
        <v>830</v>
      </c>
      <c r="BM46" t="s">
        <v>1099</v>
      </c>
      <c r="BN46" t="s">
        <v>74</v>
      </c>
      <c r="BO46" t="s">
        <v>1100</v>
      </c>
      <c r="BP46" t="s">
        <v>105</v>
      </c>
      <c r="BQ46" t="s">
        <v>106</v>
      </c>
      <c r="BR46" t="s">
        <v>107</v>
      </c>
      <c r="BS46" t="s">
        <v>1101</v>
      </c>
      <c r="BT46" t="str">
        <f>HYPERLINK("https%3A%2F%2Fwww.webofscience.com%2Fwos%2Fwoscc%2Ffull-record%2FWOS:000467010900001","View Full Record in Web of Science")</f>
        <v>View Full Record in Web of Science</v>
      </c>
    </row>
    <row r="47" spans="1:72" x14ac:dyDescent="0.15">
      <c r="A47" t="s">
        <v>72</v>
      </c>
      <c r="B47" t="s">
        <v>1102</v>
      </c>
      <c r="C47" t="s">
        <v>74</v>
      </c>
      <c r="D47" t="s">
        <v>74</v>
      </c>
      <c r="E47" t="s">
        <v>74</v>
      </c>
      <c r="F47" t="s">
        <v>1103</v>
      </c>
      <c r="G47" t="s">
        <v>74</v>
      </c>
      <c r="H47" t="s">
        <v>74</v>
      </c>
      <c r="I47" t="s">
        <v>1104</v>
      </c>
      <c r="J47" t="s">
        <v>1105</v>
      </c>
      <c r="K47" t="s">
        <v>74</v>
      </c>
      <c r="L47" t="s">
        <v>74</v>
      </c>
      <c r="M47" t="s">
        <v>78</v>
      </c>
      <c r="N47" t="s">
        <v>79</v>
      </c>
      <c r="O47" t="s">
        <v>74</v>
      </c>
      <c r="P47" t="s">
        <v>74</v>
      </c>
      <c r="Q47" t="s">
        <v>74</v>
      </c>
      <c r="R47" t="s">
        <v>74</v>
      </c>
      <c r="S47" t="s">
        <v>74</v>
      </c>
      <c r="T47" t="s">
        <v>1106</v>
      </c>
      <c r="U47" t="s">
        <v>1107</v>
      </c>
      <c r="V47" t="s">
        <v>1108</v>
      </c>
      <c r="W47" t="s">
        <v>1109</v>
      </c>
      <c r="X47" t="s">
        <v>1110</v>
      </c>
      <c r="Y47" t="s">
        <v>1111</v>
      </c>
      <c r="Z47" t="s">
        <v>1112</v>
      </c>
      <c r="AA47" t="s">
        <v>74</v>
      </c>
      <c r="AB47" t="s">
        <v>74</v>
      </c>
      <c r="AC47" t="s">
        <v>74</v>
      </c>
      <c r="AD47" t="s">
        <v>74</v>
      </c>
      <c r="AE47" t="s">
        <v>74</v>
      </c>
      <c r="AF47" t="s">
        <v>74</v>
      </c>
      <c r="AG47">
        <v>39</v>
      </c>
      <c r="AH47">
        <v>71</v>
      </c>
      <c r="AI47">
        <v>77</v>
      </c>
      <c r="AJ47">
        <v>24</v>
      </c>
      <c r="AK47">
        <v>113</v>
      </c>
      <c r="AL47" t="s">
        <v>306</v>
      </c>
      <c r="AM47" t="s">
        <v>93</v>
      </c>
      <c r="AN47" t="s">
        <v>307</v>
      </c>
      <c r="AO47" t="s">
        <v>1113</v>
      </c>
      <c r="AP47" t="s">
        <v>1114</v>
      </c>
      <c r="AQ47" t="s">
        <v>74</v>
      </c>
      <c r="AR47" t="s">
        <v>1115</v>
      </c>
      <c r="AS47" t="s">
        <v>1116</v>
      </c>
      <c r="AT47" t="s">
        <v>1078</v>
      </c>
      <c r="AU47">
        <v>2019</v>
      </c>
      <c r="AV47">
        <v>278</v>
      </c>
      <c r="AW47" t="s">
        <v>74</v>
      </c>
      <c r="AX47" t="s">
        <v>74</v>
      </c>
      <c r="AY47" t="s">
        <v>74</v>
      </c>
      <c r="AZ47" t="s">
        <v>74</v>
      </c>
      <c r="BA47" t="s">
        <v>74</v>
      </c>
      <c r="BB47">
        <v>644</v>
      </c>
      <c r="BC47">
        <v>652</v>
      </c>
      <c r="BD47" t="s">
        <v>74</v>
      </c>
      <c r="BE47" t="s">
        <v>1117</v>
      </c>
      <c r="BF47" t="str">
        <f>HYPERLINK("http://dx.doi.org/10.1016/j.foodchem.2018.11.080","http://dx.doi.org/10.1016/j.foodchem.2018.11.080")</f>
        <v>http://dx.doi.org/10.1016/j.foodchem.2018.11.080</v>
      </c>
      <c r="BG47" t="s">
        <v>74</v>
      </c>
      <c r="BH47" t="s">
        <v>74</v>
      </c>
      <c r="BI47">
        <v>9</v>
      </c>
      <c r="BJ47" t="s">
        <v>1118</v>
      </c>
      <c r="BK47" t="s">
        <v>102</v>
      </c>
      <c r="BL47" t="s">
        <v>1119</v>
      </c>
      <c r="BM47" t="s">
        <v>1120</v>
      </c>
      <c r="BN47">
        <v>30583424</v>
      </c>
      <c r="BO47" t="s">
        <v>74</v>
      </c>
      <c r="BP47" t="s">
        <v>74</v>
      </c>
      <c r="BQ47" t="s">
        <v>74</v>
      </c>
      <c r="BR47" t="s">
        <v>107</v>
      </c>
      <c r="BS47" t="s">
        <v>1121</v>
      </c>
      <c r="BT47" t="str">
        <f>HYPERLINK("https%3A%2F%2Fwww.webofscience.com%2Fwos%2Fwoscc%2Ffull-record%2FWOS:000453529300081","View Full Record in Web of Science")</f>
        <v>View Full Record in Web of Science</v>
      </c>
    </row>
    <row r="48" spans="1:72" x14ac:dyDescent="0.15">
      <c r="A48" t="s">
        <v>72</v>
      </c>
      <c r="B48" t="s">
        <v>1122</v>
      </c>
      <c r="C48" t="s">
        <v>74</v>
      </c>
      <c r="D48" t="s">
        <v>74</v>
      </c>
      <c r="E48" t="s">
        <v>74</v>
      </c>
      <c r="F48" t="s">
        <v>1123</v>
      </c>
      <c r="G48" t="s">
        <v>74</v>
      </c>
      <c r="H48" t="s">
        <v>74</v>
      </c>
      <c r="I48" t="s">
        <v>1124</v>
      </c>
      <c r="J48" t="s">
        <v>1125</v>
      </c>
      <c r="K48" t="s">
        <v>74</v>
      </c>
      <c r="L48" t="s">
        <v>74</v>
      </c>
      <c r="M48" t="s">
        <v>78</v>
      </c>
      <c r="N48" t="s">
        <v>79</v>
      </c>
      <c r="O48" t="s">
        <v>74</v>
      </c>
      <c r="P48" t="s">
        <v>74</v>
      </c>
      <c r="Q48" t="s">
        <v>74</v>
      </c>
      <c r="R48" t="s">
        <v>74</v>
      </c>
      <c r="S48" t="s">
        <v>74</v>
      </c>
      <c r="T48" t="s">
        <v>74</v>
      </c>
      <c r="U48" t="s">
        <v>1126</v>
      </c>
      <c r="V48" t="s">
        <v>1127</v>
      </c>
      <c r="W48" t="s">
        <v>1128</v>
      </c>
      <c r="X48" t="s">
        <v>1129</v>
      </c>
      <c r="Y48" t="s">
        <v>1130</v>
      </c>
      <c r="Z48" t="s">
        <v>1131</v>
      </c>
      <c r="AA48" t="s">
        <v>1132</v>
      </c>
      <c r="AB48" t="s">
        <v>1133</v>
      </c>
      <c r="AC48" t="s">
        <v>1134</v>
      </c>
      <c r="AD48" t="s">
        <v>1135</v>
      </c>
      <c r="AE48" t="s">
        <v>1136</v>
      </c>
      <c r="AF48" t="s">
        <v>74</v>
      </c>
      <c r="AG48">
        <v>113</v>
      </c>
      <c r="AH48">
        <v>21</v>
      </c>
      <c r="AI48">
        <v>21</v>
      </c>
      <c r="AJ48">
        <v>0</v>
      </c>
      <c r="AK48">
        <v>8</v>
      </c>
      <c r="AL48" t="s">
        <v>868</v>
      </c>
      <c r="AM48" t="s">
        <v>869</v>
      </c>
      <c r="AN48" t="s">
        <v>870</v>
      </c>
      <c r="AO48" t="s">
        <v>1137</v>
      </c>
      <c r="AP48" t="s">
        <v>1138</v>
      </c>
      <c r="AQ48" t="s">
        <v>74</v>
      </c>
      <c r="AR48" t="s">
        <v>1125</v>
      </c>
      <c r="AS48" t="s">
        <v>1139</v>
      </c>
      <c r="AT48" t="s">
        <v>1140</v>
      </c>
      <c r="AU48">
        <v>2019</v>
      </c>
      <c r="AV48">
        <v>13</v>
      </c>
      <c r="AW48">
        <v>4</v>
      </c>
      <c r="AX48" t="s">
        <v>74</v>
      </c>
      <c r="AY48" t="s">
        <v>74</v>
      </c>
      <c r="AZ48" t="s">
        <v>74</v>
      </c>
      <c r="BA48" t="s">
        <v>74</v>
      </c>
      <c r="BB48">
        <v>1297</v>
      </c>
      <c r="BC48">
        <v>1324</v>
      </c>
      <c r="BD48" t="s">
        <v>74</v>
      </c>
      <c r="BE48" t="s">
        <v>1141</v>
      </c>
      <c r="BF48" t="str">
        <f>HYPERLINK("http://dx.doi.org/10.5194/tc-13-1297-2019","http://dx.doi.org/10.5194/tc-13-1297-2019")</f>
        <v>http://dx.doi.org/10.5194/tc-13-1297-2019</v>
      </c>
      <c r="BG48" t="s">
        <v>74</v>
      </c>
      <c r="BH48" t="s">
        <v>74</v>
      </c>
      <c r="BI48">
        <v>28</v>
      </c>
      <c r="BJ48" t="s">
        <v>1142</v>
      </c>
      <c r="BK48" t="s">
        <v>102</v>
      </c>
      <c r="BL48" t="s">
        <v>1143</v>
      </c>
      <c r="BM48" t="s">
        <v>1144</v>
      </c>
      <c r="BN48" t="s">
        <v>74</v>
      </c>
      <c r="BO48" t="s">
        <v>135</v>
      </c>
      <c r="BP48" t="s">
        <v>74</v>
      </c>
      <c r="BQ48" t="s">
        <v>74</v>
      </c>
      <c r="BR48" t="s">
        <v>107</v>
      </c>
      <c r="BS48" t="s">
        <v>1145</v>
      </c>
      <c r="BT48" t="str">
        <f>HYPERLINK("https%3A%2F%2Fwww.webofscience.com%2Fwos%2Fwoscc%2Ffull-record%2FWOS:000465635800001","View Full Record in Web of Science")</f>
        <v>View Full Record in Web of Science</v>
      </c>
    </row>
    <row r="49" spans="1:72" x14ac:dyDescent="0.15">
      <c r="A49" t="s">
        <v>72</v>
      </c>
      <c r="B49" t="s">
        <v>1146</v>
      </c>
      <c r="C49" t="s">
        <v>74</v>
      </c>
      <c r="D49" t="s">
        <v>74</v>
      </c>
      <c r="E49" t="s">
        <v>74</v>
      </c>
      <c r="F49" t="s">
        <v>1147</v>
      </c>
      <c r="G49" t="s">
        <v>74</v>
      </c>
      <c r="H49" t="s">
        <v>74</v>
      </c>
      <c r="I49" t="s">
        <v>1148</v>
      </c>
      <c r="J49" t="s">
        <v>1125</v>
      </c>
      <c r="K49" t="s">
        <v>74</v>
      </c>
      <c r="L49" t="s">
        <v>74</v>
      </c>
      <c r="M49" t="s">
        <v>78</v>
      </c>
      <c r="N49" t="s">
        <v>79</v>
      </c>
      <c r="O49" t="s">
        <v>74</v>
      </c>
      <c r="P49" t="s">
        <v>74</v>
      </c>
      <c r="Q49" t="s">
        <v>74</v>
      </c>
      <c r="R49" t="s">
        <v>74</v>
      </c>
      <c r="S49" t="s">
        <v>74</v>
      </c>
      <c r="T49" t="s">
        <v>74</v>
      </c>
      <c r="U49" t="s">
        <v>1149</v>
      </c>
      <c r="V49" t="s">
        <v>1150</v>
      </c>
      <c r="W49" t="s">
        <v>1151</v>
      </c>
      <c r="X49" t="s">
        <v>1152</v>
      </c>
      <c r="Y49" t="s">
        <v>1153</v>
      </c>
      <c r="Z49" t="s">
        <v>1154</v>
      </c>
      <c r="AA49" t="s">
        <v>1155</v>
      </c>
      <c r="AB49" t="s">
        <v>1156</v>
      </c>
      <c r="AC49" t="s">
        <v>1157</v>
      </c>
      <c r="AD49" t="s">
        <v>1158</v>
      </c>
      <c r="AE49" t="s">
        <v>1159</v>
      </c>
      <c r="AF49" t="s">
        <v>74</v>
      </c>
      <c r="AG49">
        <v>118</v>
      </c>
      <c r="AH49">
        <v>49</v>
      </c>
      <c r="AI49">
        <v>57</v>
      </c>
      <c r="AJ49">
        <v>2</v>
      </c>
      <c r="AK49">
        <v>22</v>
      </c>
      <c r="AL49" t="s">
        <v>868</v>
      </c>
      <c r="AM49" t="s">
        <v>869</v>
      </c>
      <c r="AN49" t="s">
        <v>870</v>
      </c>
      <c r="AO49" t="s">
        <v>1137</v>
      </c>
      <c r="AP49" t="s">
        <v>1138</v>
      </c>
      <c r="AQ49" t="s">
        <v>74</v>
      </c>
      <c r="AR49" t="s">
        <v>1125</v>
      </c>
      <c r="AS49" t="s">
        <v>1139</v>
      </c>
      <c r="AT49" t="s">
        <v>1140</v>
      </c>
      <c r="AU49">
        <v>2019</v>
      </c>
      <c r="AV49">
        <v>13</v>
      </c>
      <c r="AW49">
        <v>4</v>
      </c>
      <c r="AX49" t="s">
        <v>74</v>
      </c>
      <c r="AY49" t="s">
        <v>74</v>
      </c>
      <c r="AZ49" t="s">
        <v>74</v>
      </c>
      <c r="BA49" t="s">
        <v>74</v>
      </c>
      <c r="BB49">
        <v>1349</v>
      </c>
      <c r="BC49">
        <v>1380</v>
      </c>
      <c r="BD49" t="s">
        <v>74</v>
      </c>
      <c r="BE49" t="s">
        <v>1160</v>
      </c>
      <c r="BF49" t="str">
        <f>HYPERLINK("http://dx.doi.org/10.5194/tc-13-1349-2019","http://dx.doi.org/10.5194/tc-13-1349-2019")</f>
        <v>http://dx.doi.org/10.5194/tc-13-1349-2019</v>
      </c>
      <c r="BG49" t="s">
        <v>74</v>
      </c>
      <c r="BH49" t="s">
        <v>74</v>
      </c>
      <c r="BI49">
        <v>32</v>
      </c>
      <c r="BJ49" t="s">
        <v>1142</v>
      </c>
      <c r="BK49" t="s">
        <v>102</v>
      </c>
      <c r="BL49" t="s">
        <v>1143</v>
      </c>
      <c r="BM49" t="s">
        <v>1144</v>
      </c>
      <c r="BN49" t="s">
        <v>74</v>
      </c>
      <c r="BO49" t="s">
        <v>1161</v>
      </c>
      <c r="BP49" t="s">
        <v>74</v>
      </c>
      <c r="BQ49" t="s">
        <v>74</v>
      </c>
      <c r="BR49" t="s">
        <v>107</v>
      </c>
      <c r="BS49" t="s">
        <v>1162</v>
      </c>
      <c r="BT49" t="str">
        <f>HYPERLINK("https%3A%2F%2Fwww.webofscience.com%2Fwos%2Fwoscc%2Ffull-record%2FWOS:000465635800003","View Full Record in Web of Science")</f>
        <v>View Full Record in Web of Science</v>
      </c>
    </row>
    <row r="50" spans="1:72" x14ac:dyDescent="0.15">
      <c r="A50" t="s">
        <v>72</v>
      </c>
      <c r="B50" t="s">
        <v>1163</v>
      </c>
      <c r="C50" t="s">
        <v>74</v>
      </c>
      <c r="D50" t="s">
        <v>74</v>
      </c>
      <c r="E50" t="s">
        <v>74</v>
      </c>
      <c r="F50" t="s">
        <v>1164</v>
      </c>
      <c r="G50" t="s">
        <v>74</v>
      </c>
      <c r="H50" t="s">
        <v>74</v>
      </c>
      <c r="I50" t="s">
        <v>1165</v>
      </c>
      <c r="J50" t="s">
        <v>1166</v>
      </c>
      <c r="K50" t="s">
        <v>74</v>
      </c>
      <c r="L50" t="s">
        <v>74</v>
      </c>
      <c r="M50" t="s">
        <v>78</v>
      </c>
      <c r="N50" t="s">
        <v>79</v>
      </c>
      <c r="O50" t="s">
        <v>74</v>
      </c>
      <c r="P50" t="s">
        <v>74</v>
      </c>
      <c r="Q50" t="s">
        <v>74</v>
      </c>
      <c r="R50" t="s">
        <v>74</v>
      </c>
      <c r="S50" t="s">
        <v>74</v>
      </c>
      <c r="T50" t="s">
        <v>1167</v>
      </c>
      <c r="U50" t="s">
        <v>1168</v>
      </c>
      <c r="V50" t="s">
        <v>1169</v>
      </c>
      <c r="W50" t="s">
        <v>1170</v>
      </c>
      <c r="X50" t="s">
        <v>1171</v>
      </c>
      <c r="Y50" t="s">
        <v>1172</v>
      </c>
      <c r="Z50" t="s">
        <v>1173</v>
      </c>
      <c r="AA50" t="s">
        <v>1174</v>
      </c>
      <c r="AB50" t="s">
        <v>1175</v>
      </c>
      <c r="AC50" t="s">
        <v>1176</v>
      </c>
      <c r="AD50" t="s">
        <v>1177</v>
      </c>
      <c r="AE50" t="s">
        <v>1178</v>
      </c>
      <c r="AF50" t="s">
        <v>74</v>
      </c>
      <c r="AG50">
        <v>68</v>
      </c>
      <c r="AH50">
        <v>15</v>
      </c>
      <c r="AI50">
        <v>16</v>
      </c>
      <c r="AJ50">
        <v>2</v>
      </c>
      <c r="AK50">
        <v>34</v>
      </c>
      <c r="AL50" t="s">
        <v>662</v>
      </c>
      <c r="AM50" t="s">
        <v>635</v>
      </c>
      <c r="AN50" t="s">
        <v>663</v>
      </c>
      <c r="AO50" t="s">
        <v>1179</v>
      </c>
      <c r="AP50" t="s">
        <v>1180</v>
      </c>
      <c r="AQ50" t="s">
        <v>74</v>
      </c>
      <c r="AR50" t="s">
        <v>1181</v>
      </c>
      <c r="AS50" t="s">
        <v>1182</v>
      </c>
      <c r="AT50" t="s">
        <v>1183</v>
      </c>
      <c r="AU50">
        <v>2019</v>
      </c>
      <c r="AV50">
        <v>211</v>
      </c>
      <c r="AW50" t="s">
        <v>74</v>
      </c>
      <c r="AX50" t="s">
        <v>74</v>
      </c>
      <c r="AY50" t="s">
        <v>74</v>
      </c>
      <c r="AZ50" t="s">
        <v>74</v>
      </c>
      <c r="BA50" t="s">
        <v>74</v>
      </c>
      <c r="BB50">
        <v>1</v>
      </c>
      <c r="BC50">
        <v>14</v>
      </c>
      <c r="BD50" t="s">
        <v>74</v>
      </c>
      <c r="BE50" t="s">
        <v>1184</v>
      </c>
      <c r="BF50" t="str">
        <f>HYPERLINK("http://dx.doi.org/10.1016/j.marchem.2019.03.002","http://dx.doi.org/10.1016/j.marchem.2019.03.002")</f>
        <v>http://dx.doi.org/10.1016/j.marchem.2019.03.002</v>
      </c>
      <c r="BG50" t="s">
        <v>74</v>
      </c>
      <c r="BH50" t="s">
        <v>74</v>
      </c>
      <c r="BI50">
        <v>14</v>
      </c>
      <c r="BJ50" t="s">
        <v>1185</v>
      </c>
      <c r="BK50" t="s">
        <v>102</v>
      </c>
      <c r="BL50" t="s">
        <v>1186</v>
      </c>
      <c r="BM50" t="s">
        <v>1187</v>
      </c>
      <c r="BN50" t="s">
        <v>74</v>
      </c>
      <c r="BO50" t="s">
        <v>74</v>
      </c>
      <c r="BP50" t="s">
        <v>74</v>
      </c>
      <c r="BQ50" t="s">
        <v>74</v>
      </c>
      <c r="BR50" t="s">
        <v>107</v>
      </c>
      <c r="BS50" t="s">
        <v>1188</v>
      </c>
      <c r="BT50" t="str">
        <f>HYPERLINK("https%3A%2F%2Fwww.webofscience.com%2Fwos%2Fwoscc%2Ffull-record%2FWOS:000467669600001","View Full Record in Web of Science")</f>
        <v>View Full Record in Web of Science</v>
      </c>
    </row>
    <row r="51" spans="1:72" x14ac:dyDescent="0.15">
      <c r="A51" t="s">
        <v>72</v>
      </c>
      <c r="B51" t="s">
        <v>1189</v>
      </c>
      <c r="C51" t="s">
        <v>74</v>
      </c>
      <c r="D51" t="s">
        <v>74</v>
      </c>
      <c r="E51" t="s">
        <v>74</v>
      </c>
      <c r="F51" t="s">
        <v>1190</v>
      </c>
      <c r="G51" t="s">
        <v>74</v>
      </c>
      <c r="H51" t="s">
        <v>74</v>
      </c>
      <c r="I51" t="s">
        <v>1191</v>
      </c>
      <c r="J51" t="s">
        <v>1192</v>
      </c>
      <c r="K51" t="s">
        <v>74</v>
      </c>
      <c r="L51" t="s">
        <v>74</v>
      </c>
      <c r="M51" t="s">
        <v>78</v>
      </c>
      <c r="N51" t="s">
        <v>79</v>
      </c>
      <c r="O51" t="s">
        <v>74</v>
      </c>
      <c r="P51" t="s">
        <v>74</v>
      </c>
      <c r="Q51" t="s">
        <v>74</v>
      </c>
      <c r="R51" t="s">
        <v>74</v>
      </c>
      <c r="S51" t="s">
        <v>74</v>
      </c>
      <c r="T51" t="s">
        <v>1193</v>
      </c>
      <c r="U51" t="s">
        <v>1194</v>
      </c>
      <c r="V51" t="s">
        <v>1195</v>
      </c>
      <c r="W51" t="s">
        <v>1196</v>
      </c>
      <c r="X51" t="s">
        <v>1197</v>
      </c>
      <c r="Y51" t="s">
        <v>1198</v>
      </c>
      <c r="Z51" t="s">
        <v>1199</v>
      </c>
      <c r="AA51" t="s">
        <v>1200</v>
      </c>
      <c r="AB51" t="s">
        <v>1201</v>
      </c>
      <c r="AC51" t="s">
        <v>1202</v>
      </c>
      <c r="AD51" t="s">
        <v>1203</v>
      </c>
      <c r="AE51" t="s">
        <v>1204</v>
      </c>
      <c r="AF51" t="s">
        <v>74</v>
      </c>
      <c r="AG51">
        <v>62</v>
      </c>
      <c r="AH51">
        <v>20</v>
      </c>
      <c r="AI51">
        <v>20</v>
      </c>
      <c r="AJ51">
        <v>2</v>
      </c>
      <c r="AK51">
        <v>30</v>
      </c>
      <c r="AL51" t="s">
        <v>634</v>
      </c>
      <c r="AM51" t="s">
        <v>635</v>
      </c>
      <c r="AN51" t="s">
        <v>636</v>
      </c>
      <c r="AO51" t="s">
        <v>1205</v>
      </c>
      <c r="AP51" t="s">
        <v>1206</v>
      </c>
      <c r="AQ51" t="s">
        <v>74</v>
      </c>
      <c r="AR51" t="s">
        <v>1207</v>
      </c>
      <c r="AS51" t="s">
        <v>1208</v>
      </c>
      <c r="AT51" t="s">
        <v>1183</v>
      </c>
      <c r="AU51">
        <v>2019</v>
      </c>
      <c r="AV51">
        <v>511</v>
      </c>
      <c r="AW51" t="s">
        <v>74</v>
      </c>
      <c r="AX51" t="s">
        <v>74</v>
      </c>
      <c r="AY51" t="s">
        <v>74</v>
      </c>
      <c r="AZ51" t="s">
        <v>74</v>
      </c>
      <c r="BA51" t="s">
        <v>74</v>
      </c>
      <c r="BB51">
        <v>190</v>
      </c>
      <c r="BC51">
        <v>203</v>
      </c>
      <c r="BD51" t="s">
        <v>74</v>
      </c>
      <c r="BE51" t="s">
        <v>1209</v>
      </c>
      <c r="BF51" t="str">
        <f>HYPERLINK("http://dx.doi.org/10.1016/j.chemgeo.2019.01.007","http://dx.doi.org/10.1016/j.chemgeo.2019.01.007")</f>
        <v>http://dx.doi.org/10.1016/j.chemgeo.2019.01.007</v>
      </c>
      <c r="BG51" t="s">
        <v>74</v>
      </c>
      <c r="BH51" t="s">
        <v>74</v>
      </c>
      <c r="BI51">
        <v>14</v>
      </c>
      <c r="BJ51" t="s">
        <v>643</v>
      </c>
      <c r="BK51" t="s">
        <v>102</v>
      </c>
      <c r="BL51" t="s">
        <v>643</v>
      </c>
      <c r="BM51" t="s">
        <v>1210</v>
      </c>
      <c r="BN51" t="s">
        <v>74</v>
      </c>
      <c r="BO51" t="s">
        <v>74</v>
      </c>
      <c r="BP51" t="s">
        <v>74</v>
      </c>
      <c r="BQ51" t="s">
        <v>74</v>
      </c>
      <c r="BR51" t="s">
        <v>107</v>
      </c>
      <c r="BS51" t="s">
        <v>1211</v>
      </c>
      <c r="BT51" t="str">
        <f>HYPERLINK("https%3A%2F%2Fwww.webofscience.com%2Fwos%2Fwoscc%2Ffull-record%2FWOS:000462772400015","View Full Record in Web of Science")</f>
        <v>View Full Record in Web of Science</v>
      </c>
    </row>
    <row r="52" spans="1:72" x14ac:dyDescent="0.15">
      <c r="A52" t="s">
        <v>72</v>
      </c>
      <c r="B52" t="s">
        <v>1212</v>
      </c>
      <c r="C52" t="s">
        <v>74</v>
      </c>
      <c r="D52" t="s">
        <v>74</v>
      </c>
      <c r="E52" t="s">
        <v>74</v>
      </c>
      <c r="F52" t="s">
        <v>1213</v>
      </c>
      <c r="G52" t="s">
        <v>74</v>
      </c>
      <c r="H52" t="s">
        <v>74</v>
      </c>
      <c r="I52" t="s">
        <v>1214</v>
      </c>
      <c r="J52" t="s">
        <v>1192</v>
      </c>
      <c r="K52" t="s">
        <v>74</v>
      </c>
      <c r="L52" t="s">
        <v>74</v>
      </c>
      <c r="M52" t="s">
        <v>78</v>
      </c>
      <c r="N52" t="s">
        <v>79</v>
      </c>
      <c r="O52" t="s">
        <v>74</v>
      </c>
      <c r="P52" t="s">
        <v>74</v>
      </c>
      <c r="Q52" t="s">
        <v>74</v>
      </c>
      <c r="R52" t="s">
        <v>74</v>
      </c>
      <c r="S52" t="s">
        <v>74</v>
      </c>
      <c r="T52" t="s">
        <v>1215</v>
      </c>
      <c r="U52" t="s">
        <v>1216</v>
      </c>
      <c r="V52" t="s">
        <v>1217</v>
      </c>
      <c r="W52" t="s">
        <v>1218</v>
      </c>
      <c r="X52" t="s">
        <v>1219</v>
      </c>
      <c r="Y52" t="s">
        <v>1220</v>
      </c>
      <c r="Z52" t="s">
        <v>1221</v>
      </c>
      <c r="AA52" t="s">
        <v>1222</v>
      </c>
      <c r="AB52" t="s">
        <v>1223</v>
      </c>
      <c r="AC52" t="s">
        <v>1224</v>
      </c>
      <c r="AD52" t="s">
        <v>1225</v>
      </c>
      <c r="AE52" t="s">
        <v>1226</v>
      </c>
      <c r="AF52" t="s">
        <v>74</v>
      </c>
      <c r="AG52">
        <v>60</v>
      </c>
      <c r="AH52">
        <v>12</v>
      </c>
      <c r="AI52">
        <v>12</v>
      </c>
      <c r="AJ52">
        <v>0</v>
      </c>
      <c r="AK52">
        <v>15</v>
      </c>
      <c r="AL52" t="s">
        <v>662</v>
      </c>
      <c r="AM52" t="s">
        <v>635</v>
      </c>
      <c r="AN52" t="s">
        <v>663</v>
      </c>
      <c r="AO52" t="s">
        <v>1205</v>
      </c>
      <c r="AP52" t="s">
        <v>1206</v>
      </c>
      <c r="AQ52" t="s">
        <v>74</v>
      </c>
      <c r="AR52" t="s">
        <v>1207</v>
      </c>
      <c r="AS52" t="s">
        <v>1208</v>
      </c>
      <c r="AT52" t="s">
        <v>1183</v>
      </c>
      <c r="AU52">
        <v>2019</v>
      </c>
      <c r="AV52">
        <v>511</v>
      </c>
      <c r="AW52" t="s">
        <v>74</v>
      </c>
      <c r="AX52" t="s">
        <v>74</v>
      </c>
      <c r="AY52" t="s">
        <v>74</v>
      </c>
      <c r="AZ52" t="s">
        <v>74</v>
      </c>
      <c r="BA52" t="s">
        <v>74</v>
      </c>
      <c r="BB52">
        <v>265</v>
      </c>
      <c r="BC52">
        <v>278</v>
      </c>
      <c r="BD52" t="s">
        <v>74</v>
      </c>
      <c r="BE52" t="s">
        <v>1227</v>
      </c>
      <c r="BF52" t="str">
        <f>HYPERLINK("http://dx.doi.org/10.1016/j.chemgeo.2018.11.024","http://dx.doi.org/10.1016/j.chemgeo.2018.11.024")</f>
        <v>http://dx.doi.org/10.1016/j.chemgeo.2018.11.024</v>
      </c>
      <c r="BG52" t="s">
        <v>74</v>
      </c>
      <c r="BH52" t="s">
        <v>74</v>
      </c>
      <c r="BI52">
        <v>14</v>
      </c>
      <c r="BJ52" t="s">
        <v>643</v>
      </c>
      <c r="BK52" t="s">
        <v>102</v>
      </c>
      <c r="BL52" t="s">
        <v>643</v>
      </c>
      <c r="BM52" t="s">
        <v>1210</v>
      </c>
      <c r="BN52" t="s">
        <v>74</v>
      </c>
      <c r="BO52" t="s">
        <v>74</v>
      </c>
      <c r="BP52" t="s">
        <v>74</v>
      </c>
      <c r="BQ52" t="s">
        <v>74</v>
      </c>
      <c r="BR52" t="s">
        <v>107</v>
      </c>
      <c r="BS52" t="s">
        <v>1228</v>
      </c>
      <c r="BT52" t="str">
        <f>HYPERLINK("https%3A%2F%2Fwww.webofscience.com%2Fwos%2Fwoscc%2Ffull-record%2FWOS:000462772400021","View Full Record in Web of Science")</f>
        <v>View Full Record in Web of Science</v>
      </c>
    </row>
    <row r="53" spans="1:72" x14ac:dyDescent="0.15">
      <c r="A53" t="s">
        <v>72</v>
      </c>
      <c r="B53" t="s">
        <v>1229</v>
      </c>
      <c r="C53" t="s">
        <v>74</v>
      </c>
      <c r="D53" t="s">
        <v>74</v>
      </c>
      <c r="E53" t="s">
        <v>74</v>
      </c>
      <c r="F53" t="s">
        <v>1230</v>
      </c>
      <c r="G53" t="s">
        <v>74</v>
      </c>
      <c r="H53" t="s">
        <v>74</v>
      </c>
      <c r="I53" t="s">
        <v>1231</v>
      </c>
      <c r="J53" t="s">
        <v>1192</v>
      </c>
      <c r="K53" t="s">
        <v>74</v>
      </c>
      <c r="L53" t="s">
        <v>74</v>
      </c>
      <c r="M53" t="s">
        <v>78</v>
      </c>
      <c r="N53" t="s">
        <v>79</v>
      </c>
      <c r="O53" t="s">
        <v>74</v>
      </c>
      <c r="P53" t="s">
        <v>74</v>
      </c>
      <c r="Q53" t="s">
        <v>74</v>
      </c>
      <c r="R53" t="s">
        <v>74</v>
      </c>
      <c r="S53" t="s">
        <v>74</v>
      </c>
      <c r="T53" t="s">
        <v>1232</v>
      </c>
      <c r="U53" t="s">
        <v>1233</v>
      </c>
      <c r="V53" t="s">
        <v>1234</v>
      </c>
      <c r="W53" t="s">
        <v>1235</v>
      </c>
      <c r="X53" t="s">
        <v>1236</v>
      </c>
      <c r="Y53" t="s">
        <v>1237</v>
      </c>
      <c r="Z53" t="s">
        <v>1238</v>
      </c>
      <c r="AA53" t="s">
        <v>1239</v>
      </c>
      <c r="AB53" t="s">
        <v>1240</v>
      </c>
      <c r="AC53" t="s">
        <v>1241</v>
      </c>
      <c r="AD53" t="s">
        <v>1242</v>
      </c>
      <c r="AE53" t="s">
        <v>1243</v>
      </c>
      <c r="AF53" t="s">
        <v>74</v>
      </c>
      <c r="AG53">
        <v>66</v>
      </c>
      <c r="AH53">
        <v>17</v>
      </c>
      <c r="AI53">
        <v>18</v>
      </c>
      <c r="AJ53">
        <v>7</v>
      </c>
      <c r="AK53">
        <v>26</v>
      </c>
      <c r="AL53" t="s">
        <v>662</v>
      </c>
      <c r="AM53" t="s">
        <v>635</v>
      </c>
      <c r="AN53" t="s">
        <v>663</v>
      </c>
      <c r="AO53" t="s">
        <v>1205</v>
      </c>
      <c r="AP53" t="s">
        <v>1206</v>
      </c>
      <c r="AQ53" t="s">
        <v>74</v>
      </c>
      <c r="AR53" t="s">
        <v>1207</v>
      </c>
      <c r="AS53" t="s">
        <v>1208</v>
      </c>
      <c r="AT53" t="s">
        <v>1183</v>
      </c>
      <c r="AU53">
        <v>2019</v>
      </c>
      <c r="AV53">
        <v>511</v>
      </c>
      <c r="AW53" t="s">
        <v>74</v>
      </c>
      <c r="AX53" t="s">
        <v>74</v>
      </c>
      <c r="AY53" t="s">
        <v>74</v>
      </c>
      <c r="AZ53" t="s">
        <v>74</v>
      </c>
      <c r="BA53" t="s">
        <v>74</v>
      </c>
      <c r="BB53">
        <v>342</v>
      </c>
      <c r="BC53">
        <v>357</v>
      </c>
      <c r="BD53" t="s">
        <v>74</v>
      </c>
      <c r="BE53" t="s">
        <v>1244</v>
      </c>
      <c r="BF53" t="str">
        <f>HYPERLINK("http://dx.doi.org/10.1016/j.chemgeo.2018.10.023","http://dx.doi.org/10.1016/j.chemgeo.2018.10.023")</f>
        <v>http://dx.doi.org/10.1016/j.chemgeo.2018.10.023</v>
      </c>
      <c r="BG53" t="s">
        <v>74</v>
      </c>
      <c r="BH53" t="s">
        <v>74</v>
      </c>
      <c r="BI53">
        <v>16</v>
      </c>
      <c r="BJ53" t="s">
        <v>643</v>
      </c>
      <c r="BK53" t="s">
        <v>102</v>
      </c>
      <c r="BL53" t="s">
        <v>643</v>
      </c>
      <c r="BM53" t="s">
        <v>1210</v>
      </c>
      <c r="BN53" t="s">
        <v>74</v>
      </c>
      <c r="BO53" t="s">
        <v>74</v>
      </c>
      <c r="BP53" t="s">
        <v>74</v>
      </c>
      <c r="BQ53" t="s">
        <v>74</v>
      </c>
      <c r="BR53" t="s">
        <v>107</v>
      </c>
      <c r="BS53" t="s">
        <v>1245</v>
      </c>
      <c r="BT53" t="str">
        <f>HYPERLINK("https%3A%2F%2Fwww.webofscience.com%2Fwos%2Fwoscc%2Ffull-record%2FWOS:000462772400024","View Full Record in Web of Science")</f>
        <v>View Full Record in Web of Science</v>
      </c>
    </row>
    <row r="54" spans="1:72" x14ac:dyDescent="0.15">
      <c r="A54" t="s">
        <v>72</v>
      </c>
      <c r="B54" t="s">
        <v>1246</v>
      </c>
      <c r="C54" t="s">
        <v>74</v>
      </c>
      <c r="D54" t="s">
        <v>74</v>
      </c>
      <c r="E54" t="s">
        <v>74</v>
      </c>
      <c r="F54" t="s">
        <v>1247</v>
      </c>
      <c r="G54" t="s">
        <v>74</v>
      </c>
      <c r="H54" t="s">
        <v>74</v>
      </c>
      <c r="I54" t="s">
        <v>1248</v>
      </c>
      <c r="J54" t="s">
        <v>1192</v>
      </c>
      <c r="K54" t="s">
        <v>74</v>
      </c>
      <c r="L54" t="s">
        <v>74</v>
      </c>
      <c r="M54" t="s">
        <v>78</v>
      </c>
      <c r="N54" t="s">
        <v>79</v>
      </c>
      <c r="O54" t="s">
        <v>74</v>
      </c>
      <c r="P54" t="s">
        <v>74</v>
      </c>
      <c r="Q54" t="s">
        <v>74</v>
      </c>
      <c r="R54" t="s">
        <v>74</v>
      </c>
      <c r="S54" t="s">
        <v>74</v>
      </c>
      <c r="T54" t="s">
        <v>1249</v>
      </c>
      <c r="U54" t="s">
        <v>1250</v>
      </c>
      <c r="V54" t="s">
        <v>1251</v>
      </c>
      <c r="W54" t="s">
        <v>1252</v>
      </c>
      <c r="X54" t="s">
        <v>1253</v>
      </c>
      <c r="Y54" t="s">
        <v>1254</v>
      </c>
      <c r="Z54" t="s">
        <v>1255</v>
      </c>
      <c r="AA54" t="s">
        <v>1256</v>
      </c>
      <c r="AB54" t="s">
        <v>1257</v>
      </c>
      <c r="AC54" t="s">
        <v>1258</v>
      </c>
      <c r="AD54" t="s">
        <v>1259</v>
      </c>
      <c r="AE54" t="s">
        <v>1260</v>
      </c>
      <c r="AF54" t="s">
        <v>74</v>
      </c>
      <c r="AG54">
        <v>108</v>
      </c>
      <c r="AH54">
        <v>16</v>
      </c>
      <c r="AI54">
        <v>20</v>
      </c>
      <c r="AJ54">
        <v>0</v>
      </c>
      <c r="AK54">
        <v>31</v>
      </c>
      <c r="AL54" t="s">
        <v>662</v>
      </c>
      <c r="AM54" t="s">
        <v>635</v>
      </c>
      <c r="AN54" t="s">
        <v>663</v>
      </c>
      <c r="AO54" t="s">
        <v>1205</v>
      </c>
      <c r="AP54" t="s">
        <v>1206</v>
      </c>
      <c r="AQ54" t="s">
        <v>74</v>
      </c>
      <c r="AR54" t="s">
        <v>1207</v>
      </c>
      <c r="AS54" t="s">
        <v>1208</v>
      </c>
      <c r="AT54" t="s">
        <v>1183</v>
      </c>
      <c r="AU54">
        <v>2019</v>
      </c>
      <c r="AV54">
        <v>511</v>
      </c>
      <c r="AW54" t="s">
        <v>74</v>
      </c>
      <c r="AX54" t="s">
        <v>74</v>
      </c>
      <c r="AY54" t="s">
        <v>74</v>
      </c>
      <c r="AZ54" t="s">
        <v>74</v>
      </c>
      <c r="BA54" t="s">
        <v>74</v>
      </c>
      <c r="BB54">
        <v>416</v>
      </c>
      <c r="BC54">
        <v>430</v>
      </c>
      <c r="BD54" t="s">
        <v>74</v>
      </c>
      <c r="BE54" t="s">
        <v>1261</v>
      </c>
      <c r="BF54" t="str">
        <f>HYPERLINK("http://dx.doi.org/10.1016/j.chemgeo.2018.10.002","http://dx.doi.org/10.1016/j.chemgeo.2018.10.002")</f>
        <v>http://dx.doi.org/10.1016/j.chemgeo.2018.10.002</v>
      </c>
      <c r="BG54" t="s">
        <v>74</v>
      </c>
      <c r="BH54" t="s">
        <v>74</v>
      </c>
      <c r="BI54">
        <v>15</v>
      </c>
      <c r="BJ54" t="s">
        <v>643</v>
      </c>
      <c r="BK54" t="s">
        <v>102</v>
      </c>
      <c r="BL54" t="s">
        <v>643</v>
      </c>
      <c r="BM54" t="s">
        <v>1210</v>
      </c>
      <c r="BN54" t="s">
        <v>74</v>
      </c>
      <c r="BO54" t="s">
        <v>1014</v>
      </c>
      <c r="BP54" t="s">
        <v>74</v>
      </c>
      <c r="BQ54" t="s">
        <v>74</v>
      </c>
      <c r="BR54" t="s">
        <v>107</v>
      </c>
      <c r="BS54" t="s">
        <v>1262</v>
      </c>
      <c r="BT54" t="str">
        <f>HYPERLINK("https%3A%2F%2Fwww.webofscience.com%2Fwos%2Fwoscc%2Ffull-record%2FWOS:000462772400029","View Full Record in Web of Science")</f>
        <v>View Full Record in Web of Science</v>
      </c>
    </row>
    <row r="55" spans="1:72" x14ac:dyDescent="0.15">
      <c r="A55" t="s">
        <v>72</v>
      </c>
      <c r="B55" t="s">
        <v>1263</v>
      </c>
      <c r="C55" t="s">
        <v>74</v>
      </c>
      <c r="D55" t="s">
        <v>74</v>
      </c>
      <c r="E55" t="s">
        <v>74</v>
      </c>
      <c r="F55" t="s">
        <v>1264</v>
      </c>
      <c r="G55" t="s">
        <v>74</v>
      </c>
      <c r="H55" t="s">
        <v>74</v>
      </c>
      <c r="I55" t="s">
        <v>1265</v>
      </c>
      <c r="J55" t="s">
        <v>1192</v>
      </c>
      <c r="K55" t="s">
        <v>74</v>
      </c>
      <c r="L55" t="s">
        <v>74</v>
      </c>
      <c r="M55" t="s">
        <v>78</v>
      </c>
      <c r="N55" t="s">
        <v>79</v>
      </c>
      <c r="O55" t="s">
        <v>74</v>
      </c>
      <c r="P55" t="s">
        <v>74</v>
      </c>
      <c r="Q55" t="s">
        <v>74</v>
      </c>
      <c r="R55" t="s">
        <v>74</v>
      </c>
      <c r="S55" t="s">
        <v>74</v>
      </c>
      <c r="T55" t="s">
        <v>1266</v>
      </c>
      <c r="U55" t="s">
        <v>1267</v>
      </c>
      <c r="V55" t="s">
        <v>1268</v>
      </c>
      <c r="W55" t="s">
        <v>1269</v>
      </c>
      <c r="X55" t="s">
        <v>1270</v>
      </c>
      <c r="Y55" t="s">
        <v>1271</v>
      </c>
      <c r="Z55" t="s">
        <v>1272</v>
      </c>
      <c r="AA55" t="s">
        <v>1273</v>
      </c>
      <c r="AB55" t="s">
        <v>1274</v>
      </c>
      <c r="AC55" t="s">
        <v>1275</v>
      </c>
      <c r="AD55" t="s">
        <v>1276</v>
      </c>
      <c r="AE55" t="s">
        <v>1277</v>
      </c>
      <c r="AF55" t="s">
        <v>74</v>
      </c>
      <c r="AG55">
        <v>81</v>
      </c>
      <c r="AH55">
        <v>43</v>
      </c>
      <c r="AI55">
        <v>47</v>
      </c>
      <c r="AJ55">
        <v>1</v>
      </c>
      <c r="AK55">
        <v>63</v>
      </c>
      <c r="AL55" t="s">
        <v>662</v>
      </c>
      <c r="AM55" t="s">
        <v>635</v>
      </c>
      <c r="AN55" t="s">
        <v>663</v>
      </c>
      <c r="AO55" t="s">
        <v>1205</v>
      </c>
      <c r="AP55" t="s">
        <v>1206</v>
      </c>
      <c r="AQ55" t="s">
        <v>74</v>
      </c>
      <c r="AR55" t="s">
        <v>1207</v>
      </c>
      <c r="AS55" t="s">
        <v>1208</v>
      </c>
      <c r="AT55" t="s">
        <v>1183</v>
      </c>
      <c r="AU55">
        <v>2019</v>
      </c>
      <c r="AV55">
        <v>511</v>
      </c>
      <c r="AW55" t="s">
        <v>74</v>
      </c>
      <c r="AX55" t="s">
        <v>74</v>
      </c>
      <c r="AY55" t="s">
        <v>74</v>
      </c>
      <c r="AZ55" t="s">
        <v>74</v>
      </c>
      <c r="BA55" t="s">
        <v>74</v>
      </c>
      <c r="BB55">
        <v>452</v>
      </c>
      <c r="BC55">
        <v>464</v>
      </c>
      <c r="BD55" t="s">
        <v>74</v>
      </c>
      <c r="BE55" t="s">
        <v>1278</v>
      </c>
      <c r="BF55" t="str">
        <f>HYPERLINK("http://dx.doi.org/10.1016/j.chemgeo.2018.09.010","http://dx.doi.org/10.1016/j.chemgeo.2018.09.010")</f>
        <v>http://dx.doi.org/10.1016/j.chemgeo.2018.09.010</v>
      </c>
      <c r="BG55" t="s">
        <v>74</v>
      </c>
      <c r="BH55" t="s">
        <v>74</v>
      </c>
      <c r="BI55">
        <v>13</v>
      </c>
      <c r="BJ55" t="s">
        <v>643</v>
      </c>
      <c r="BK55" t="s">
        <v>102</v>
      </c>
      <c r="BL55" t="s">
        <v>643</v>
      </c>
      <c r="BM55" t="s">
        <v>1210</v>
      </c>
      <c r="BN55" t="s">
        <v>74</v>
      </c>
      <c r="BO55" t="s">
        <v>1014</v>
      </c>
      <c r="BP55" t="s">
        <v>74</v>
      </c>
      <c r="BQ55" t="s">
        <v>74</v>
      </c>
      <c r="BR55" t="s">
        <v>107</v>
      </c>
      <c r="BS55" t="s">
        <v>1279</v>
      </c>
      <c r="BT55" t="str">
        <f>HYPERLINK("https%3A%2F%2Fwww.webofscience.com%2Fwos%2Fwoscc%2Ffull-record%2FWOS:000462772400032","View Full Record in Web of Science")</f>
        <v>View Full Record in Web of Science</v>
      </c>
    </row>
    <row r="56" spans="1:72" x14ac:dyDescent="0.15">
      <c r="A56" t="s">
        <v>72</v>
      </c>
      <c r="B56" t="s">
        <v>1280</v>
      </c>
      <c r="C56" t="s">
        <v>74</v>
      </c>
      <c r="D56" t="s">
        <v>74</v>
      </c>
      <c r="E56" t="s">
        <v>74</v>
      </c>
      <c r="F56" t="s">
        <v>1281</v>
      </c>
      <c r="G56" t="s">
        <v>74</v>
      </c>
      <c r="H56" t="s">
        <v>74</v>
      </c>
      <c r="I56" t="s">
        <v>1282</v>
      </c>
      <c r="J56" t="s">
        <v>1192</v>
      </c>
      <c r="K56" t="s">
        <v>74</v>
      </c>
      <c r="L56" t="s">
        <v>74</v>
      </c>
      <c r="M56" t="s">
        <v>78</v>
      </c>
      <c r="N56" t="s">
        <v>79</v>
      </c>
      <c r="O56" t="s">
        <v>74</v>
      </c>
      <c r="P56" t="s">
        <v>74</v>
      </c>
      <c r="Q56" t="s">
        <v>74</v>
      </c>
      <c r="R56" t="s">
        <v>74</v>
      </c>
      <c r="S56" t="s">
        <v>74</v>
      </c>
      <c r="T56" t="s">
        <v>1283</v>
      </c>
      <c r="U56" t="s">
        <v>1284</v>
      </c>
      <c r="V56" t="s">
        <v>1285</v>
      </c>
      <c r="W56" t="s">
        <v>1286</v>
      </c>
      <c r="X56" t="s">
        <v>1287</v>
      </c>
      <c r="Y56" t="s">
        <v>1288</v>
      </c>
      <c r="Z56" t="s">
        <v>1289</v>
      </c>
      <c r="AA56" t="s">
        <v>1290</v>
      </c>
      <c r="AB56" t="s">
        <v>1291</v>
      </c>
      <c r="AC56" t="s">
        <v>1292</v>
      </c>
      <c r="AD56" t="s">
        <v>1293</v>
      </c>
      <c r="AE56" t="s">
        <v>1294</v>
      </c>
      <c r="AF56" t="s">
        <v>74</v>
      </c>
      <c r="AG56">
        <v>68</v>
      </c>
      <c r="AH56">
        <v>48</v>
      </c>
      <c r="AI56">
        <v>51</v>
      </c>
      <c r="AJ56">
        <v>8</v>
      </c>
      <c r="AK56">
        <v>63</v>
      </c>
      <c r="AL56" t="s">
        <v>662</v>
      </c>
      <c r="AM56" t="s">
        <v>635</v>
      </c>
      <c r="AN56" t="s">
        <v>663</v>
      </c>
      <c r="AO56" t="s">
        <v>1205</v>
      </c>
      <c r="AP56" t="s">
        <v>1206</v>
      </c>
      <c r="AQ56" t="s">
        <v>74</v>
      </c>
      <c r="AR56" t="s">
        <v>1207</v>
      </c>
      <c r="AS56" t="s">
        <v>1208</v>
      </c>
      <c r="AT56" t="s">
        <v>1183</v>
      </c>
      <c r="AU56">
        <v>2019</v>
      </c>
      <c r="AV56">
        <v>511</v>
      </c>
      <c r="AW56" t="s">
        <v>74</v>
      </c>
      <c r="AX56" t="s">
        <v>74</v>
      </c>
      <c r="AY56" t="s">
        <v>74</v>
      </c>
      <c r="AZ56" t="s">
        <v>74</v>
      </c>
      <c r="BA56" t="s">
        <v>74</v>
      </c>
      <c r="BB56">
        <v>494</v>
      </c>
      <c r="BC56">
        <v>509</v>
      </c>
      <c r="BD56" t="s">
        <v>74</v>
      </c>
      <c r="BE56" t="s">
        <v>1295</v>
      </c>
      <c r="BF56" t="str">
        <f>HYPERLINK("http://dx.doi.org/10.1016/j.chemgeo.2018.07.021","http://dx.doi.org/10.1016/j.chemgeo.2018.07.021")</f>
        <v>http://dx.doi.org/10.1016/j.chemgeo.2018.07.021</v>
      </c>
      <c r="BG56" t="s">
        <v>74</v>
      </c>
      <c r="BH56" t="s">
        <v>74</v>
      </c>
      <c r="BI56">
        <v>16</v>
      </c>
      <c r="BJ56" t="s">
        <v>643</v>
      </c>
      <c r="BK56" t="s">
        <v>102</v>
      </c>
      <c r="BL56" t="s">
        <v>643</v>
      </c>
      <c r="BM56" t="s">
        <v>1210</v>
      </c>
      <c r="BN56" t="s">
        <v>74</v>
      </c>
      <c r="BO56" t="s">
        <v>74</v>
      </c>
      <c r="BP56" t="s">
        <v>74</v>
      </c>
      <c r="BQ56" t="s">
        <v>74</v>
      </c>
      <c r="BR56" t="s">
        <v>107</v>
      </c>
      <c r="BS56" t="s">
        <v>1296</v>
      </c>
      <c r="BT56" t="str">
        <f>HYPERLINK("https%3A%2F%2Fwww.webofscience.com%2Fwos%2Fwoscc%2Ffull-record%2FWOS:000462772400035","View Full Record in Web of Science")</f>
        <v>View Full Record in Web of Science</v>
      </c>
    </row>
    <row r="57" spans="1:72" x14ac:dyDescent="0.15">
      <c r="A57" t="s">
        <v>72</v>
      </c>
      <c r="B57" t="s">
        <v>1297</v>
      </c>
      <c r="C57" t="s">
        <v>74</v>
      </c>
      <c r="D57" t="s">
        <v>74</v>
      </c>
      <c r="E57" t="s">
        <v>74</v>
      </c>
      <c r="F57" t="s">
        <v>1298</v>
      </c>
      <c r="G57" t="s">
        <v>74</v>
      </c>
      <c r="H57" t="s">
        <v>74</v>
      </c>
      <c r="I57" t="s">
        <v>1299</v>
      </c>
      <c r="J57" t="s">
        <v>1300</v>
      </c>
      <c r="K57" t="s">
        <v>74</v>
      </c>
      <c r="L57" t="s">
        <v>74</v>
      </c>
      <c r="M57" t="s">
        <v>78</v>
      </c>
      <c r="N57" t="s">
        <v>1301</v>
      </c>
      <c r="O57" t="s">
        <v>74</v>
      </c>
      <c r="P57" t="s">
        <v>74</v>
      </c>
      <c r="Q57" t="s">
        <v>74</v>
      </c>
      <c r="R57" t="s">
        <v>74</v>
      </c>
      <c r="S57" t="s">
        <v>74</v>
      </c>
      <c r="T57" t="s">
        <v>74</v>
      </c>
      <c r="U57" t="s">
        <v>74</v>
      </c>
      <c r="V57" t="s">
        <v>74</v>
      </c>
      <c r="W57" t="s">
        <v>74</v>
      </c>
      <c r="X57" t="s">
        <v>74</v>
      </c>
      <c r="Y57" t="s">
        <v>74</v>
      </c>
      <c r="Z57" t="s">
        <v>74</v>
      </c>
      <c r="AA57" t="s">
        <v>74</v>
      </c>
      <c r="AB57" t="s">
        <v>74</v>
      </c>
      <c r="AC57" t="s">
        <v>74</v>
      </c>
      <c r="AD57" t="s">
        <v>74</v>
      </c>
      <c r="AE57" t="s">
        <v>74</v>
      </c>
      <c r="AF57" t="s">
        <v>74</v>
      </c>
      <c r="AG57">
        <v>0</v>
      </c>
      <c r="AH57">
        <v>0</v>
      </c>
      <c r="AI57">
        <v>0</v>
      </c>
      <c r="AJ57">
        <v>1</v>
      </c>
      <c r="AK57">
        <v>1</v>
      </c>
      <c r="AL57" t="s">
        <v>453</v>
      </c>
      <c r="AM57" t="s">
        <v>126</v>
      </c>
      <c r="AN57" t="s">
        <v>454</v>
      </c>
      <c r="AO57" t="s">
        <v>1302</v>
      </c>
      <c r="AP57" t="s">
        <v>1303</v>
      </c>
      <c r="AQ57" t="s">
        <v>74</v>
      </c>
      <c r="AR57" t="s">
        <v>1300</v>
      </c>
      <c r="AS57" t="s">
        <v>1304</v>
      </c>
      <c r="AT57" t="s">
        <v>1305</v>
      </c>
      <c r="AU57">
        <v>2019</v>
      </c>
      <c r="AV57">
        <v>364</v>
      </c>
      <c r="AW57">
        <v>6437</v>
      </c>
      <c r="AX57" t="s">
        <v>74</v>
      </c>
      <c r="AY57" t="s">
        <v>74</v>
      </c>
      <c r="AZ57" t="s">
        <v>74</v>
      </c>
      <c r="BA57" t="s">
        <v>74</v>
      </c>
      <c r="BB57">
        <v>214</v>
      </c>
      <c r="BC57">
        <v>215</v>
      </c>
      <c r="BD57" t="s">
        <v>74</v>
      </c>
      <c r="BE57" t="s">
        <v>74</v>
      </c>
      <c r="BF57" t="s">
        <v>74</v>
      </c>
      <c r="BG57" t="s">
        <v>74</v>
      </c>
      <c r="BH57" t="s">
        <v>74</v>
      </c>
      <c r="BI57">
        <v>2</v>
      </c>
      <c r="BJ57" t="s">
        <v>460</v>
      </c>
      <c r="BK57" t="s">
        <v>102</v>
      </c>
      <c r="BL57" t="s">
        <v>461</v>
      </c>
      <c r="BM57" t="s">
        <v>1306</v>
      </c>
      <c r="BN57" t="s">
        <v>74</v>
      </c>
      <c r="BO57" t="s">
        <v>74</v>
      </c>
      <c r="BP57" t="s">
        <v>74</v>
      </c>
      <c r="BQ57" t="s">
        <v>74</v>
      </c>
      <c r="BR57" t="s">
        <v>107</v>
      </c>
      <c r="BS57" t="s">
        <v>1307</v>
      </c>
      <c r="BT57" t="str">
        <f>HYPERLINK("https%3A%2F%2Fwww.webofscience.com%2Fwos%2Fwoscc%2Ffull-record%2FWOS:000464956600007","View Full Record in Web of Science")</f>
        <v>View Full Record in Web of Science</v>
      </c>
    </row>
    <row r="58" spans="1:72" x14ac:dyDescent="0.15">
      <c r="A58" t="s">
        <v>72</v>
      </c>
      <c r="B58" t="s">
        <v>1308</v>
      </c>
      <c r="C58" t="s">
        <v>74</v>
      </c>
      <c r="D58" t="s">
        <v>74</v>
      </c>
      <c r="E58" t="s">
        <v>74</v>
      </c>
      <c r="F58" t="s">
        <v>1309</v>
      </c>
      <c r="G58" t="s">
        <v>74</v>
      </c>
      <c r="H58" t="s">
        <v>74</v>
      </c>
      <c r="I58" t="s">
        <v>1310</v>
      </c>
      <c r="J58" t="s">
        <v>1311</v>
      </c>
      <c r="K58" t="s">
        <v>74</v>
      </c>
      <c r="L58" t="s">
        <v>74</v>
      </c>
      <c r="M58" t="s">
        <v>78</v>
      </c>
      <c r="N58" t="s">
        <v>79</v>
      </c>
      <c r="O58" t="s">
        <v>74</v>
      </c>
      <c r="P58" t="s">
        <v>74</v>
      </c>
      <c r="Q58" t="s">
        <v>74</v>
      </c>
      <c r="R58" t="s">
        <v>74</v>
      </c>
      <c r="S58" t="s">
        <v>74</v>
      </c>
      <c r="T58" t="s">
        <v>1312</v>
      </c>
      <c r="U58" t="s">
        <v>1313</v>
      </c>
      <c r="V58" t="s">
        <v>1314</v>
      </c>
      <c r="W58" t="s">
        <v>1315</v>
      </c>
      <c r="X58" t="s">
        <v>1316</v>
      </c>
      <c r="Y58" t="s">
        <v>1317</v>
      </c>
      <c r="Z58" t="s">
        <v>1318</v>
      </c>
      <c r="AA58" t="s">
        <v>1319</v>
      </c>
      <c r="AB58" t="s">
        <v>1320</v>
      </c>
      <c r="AC58" t="s">
        <v>1321</v>
      </c>
      <c r="AD58" t="s">
        <v>1321</v>
      </c>
      <c r="AE58" t="s">
        <v>1322</v>
      </c>
      <c r="AF58" t="s">
        <v>74</v>
      </c>
      <c r="AG58">
        <v>69</v>
      </c>
      <c r="AH58">
        <v>8</v>
      </c>
      <c r="AI58">
        <v>9</v>
      </c>
      <c r="AJ58">
        <v>0</v>
      </c>
      <c r="AK58">
        <v>6</v>
      </c>
      <c r="AL58" t="s">
        <v>1323</v>
      </c>
      <c r="AM58" t="s">
        <v>1324</v>
      </c>
      <c r="AN58" t="s">
        <v>1325</v>
      </c>
      <c r="AO58" t="s">
        <v>1326</v>
      </c>
      <c r="AP58" t="s">
        <v>1327</v>
      </c>
      <c r="AQ58" t="s">
        <v>74</v>
      </c>
      <c r="AR58" t="s">
        <v>1328</v>
      </c>
      <c r="AS58" t="s">
        <v>1329</v>
      </c>
      <c r="AT58" t="s">
        <v>1330</v>
      </c>
      <c r="AU58">
        <v>2019</v>
      </c>
      <c r="AV58">
        <v>615</v>
      </c>
      <c r="AW58" t="s">
        <v>74</v>
      </c>
      <c r="AX58" t="s">
        <v>74</v>
      </c>
      <c r="AY58" t="s">
        <v>74</v>
      </c>
      <c r="AZ58" t="s">
        <v>74</v>
      </c>
      <c r="BA58" t="s">
        <v>74</v>
      </c>
      <c r="BB58">
        <v>189</v>
      </c>
      <c r="BC58">
        <v>204</v>
      </c>
      <c r="BD58" t="s">
        <v>74</v>
      </c>
      <c r="BE58" t="s">
        <v>1331</v>
      </c>
      <c r="BF58" t="str">
        <f>HYPERLINK("http://dx.doi.org/10.3354/meps12922","http://dx.doi.org/10.3354/meps12922")</f>
        <v>http://dx.doi.org/10.3354/meps12922</v>
      </c>
      <c r="BG58" t="s">
        <v>74</v>
      </c>
      <c r="BH58" t="s">
        <v>74</v>
      </c>
      <c r="BI58">
        <v>16</v>
      </c>
      <c r="BJ58" t="s">
        <v>1332</v>
      </c>
      <c r="BK58" t="s">
        <v>102</v>
      </c>
      <c r="BL58" t="s">
        <v>1333</v>
      </c>
      <c r="BM58" t="s">
        <v>1334</v>
      </c>
      <c r="BN58" t="s">
        <v>74</v>
      </c>
      <c r="BO58" t="s">
        <v>74</v>
      </c>
      <c r="BP58" t="s">
        <v>74</v>
      </c>
      <c r="BQ58" t="s">
        <v>74</v>
      </c>
      <c r="BR58" t="s">
        <v>107</v>
      </c>
      <c r="BS58" t="s">
        <v>1335</v>
      </c>
      <c r="BT58" t="str">
        <f>HYPERLINK("https%3A%2F%2Fwww.webofscience.com%2Fwos%2Fwoscc%2Ffull-record%2FWOS:000485723200013","View Full Record in Web of Science")</f>
        <v>View Full Record in Web of Science</v>
      </c>
    </row>
    <row r="59" spans="1:72" x14ac:dyDescent="0.15">
      <c r="A59" t="s">
        <v>72</v>
      </c>
      <c r="B59" t="s">
        <v>1336</v>
      </c>
      <c r="C59" t="s">
        <v>74</v>
      </c>
      <c r="D59" t="s">
        <v>74</v>
      </c>
      <c r="E59" t="s">
        <v>74</v>
      </c>
      <c r="F59" t="s">
        <v>1337</v>
      </c>
      <c r="G59" t="s">
        <v>74</v>
      </c>
      <c r="H59" t="s">
        <v>74</v>
      </c>
      <c r="I59" t="s">
        <v>1338</v>
      </c>
      <c r="J59" t="s">
        <v>1339</v>
      </c>
      <c r="K59" t="s">
        <v>74</v>
      </c>
      <c r="L59" t="s">
        <v>74</v>
      </c>
      <c r="M59" t="s">
        <v>78</v>
      </c>
      <c r="N59" t="s">
        <v>79</v>
      </c>
      <c r="O59" t="s">
        <v>74</v>
      </c>
      <c r="P59" t="s">
        <v>74</v>
      </c>
      <c r="Q59" t="s">
        <v>74</v>
      </c>
      <c r="R59" t="s">
        <v>74</v>
      </c>
      <c r="S59" t="s">
        <v>74</v>
      </c>
      <c r="T59" t="s">
        <v>74</v>
      </c>
      <c r="U59" t="s">
        <v>1340</v>
      </c>
      <c r="V59" t="s">
        <v>1341</v>
      </c>
      <c r="W59" t="s">
        <v>1342</v>
      </c>
      <c r="X59" t="s">
        <v>1343</v>
      </c>
      <c r="Y59" t="s">
        <v>1344</v>
      </c>
      <c r="Z59" t="s">
        <v>1345</v>
      </c>
      <c r="AA59" t="s">
        <v>1346</v>
      </c>
      <c r="AB59" t="s">
        <v>1347</v>
      </c>
      <c r="AC59" t="s">
        <v>74</v>
      </c>
      <c r="AD59" t="s">
        <v>74</v>
      </c>
      <c r="AE59" t="s">
        <v>74</v>
      </c>
      <c r="AF59" t="s">
        <v>74</v>
      </c>
      <c r="AG59">
        <v>143</v>
      </c>
      <c r="AH59">
        <v>5</v>
      </c>
      <c r="AI59">
        <v>6</v>
      </c>
      <c r="AJ59">
        <v>1</v>
      </c>
      <c r="AK59">
        <v>9</v>
      </c>
      <c r="AL59" t="s">
        <v>868</v>
      </c>
      <c r="AM59" t="s">
        <v>869</v>
      </c>
      <c r="AN59" t="s">
        <v>870</v>
      </c>
      <c r="AO59" t="s">
        <v>1348</v>
      </c>
      <c r="AP59" t="s">
        <v>1349</v>
      </c>
      <c r="AQ59" t="s">
        <v>74</v>
      </c>
      <c r="AR59" t="s">
        <v>1350</v>
      </c>
      <c r="AS59" t="s">
        <v>1351</v>
      </c>
      <c r="AT59" t="s">
        <v>1330</v>
      </c>
      <c r="AU59">
        <v>2019</v>
      </c>
      <c r="AV59">
        <v>12</v>
      </c>
      <c r="AW59">
        <v>4</v>
      </c>
      <c r="AX59" t="s">
        <v>74</v>
      </c>
      <c r="AY59" t="s">
        <v>74</v>
      </c>
      <c r="AZ59" t="s">
        <v>74</v>
      </c>
      <c r="BA59" t="s">
        <v>74</v>
      </c>
      <c r="BB59">
        <v>1541</v>
      </c>
      <c r="BC59">
        <v>1572</v>
      </c>
      <c r="BD59" t="s">
        <v>74</v>
      </c>
      <c r="BE59" t="s">
        <v>1352</v>
      </c>
      <c r="BF59" t="str">
        <f>HYPERLINK("http://dx.doi.org/10.5194/gmd-12-1541-2019","http://dx.doi.org/10.5194/gmd-12-1541-2019")</f>
        <v>http://dx.doi.org/10.5194/gmd-12-1541-2019</v>
      </c>
      <c r="BG59" t="s">
        <v>74</v>
      </c>
      <c r="BH59" t="s">
        <v>74</v>
      </c>
      <c r="BI59">
        <v>32</v>
      </c>
      <c r="BJ59" t="s">
        <v>922</v>
      </c>
      <c r="BK59" t="s">
        <v>102</v>
      </c>
      <c r="BL59" t="s">
        <v>923</v>
      </c>
      <c r="BM59" t="s">
        <v>1353</v>
      </c>
      <c r="BN59" t="s">
        <v>74</v>
      </c>
      <c r="BO59" t="s">
        <v>135</v>
      </c>
      <c r="BP59" t="s">
        <v>74</v>
      </c>
      <c r="BQ59" t="s">
        <v>74</v>
      </c>
      <c r="BR59" t="s">
        <v>107</v>
      </c>
      <c r="BS59" t="s">
        <v>1354</v>
      </c>
      <c r="BT59" t="str">
        <f>HYPERLINK("https%3A%2F%2Fwww.webofscience.com%2Fwos%2Fwoscc%2Ffull-record%2FWOS:000465211600002","View Full Record in Web of Science")</f>
        <v>View Full Record in Web of Science</v>
      </c>
    </row>
    <row r="60" spans="1:72" x14ac:dyDescent="0.15">
      <c r="A60" t="s">
        <v>72</v>
      </c>
      <c r="B60" t="s">
        <v>1355</v>
      </c>
      <c r="C60" t="s">
        <v>74</v>
      </c>
      <c r="D60" t="s">
        <v>74</v>
      </c>
      <c r="E60" t="s">
        <v>74</v>
      </c>
      <c r="F60" t="s">
        <v>1356</v>
      </c>
      <c r="G60" t="s">
        <v>74</v>
      </c>
      <c r="H60" t="s">
        <v>74</v>
      </c>
      <c r="I60" t="s">
        <v>1357</v>
      </c>
      <c r="J60" t="s">
        <v>1358</v>
      </c>
      <c r="K60" t="s">
        <v>74</v>
      </c>
      <c r="L60" t="s">
        <v>74</v>
      </c>
      <c r="M60" t="s">
        <v>78</v>
      </c>
      <c r="N60" t="s">
        <v>469</v>
      </c>
      <c r="O60" t="s">
        <v>74</v>
      </c>
      <c r="P60" t="s">
        <v>74</v>
      </c>
      <c r="Q60" t="s">
        <v>74</v>
      </c>
      <c r="R60" t="s">
        <v>74</v>
      </c>
      <c r="S60" t="s">
        <v>74</v>
      </c>
      <c r="T60" t="s">
        <v>74</v>
      </c>
      <c r="U60" t="s">
        <v>1359</v>
      </c>
      <c r="V60" t="s">
        <v>1360</v>
      </c>
      <c r="W60" t="s">
        <v>1361</v>
      </c>
      <c r="X60" t="s">
        <v>1362</v>
      </c>
      <c r="Y60" t="s">
        <v>1363</v>
      </c>
      <c r="Z60" t="s">
        <v>1364</v>
      </c>
      <c r="AA60" t="s">
        <v>1365</v>
      </c>
      <c r="AB60" t="s">
        <v>1366</v>
      </c>
      <c r="AC60" t="s">
        <v>1367</v>
      </c>
      <c r="AD60" t="s">
        <v>1368</v>
      </c>
      <c r="AE60" t="s">
        <v>1369</v>
      </c>
      <c r="AF60" t="s">
        <v>74</v>
      </c>
      <c r="AG60">
        <v>94</v>
      </c>
      <c r="AH60">
        <v>379</v>
      </c>
      <c r="AI60">
        <v>414</v>
      </c>
      <c r="AJ60">
        <v>59</v>
      </c>
      <c r="AK60">
        <v>461</v>
      </c>
      <c r="AL60" t="s">
        <v>1370</v>
      </c>
      <c r="AM60" t="s">
        <v>1371</v>
      </c>
      <c r="AN60" t="s">
        <v>1372</v>
      </c>
      <c r="AO60" t="s">
        <v>1373</v>
      </c>
      <c r="AP60" t="s">
        <v>1374</v>
      </c>
      <c r="AQ60" t="s">
        <v>74</v>
      </c>
      <c r="AR60" t="s">
        <v>1358</v>
      </c>
      <c r="AS60" t="s">
        <v>1375</v>
      </c>
      <c r="AT60" t="s">
        <v>1330</v>
      </c>
      <c r="AU60">
        <v>2019</v>
      </c>
      <c r="AV60">
        <v>568</v>
      </c>
      <c r="AW60">
        <v>7752</v>
      </c>
      <c r="AX60" t="s">
        <v>74</v>
      </c>
      <c r="AY60" t="s">
        <v>74</v>
      </c>
      <c r="AZ60" t="s">
        <v>74</v>
      </c>
      <c r="BA60" t="s">
        <v>74</v>
      </c>
      <c r="BB60">
        <v>327</v>
      </c>
      <c r="BC60">
        <v>335</v>
      </c>
      <c r="BD60" t="s">
        <v>74</v>
      </c>
      <c r="BE60" t="s">
        <v>1376</v>
      </c>
      <c r="BF60" t="str">
        <f>HYPERLINK("http://dx.doi.org/10.1038/s41586-019-1098-2","http://dx.doi.org/10.1038/s41586-019-1098-2")</f>
        <v>http://dx.doi.org/10.1038/s41586-019-1098-2</v>
      </c>
      <c r="BG60" t="s">
        <v>74</v>
      </c>
      <c r="BH60" t="s">
        <v>74</v>
      </c>
      <c r="BI60">
        <v>9</v>
      </c>
      <c r="BJ60" t="s">
        <v>460</v>
      </c>
      <c r="BK60" t="s">
        <v>102</v>
      </c>
      <c r="BL60" t="s">
        <v>461</v>
      </c>
      <c r="BM60" t="s">
        <v>1377</v>
      </c>
      <c r="BN60">
        <v>30996317</v>
      </c>
      <c r="BO60" t="s">
        <v>403</v>
      </c>
      <c r="BP60" t="s">
        <v>105</v>
      </c>
      <c r="BQ60" t="s">
        <v>106</v>
      </c>
      <c r="BR60" t="s">
        <v>107</v>
      </c>
      <c r="BS60" t="s">
        <v>1378</v>
      </c>
      <c r="BT60" t="str">
        <f>HYPERLINK("https%3A%2F%2Fwww.webofscience.com%2Fwos%2Fwoscc%2Ffull-record%2FWOS:000464950700044","View Full Record in Web of Science")</f>
        <v>View Full Record in Web of Science</v>
      </c>
    </row>
    <row r="61" spans="1:72" x14ac:dyDescent="0.15">
      <c r="A61" t="s">
        <v>72</v>
      </c>
      <c r="B61" t="s">
        <v>1379</v>
      </c>
      <c r="C61" t="s">
        <v>74</v>
      </c>
      <c r="D61" t="s">
        <v>74</v>
      </c>
      <c r="E61" t="s">
        <v>74</v>
      </c>
      <c r="F61" t="s">
        <v>1380</v>
      </c>
      <c r="G61" t="s">
        <v>74</v>
      </c>
      <c r="H61" t="s">
        <v>74</v>
      </c>
      <c r="I61" t="s">
        <v>1381</v>
      </c>
      <c r="J61" t="s">
        <v>1358</v>
      </c>
      <c r="K61" t="s">
        <v>74</v>
      </c>
      <c r="L61" t="s">
        <v>74</v>
      </c>
      <c r="M61" t="s">
        <v>78</v>
      </c>
      <c r="N61" t="s">
        <v>79</v>
      </c>
      <c r="O61" t="s">
        <v>74</v>
      </c>
      <c r="P61" t="s">
        <v>74</v>
      </c>
      <c r="Q61" t="s">
        <v>74</v>
      </c>
      <c r="R61" t="s">
        <v>74</v>
      </c>
      <c r="S61" t="s">
        <v>74</v>
      </c>
      <c r="T61" t="s">
        <v>74</v>
      </c>
      <c r="U61" t="s">
        <v>1382</v>
      </c>
      <c r="V61" t="s">
        <v>1383</v>
      </c>
      <c r="W61" t="s">
        <v>1384</v>
      </c>
      <c r="X61" t="s">
        <v>1385</v>
      </c>
      <c r="Y61" t="s">
        <v>1386</v>
      </c>
      <c r="Z61" t="s">
        <v>1387</v>
      </c>
      <c r="AA61" t="s">
        <v>1388</v>
      </c>
      <c r="AB61" t="s">
        <v>1389</v>
      </c>
      <c r="AC61" t="s">
        <v>1390</v>
      </c>
      <c r="AD61" t="s">
        <v>1391</v>
      </c>
      <c r="AE61" t="s">
        <v>1392</v>
      </c>
      <c r="AF61" t="s">
        <v>74</v>
      </c>
      <c r="AG61">
        <v>64</v>
      </c>
      <c r="AH61">
        <v>550</v>
      </c>
      <c r="AI61">
        <v>602</v>
      </c>
      <c r="AJ61">
        <v>29</v>
      </c>
      <c r="AK61">
        <v>316</v>
      </c>
      <c r="AL61" t="s">
        <v>1393</v>
      </c>
      <c r="AM61" t="s">
        <v>1371</v>
      </c>
      <c r="AN61" t="s">
        <v>1372</v>
      </c>
      <c r="AO61" t="s">
        <v>1373</v>
      </c>
      <c r="AP61" t="s">
        <v>1374</v>
      </c>
      <c r="AQ61" t="s">
        <v>74</v>
      </c>
      <c r="AR61" t="s">
        <v>1358</v>
      </c>
      <c r="AS61" t="s">
        <v>1375</v>
      </c>
      <c r="AT61" t="s">
        <v>1330</v>
      </c>
      <c r="AU61">
        <v>2019</v>
      </c>
      <c r="AV61">
        <v>568</v>
      </c>
      <c r="AW61">
        <v>7752</v>
      </c>
      <c r="AX61" t="s">
        <v>74</v>
      </c>
      <c r="AY61" t="s">
        <v>74</v>
      </c>
      <c r="AZ61" t="s">
        <v>74</v>
      </c>
      <c r="BA61" t="s">
        <v>74</v>
      </c>
      <c r="BB61">
        <v>382</v>
      </c>
      <c r="BC61" t="s">
        <v>1394</v>
      </c>
      <c r="BD61" t="s">
        <v>74</v>
      </c>
      <c r="BE61" t="s">
        <v>1395</v>
      </c>
      <c r="BF61" t="str">
        <f>HYPERLINK("http://dx.doi.org/10.1038/s41586-019-1071-0","http://dx.doi.org/10.1038/s41586-019-1071-0")</f>
        <v>http://dx.doi.org/10.1038/s41586-019-1071-0</v>
      </c>
      <c r="BG61" t="s">
        <v>74</v>
      </c>
      <c r="BH61" t="s">
        <v>74</v>
      </c>
      <c r="BI61">
        <v>17</v>
      </c>
      <c r="BJ61" t="s">
        <v>460</v>
      </c>
      <c r="BK61" t="s">
        <v>102</v>
      </c>
      <c r="BL61" t="s">
        <v>461</v>
      </c>
      <c r="BM61" t="s">
        <v>1377</v>
      </c>
      <c r="BN61">
        <v>30962533</v>
      </c>
      <c r="BO61" t="s">
        <v>403</v>
      </c>
      <c r="BP61" t="s">
        <v>105</v>
      </c>
      <c r="BQ61" t="s">
        <v>106</v>
      </c>
      <c r="BR61" t="s">
        <v>107</v>
      </c>
      <c r="BS61" t="s">
        <v>1396</v>
      </c>
      <c r="BT61" t="str">
        <f>HYPERLINK("https%3A%2F%2Fwww.webofscience.com%2Fwos%2Fwoscc%2Ffull-record%2FWOS:000464950700054","View Full Record in Web of Science")</f>
        <v>View Full Record in Web of Science</v>
      </c>
    </row>
    <row r="62" spans="1:72" x14ac:dyDescent="0.15">
      <c r="A62" t="s">
        <v>72</v>
      </c>
      <c r="B62" t="s">
        <v>1397</v>
      </c>
      <c r="C62" t="s">
        <v>74</v>
      </c>
      <c r="D62" t="s">
        <v>74</v>
      </c>
      <c r="E62" t="s">
        <v>74</v>
      </c>
      <c r="F62" t="s">
        <v>1398</v>
      </c>
      <c r="G62" t="s">
        <v>74</v>
      </c>
      <c r="H62" t="s">
        <v>74</v>
      </c>
      <c r="I62" t="s">
        <v>1399</v>
      </c>
      <c r="J62" t="s">
        <v>808</v>
      </c>
      <c r="K62" t="s">
        <v>74</v>
      </c>
      <c r="L62" t="s">
        <v>74</v>
      </c>
      <c r="M62" t="s">
        <v>78</v>
      </c>
      <c r="N62" t="s">
        <v>79</v>
      </c>
      <c r="O62" t="s">
        <v>74</v>
      </c>
      <c r="P62" t="s">
        <v>74</v>
      </c>
      <c r="Q62" t="s">
        <v>74</v>
      </c>
      <c r="R62" t="s">
        <v>74</v>
      </c>
      <c r="S62" t="s">
        <v>74</v>
      </c>
      <c r="T62" t="s">
        <v>1400</v>
      </c>
      <c r="U62" t="s">
        <v>1401</v>
      </c>
      <c r="V62" t="s">
        <v>1402</v>
      </c>
      <c r="W62" t="s">
        <v>1403</v>
      </c>
      <c r="X62" t="s">
        <v>1404</v>
      </c>
      <c r="Y62" t="s">
        <v>1405</v>
      </c>
      <c r="Z62" t="s">
        <v>1406</v>
      </c>
      <c r="AA62" t="s">
        <v>1407</v>
      </c>
      <c r="AB62" t="s">
        <v>1408</v>
      </c>
      <c r="AC62" t="s">
        <v>1409</v>
      </c>
      <c r="AD62" t="s">
        <v>1410</v>
      </c>
      <c r="AE62" t="s">
        <v>1411</v>
      </c>
      <c r="AF62" t="s">
        <v>74</v>
      </c>
      <c r="AG62">
        <v>81</v>
      </c>
      <c r="AH62">
        <v>23</v>
      </c>
      <c r="AI62">
        <v>24</v>
      </c>
      <c r="AJ62">
        <v>2</v>
      </c>
      <c r="AK62">
        <v>24</v>
      </c>
      <c r="AL62" t="s">
        <v>821</v>
      </c>
      <c r="AM62" t="s">
        <v>822</v>
      </c>
      <c r="AN62" t="s">
        <v>823</v>
      </c>
      <c r="AO62" t="s">
        <v>74</v>
      </c>
      <c r="AP62" t="s">
        <v>824</v>
      </c>
      <c r="AQ62" t="s">
        <v>74</v>
      </c>
      <c r="AR62" t="s">
        <v>825</v>
      </c>
      <c r="AS62" t="s">
        <v>826</v>
      </c>
      <c r="AT62" t="s">
        <v>1412</v>
      </c>
      <c r="AU62">
        <v>2019</v>
      </c>
      <c r="AV62">
        <v>6</v>
      </c>
      <c r="AW62" t="s">
        <v>74</v>
      </c>
      <c r="AX62" t="s">
        <v>74</v>
      </c>
      <c r="AY62" t="s">
        <v>74</v>
      </c>
      <c r="AZ62" t="s">
        <v>74</v>
      </c>
      <c r="BA62" t="s">
        <v>74</v>
      </c>
      <c r="BB62" t="s">
        <v>74</v>
      </c>
      <c r="BC62" t="s">
        <v>74</v>
      </c>
      <c r="BD62">
        <v>167</v>
      </c>
      <c r="BE62" t="s">
        <v>1413</v>
      </c>
      <c r="BF62" t="str">
        <f>HYPERLINK("http://dx.doi.org/10.3389/fmars.2019.00167","http://dx.doi.org/10.3389/fmars.2019.00167")</f>
        <v>http://dx.doi.org/10.3389/fmars.2019.00167</v>
      </c>
      <c r="BG62" t="s">
        <v>74</v>
      </c>
      <c r="BH62" t="s">
        <v>74</v>
      </c>
      <c r="BI62">
        <v>17</v>
      </c>
      <c r="BJ62" t="s">
        <v>829</v>
      </c>
      <c r="BK62" t="s">
        <v>102</v>
      </c>
      <c r="BL62" t="s">
        <v>830</v>
      </c>
      <c r="BM62" t="s">
        <v>1414</v>
      </c>
      <c r="BN62" t="s">
        <v>74</v>
      </c>
      <c r="BO62" t="s">
        <v>1415</v>
      </c>
      <c r="BP62" t="s">
        <v>74</v>
      </c>
      <c r="BQ62" t="s">
        <v>74</v>
      </c>
      <c r="BR62" t="s">
        <v>107</v>
      </c>
      <c r="BS62" t="s">
        <v>1416</v>
      </c>
      <c r="BT62" t="str">
        <f>HYPERLINK("https%3A%2F%2Fwww.webofscience.com%2Fwos%2Fwoscc%2Ffull-record%2FWOS:000465448200001","View Full Record in Web of Science")</f>
        <v>View Full Record in Web of Science</v>
      </c>
    </row>
    <row r="63" spans="1:72" x14ac:dyDescent="0.15">
      <c r="A63" t="s">
        <v>72</v>
      </c>
      <c r="B63" t="s">
        <v>1417</v>
      </c>
      <c r="C63" t="s">
        <v>74</v>
      </c>
      <c r="D63" t="s">
        <v>74</v>
      </c>
      <c r="E63" t="s">
        <v>74</v>
      </c>
      <c r="F63" t="s">
        <v>1418</v>
      </c>
      <c r="G63" t="s">
        <v>74</v>
      </c>
      <c r="H63" t="s">
        <v>74</v>
      </c>
      <c r="I63" t="s">
        <v>1419</v>
      </c>
      <c r="J63" t="s">
        <v>1019</v>
      </c>
      <c r="K63" t="s">
        <v>74</v>
      </c>
      <c r="L63" t="s">
        <v>74</v>
      </c>
      <c r="M63" t="s">
        <v>78</v>
      </c>
      <c r="N63" t="s">
        <v>79</v>
      </c>
      <c r="O63" t="s">
        <v>74</v>
      </c>
      <c r="P63" t="s">
        <v>74</v>
      </c>
      <c r="Q63" t="s">
        <v>74</v>
      </c>
      <c r="R63" t="s">
        <v>74</v>
      </c>
      <c r="S63" t="s">
        <v>74</v>
      </c>
      <c r="T63" t="s">
        <v>74</v>
      </c>
      <c r="U63" t="s">
        <v>1420</v>
      </c>
      <c r="V63" t="s">
        <v>1421</v>
      </c>
      <c r="W63" t="s">
        <v>1422</v>
      </c>
      <c r="X63" t="s">
        <v>1423</v>
      </c>
      <c r="Y63" t="s">
        <v>1424</v>
      </c>
      <c r="Z63" t="s">
        <v>1425</v>
      </c>
      <c r="AA63" t="s">
        <v>1426</v>
      </c>
      <c r="AB63" t="s">
        <v>1427</v>
      </c>
      <c r="AC63" t="s">
        <v>1428</v>
      </c>
      <c r="AD63" t="s">
        <v>1429</v>
      </c>
      <c r="AE63" t="s">
        <v>1430</v>
      </c>
      <c r="AF63" t="s">
        <v>74</v>
      </c>
      <c r="AG63">
        <v>58</v>
      </c>
      <c r="AH63">
        <v>14</v>
      </c>
      <c r="AI63">
        <v>14</v>
      </c>
      <c r="AJ63">
        <v>2</v>
      </c>
      <c r="AK63">
        <v>33</v>
      </c>
      <c r="AL63" t="s">
        <v>125</v>
      </c>
      <c r="AM63" t="s">
        <v>126</v>
      </c>
      <c r="AN63" t="s">
        <v>127</v>
      </c>
      <c r="AO63" t="s">
        <v>1031</v>
      </c>
      <c r="AP63" t="s">
        <v>1032</v>
      </c>
      <c r="AQ63" t="s">
        <v>74</v>
      </c>
      <c r="AR63" t="s">
        <v>1033</v>
      </c>
      <c r="AS63" t="s">
        <v>1034</v>
      </c>
      <c r="AT63" t="s">
        <v>1431</v>
      </c>
      <c r="AU63">
        <v>2019</v>
      </c>
      <c r="AV63">
        <v>124</v>
      </c>
      <c r="AW63">
        <v>7</v>
      </c>
      <c r="AX63" t="s">
        <v>74</v>
      </c>
      <c r="AY63" t="s">
        <v>74</v>
      </c>
      <c r="AZ63" t="s">
        <v>74</v>
      </c>
      <c r="BA63" t="s">
        <v>74</v>
      </c>
      <c r="BB63">
        <v>3871</v>
      </c>
      <c r="BC63">
        <v>3888</v>
      </c>
      <c r="BD63" t="s">
        <v>74</v>
      </c>
      <c r="BE63" t="s">
        <v>1432</v>
      </c>
      <c r="BF63" t="str">
        <f>HYPERLINK("http://dx.doi.org/10.1029/2018JD029109","http://dx.doi.org/10.1029/2018JD029109")</f>
        <v>http://dx.doi.org/10.1029/2018JD029109</v>
      </c>
      <c r="BG63" t="s">
        <v>74</v>
      </c>
      <c r="BH63" t="s">
        <v>74</v>
      </c>
      <c r="BI63">
        <v>18</v>
      </c>
      <c r="BJ63" t="s">
        <v>133</v>
      </c>
      <c r="BK63" t="s">
        <v>102</v>
      </c>
      <c r="BL63" t="s">
        <v>133</v>
      </c>
      <c r="BM63" t="s">
        <v>1433</v>
      </c>
      <c r="BN63" t="s">
        <v>74</v>
      </c>
      <c r="BO63" t="s">
        <v>74</v>
      </c>
      <c r="BP63" t="s">
        <v>74</v>
      </c>
      <c r="BQ63" t="s">
        <v>74</v>
      </c>
      <c r="BR63" t="s">
        <v>107</v>
      </c>
      <c r="BS63" t="s">
        <v>1434</v>
      </c>
      <c r="BT63" t="str">
        <f>HYPERLINK("https%3A%2F%2Fwww.webofscience.com%2Fwos%2Fwoscc%2Ffull-record%2FWOS:000467147400014","View Full Record in Web of Science")</f>
        <v>View Full Record in Web of Science</v>
      </c>
    </row>
    <row r="64" spans="1:72" x14ac:dyDescent="0.15">
      <c r="A64" t="s">
        <v>72</v>
      </c>
      <c r="B64" t="s">
        <v>1435</v>
      </c>
      <c r="C64" t="s">
        <v>74</v>
      </c>
      <c r="D64" t="s">
        <v>74</v>
      </c>
      <c r="E64" t="s">
        <v>74</v>
      </c>
      <c r="F64" t="s">
        <v>1436</v>
      </c>
      <c r="G64" t="s">
        <v>74</v>
      </c>
      <c r="H64" t="s">
        <v>74</v>
      </c>
      <c r="I64" t="s">
        <v>1437</v>
      </c>
      <c r="J64" t="s">
        <v>907</v>
      </c>
      <c r="K64" t="s">
        <v>74</v>
      </c>
      <c r="L64" t="s">
        <v>74</v>
      </c>
      <c r="M64" t="s">
        <v>78</v>
      </c>
      <c r="N64" t="s">
        <v>79</v>
      </c>
      <c r="O64" t="s">
        <v>74</v>
      </c>
      <c r="P64" t="s">
        <v>74</v>
      </c>
      <c r="Q64" t="s">
        <v>74</v>
      </c>
      <c r="R64" t="s">
        <v>74</v>
      </c>
      <c r="S64" t="s">
        <v>74</v>
      </c>
      <c r="T64" t="s">
        <v>1438</v>
      </c>
      <c r="U64" t="s">
        <v>1439</v>
      </c>
      <c r="V64" t="s">
        <v>1440</v>
      </c>
      <c r="W64" t="s">
        <v>1441</v>
      </c>
      <c r="X64" t="s">
        <v>1442</v>
      </c>
      <c r="Y64" t="s">
        <v>1443</v>
      </c>
      <c r="Z64" t="s">
        <v>1444</v>
      </c>
      <c r="AA64" t="s">
        <v>1445</v>
      </c>
      <c r="AB64" t="s">
        <v>1446</v>
      </c>
      <c r="AC64" t="s">
        <v>1447</v>
      </c>
      <c r="AD64" t="s">
        <v>1448</v>
      </c>
      <c r="AE64" t="s">
        <v>1449</v>
      </c>
      <c r="AF64" t="s">
        <v>74</v>
      </c>
      <c r="AG64">
        <v>50</v>
      </c>
      <c r="AH64">
        <v>50</v>
      </c>
      <c r="AI64">
        <v>55</v>
      </c>
      <c r="AJ64">
        <v>2</v>
      </c>
      <c r="AK64">
        <v>13</v>
      </c>
      <c r="AL64" t="s">
        <v>125</v>
      </c>
      <c r="AM64" t="s">
        <v>126</v>
      </c>
      <c r="AN64" t="s">
        <v>127</v>
      </c>
      <c r="AO64" t="s">
        <v>916</v>
      </c>
      <c r="AP64" t="s">
        <v>917</v>
      </c>
      <c r="AQ64" t="s">
        <v>74</v>
      </c>
      <c r="AR64" t="s">
        <v>918</v>
      </c>
      <c r="AS64" t="s">
        <v>919</v>
      </c>
      <c r="AT64" t="s">
        <v>1431</v>
      </c>
      <c r="AU64">
        <v>2019</v>
      </c>
      <c r="AV64">
        <v>46</v>
      </c>
      <c r="AW64">
        <v>7</v>
      </c>
      <c r="AX64" t="s">
        <v>74</v>
      </c>
      <c r="AY64" t="s">
        <v>74</v>
      </c>
      <c r="AZ64" t="s">
        <v>74</v>
      </c>
      <c r="BA64" t="s">
        <v>74</v>
      </c>
      <c r="BB64">
        <v>3822</v>
      </c>
      <c r="BC64">
        <v>3831</v>
      </c>
      <c r="BD64" t="s">
        <v>74</v>
      </c>
      <c r="BE64" t="s">
        <v>1450</v>
      </c>
      <c r="BF64" t="str">
        <f>HYPERLINK("http://dx.doi.org/10.1029/2018GL080845","http://dx.doi.org/10.1029/2018GL080845")</f>
        <v>http://dx.doi.org/10.1029/2018GL080845</v>
      </c>
      <c r="BG64" t="s">
        <v>74</v>
      </c>
      <c r="BH64" t="s">
        <v>74</v>
      </c>
      <c r="BI64">
        <v>10</v>
      </c>
      <c r="BJ64" t="s">
        <v>922</v>
      </c>
      <c r="BK64" t="s">
        <v>102</v>
      </c>
      <c r="BL64" t="s">
        <v>923</v>
      </c>
      <c r="BM64" t="s">
        <v>1451</v>
      </c>
      <c r="BN64" t="s">
        <v>74</v>
      </c>
      <c r="BO64" t="s">
        <v>223</v>
      </c>
      <c r="BP64" t="s">
        <v>74</v>
      </c>
      <c r="BQ64" t="s">
        <v>74</v>
      </c>
      <c r="BR64" t="s">
        <v>107</v>
      </c>
      <c r="BS64" t="s">
        <v>1452</v>
      </c>
      <c r="BT64" t="str">
        <f>HYPERLINK("https%3A%2F%2Fwww.webofscience.com%2Fwos%2Fwoscc%2Ffull-record%2FWOS:000465836200027","View Full Record in Web of Science")</f>
        <v>View Full Record in Web of Science</v>
      </c>
    </row>
    <row r="65" spans="1:72" x14ac:dyDescent="0.15">
      <c r="A65" t="s">
        <v>72</v>
      </c>
      <c r="B65" t="s">
        <v>1453</v>
      </c>
      <c r="C65" t="s">
        <v>74</v>
      </c>
      <c r="D65" t="s">
        <v>74</v>
      </c>
      <c r="E65" t="s">
        <v>74</v>
      </c>
      <c r="F65" t="s">
        <v>1454</v>
      </c>
      <c r="G65" t="s">
        <v>74</v>
      </c>
      <c r="H65" t="s">
        <v>74</v>
      </c>
      <c r="I65" t="s">
        <v>1455</v>
      </c>
      <c r="J65" t="s">
        <v>907</v>
      </c>
      <c r="K65" t="s">
        <v>74</v>
      </c>
      <c r="L65" t="s">
        <v>74</v>
      </c>
      <c r="M65" t="s">
        <v>78</v>
      </c>
      <c r="N65" t="s">
        <v>79</v>
      </c>
      <c r="O65" t="s">
        <v>74</v>
      </c>
      <c r="P65" t="s">
        <v>74</v>
      </c>
      <c r="Q65" t="s">
        <v>74</v>
      </c>
      <c r="R65" t="s">
        <v>74</v>
      </c>
      <c r="S65" t="s">
        <v>74</v>
      </c>
      <c r="T65" t="s">
        <v>1456</v>
      </c>
      <c r="U65" t="s">
        <v>1457</v>
      </c>
      <c r="V65" t="s">
        <v>1458</v>
      </c>
      <c r="W65" t="s">
        <v>1459</v>
      </c>
      <c r="X65" t="s">
        <v>1460</v>
      </c>
      <c r="Y65" t="s">
        <v>1461</v>
      </c>
      <c r="Z65" t="s">
        <v>1462</v>
      </c>
      <c r="AA65" t="s">
        <v>1463</v>
      </c>
      <c r="AB65" t="s">
        <v>1464</v>
      </c>
      <c r="AC65" t="s">
        <v>1465</v>
      </c>
      <c r="AD65" t="s">
        <v>1466</v>
      </c>
      <c r="AE65" t="s">
        <v>1467</v>
      </c>
      <c r="AF65" t="s">
        <v>74</v>
      </c>
      <c r="AG65">
        <v>31</v>
      </c>
      <c r="AH65">
        <v>2</v>
      </c>
      <c r="AI65">
        <v>3</v>
      </c>
      <c r="AJ65">
        <v>2</v>
      </c>
      <c r="AK65">
        <v>5</v>
      </c>
      <c r="AL65" t="s">
        <v>125</v>
      </c>
      <c r="AM65" t="s">
        <v>126</v>
      </c>
      <c r="AN65" t="s">
        <v>127</v>
      </c>
      <c r="AO65" t="s">
        <v>916</v>
      </c>
      <c r="AP65" t="s">
        <v>917</v>
      </c>
      <c r="AQ65" t="s">
        <v>74</v>
      </c>
      <c r="AR65" t="s">
        <v>918</v>
      </c>
      <c r="AS65" t="s">
        <v>919</v>
      </c>
      <c r="AT65" t="s">
        <v>1431</v>
      </c>
      <c r="AU65">
        <v>2019</v>
      </c>
      <c r="AV65">
        <v>46</v>
      </c>
      <c r="AW65">
        <v>7</v>
      </c>
      <c r="AX65" t="s">
        <v>74</v>
      </c>
      <c r="AY65" t="s">
        <v>74</v>
      </c>
      <c r="AZ65" t="s">
        <v>74</v>
      </c>
      <c r="BA65" t="s">
        <v>74</v>
      </c>
      <c r="BB65">
        <v>3862</v>
      </c>
      <c r="BC65">
        <v>3870</v>
      </c>
      <c r="BD65" t="s">
        <v>74</v>
      </c>
      <c r="BE65" t="s">
        <v>1468</v>
      </c>
      <c r="BF65" t="str">
        <f>HYPERLINK("http://dx.doi.org/10.1029/2018GL081382","http://dx.doi.org/10.1029/2018GL081382")</f>
        <v>http://dx.doi.org/10.1029/2018GL081382</v>
      </c>
      <c r="BG65" t="s">
        <v>74</v>
      </c>
      <c r="BH65" t="s">
        <v>74</v>
      </c>
      <c r="BI65">
        <v>9</v>
      </c>
      <c r="BJ65" t="s">
        <v>922</v>
      </c>
      <c r="BK65" t="s">
        <v>102</v>
      </c>
      <c r="BL65" t="s">
        <v>923</v>
      </c>
      <c r="BM65" t="s">
        <v>1451</v>
      </c>
      <c r="BN65" t="s">
        <v>74</v>
      </c>
      <c r="BO65" t="s">
        <v>1469</v>
      </c>
      <c r="BP65" t="s">
        <v>74</v>
      </c>
      <c r="BQ65" t="s">
        <v>74</v>
      </c>
      <c r="BR65" t="s">
        <v>107</v>
      </c>
      <c r="BS65" t="s">
        <v>1470</v>
      </c>
      <c r="BT65" t="str">
        <f>HYPERLINK("https%3A%2F%2Fwww.webofscience.com%2Fwos%2Fwoscc%2Ffull-record%2FWOS:000465836200031","View Full Record in Web of Science")</f>
        <v>View Full Record in Web of Science</v>
      </c>
    </row>
    <row r="66" spans="1:72" x14ac:dyDescent="0.15">
      <c r="A66" t="s">
        <v>72</v>
      </c>
      <c r="B66" t="s">
        <v>1471</v>
      </c>
      <c r="C66" t="s">
        <v>74</v>
      </c>
      <c r="D66" t="s">
        <v>74</v>
      </c>
      <c r="E66" t="s">
        <v>74</v>
      </c>
      <c r="F66" t="s">
        <v>1472</v>
      </c>
      <c r="G66" t="s">
        <v>74</v>
      </c>
      <c r="H66" t="s">
        <v>74</v>
      </c>
      <c r="I66" t="s">
        <v>1473</v>
      </c>
      <c r="J66" t="s">
        <v>1474</v>
      </c>
      <c r="K66" t="s">
        <v>74</v>
      </c>
      <c r="L66" t="s">
        <v>74</v>
      </c>
      <c r="M66" t="s">
        <v>78</v>
      </c>
      <c r="N66" t="s">
        <v>79</v>
      </c>
      <c r="O66" t="s">
        <v>74</v>
      </c>
      <c r="P66" t="s">
        <v>74</v>
      </c>
      <c r="Q66" t="s">
        <v>74</v>
      </c>
      <c r="R66" t="s">
        <v>74</v>
      </c>
      <c r="S66" t="s">
        <v>74</v>
      </c>
      <c r="T66" t="s">
        <v>74</v>
      </c>
      <c r="U66" t="s">
        <v>1475</v>
      </c>
      <c r="V66" t="s">
        <v>1476</v>
      </c>
      <c r="W66" t="s">
        <v>1477</v>
      </c>
      <c r="X66" t="s">
        <v>1478</v>
      </c>
      <c r="Y66" t="s">
        <v>1479</v>
      </c>
      <c r="Z66" t="s">
        <v>1480</v>
      </c>
      <c r="AA66" t="s">
        <v>1481</v>
      </c>
      <c r="AB66" t="s">
        <v>1482</v>
      </c>
      <c r="AC66" t="s">
        <v>1483</v>
      </c>
      <c r="AD66" t="s">
        <v>1484</v>
      </c>
      <c r="AE66" t="s">
        <v>1485</v>
      </c>
      <c r="AF66" t="s">
        <v>74</v>
      </c>
      <c r="AG66">
        <v>15</v>
      </c>
      <c r="AH66">
        <v>5</v>
      </c>
      <c r="AI66">
        <v>5</v>
      </c>
      <c r="AJ66">
        <v>1</v>
      </c>
      <c r="AK66">
        <v>29</v>
      </c>
      <c r="AL66" t="s">
        <v>1486</v>
      </c>
      <c r="AM66" t="s">
        <v>126</v>
      </c>
      <c r="AN66" t="s">
        <v>1487</v>
      </c>
      <c r="AO66" t="s">
        <v>1488</v>
      </c>
      <c r="AP66" t="s">
        <v>1489</v>
      </c>
      <c r="AQ66" t="s">
        <v>74</v>
      </c>
      <c r="AR66" t="s">
        <v>1490</v>
      </c>
      <c r="AS66" t="s">
        <v>1491</v>
      </c>
      <c r="AT66" t="s">
        <v>1431</v>
      </c>
      <c r="AU66">
        <v>2019</v>
      </c>
      <c r="AV66">
        <v>91</v>
      </c>
      <c r="AW66">
        <v>8</v>
      </c>
      <c r="AX66" t="s">
        <v>74</v>
      </c>
      <c r="AY66" t="s">
        <v>74</v>
      </c>
      <c r="AZ66" t="s">
        <v>74</v>
      </c>
      <c r="BA66" t="s">
        <v>74</v>
      </c>
      <c r="BB66">
        <v>5051</v>
      </c>
      <c r="BC66">
        <v>5057</v>
      </c>
      <c r="BD66" t="s">
        <v>74</v>
      </c>
      <c r="BE66" t="s">
        <v>1492</v>
      </c>
      <c r="BF66" t="str">
        <f>HYPERLINK("http://dx.doi.org/10.1021/acs.analchem.8b05224","http://dx.doi.org/10.1021/acs.analchem.8b05224")</f>
        <v>http://dx.doi.org/10.1021/acs.analchem.8b05224</v>
      </c>
      <c r="BG66" t="s">
        <v>74</v>
      </c>
      <c r="BH66" t="s">
        <v>74</v>
      </c>
      <c r="BI66">
        <v>7</v>
      </c>
      <c r="BJ66" t="s">
        <v>1493</v>
      </c>
      <c r="BK66" t="s">
        <v>102</v>
      </c>
      <c r="BL66" t="s">
        <v>1494</v>
      </c>
      <c r="BM66" t="s">
        <v>1495</v>
      </c>
      <c r="BN66">
        <v>30893554</v>
      </c>
      <c r="BO66" t="s">
        <v>1496</v>
      </c>
      <c r="BP66" t="s">
        <v>74</v>
      </c>
      <c r="BQ66" t="s">
        <v>74</v>
      </c>
      <c r="BR66" t="s">
        <v>107</v>
      </c>
      <c r="BS66" t="s">
        <v>1497</v>
      </c>
      <c r="BT66" t="str">
        <f>HYPERLINK("https%3A%2F%2Fwww.webofscience.com%2Fwos%2Fwoscc%2Ffull-record%2FWOS:000465189600021","View Full Record in Web of Science")</f>
        <v>View Full Record in Web of Science</v>
      </c>
    </row>
    <row r="67" spans="1:72" x14ac:dyDescent="0.15">
      <c r="A67" t="s">
        <v>72</v>
      </c>
      <c r="B67" t="s">
        <v>1498</v>
      </c>
      <c r="C67" t="s">
        <v>74</v>
      </c>
      <c r="D67" t="s">
        <v>74</v>
      </c>
      <c r="E67" t="s">
        <v>74</v>
      </c>
      <c r="F67" t="s">
        <v>1499</v>
      </c>
      <c r="G67" t="s">
        <v>74</v>
      </c>
      <c r="H67" t="s">
        <v>74</v>
      </c>
      <c r="I67" t="s">
        <v>1500</v>
      </c>
      <c r="J67" t="s">
        <v>1501</v>
      </c>
      <c r="K67" t="s">
        <v>74</v>
      </c>
      <c r="L67" t="s">
        <v>74</v>
      </c>
      <c r="M67" t="s">
        <v>78</v>
      </c>
      <c r="N67" t="s">
        <v>79</v>
      </c>
      <c r="O67" t="s">
        <v>74</v>
      </c>
      <c r="P67" t="s">
        <v>74</v>
      </c>
      <c r="Q67" t="s">
        <v>74</v>
      </c>
      <c r="R67" t="s">
        <v>74</v>
      </c>
      <c r="S67" t="s">
        <v>74</v>
      </c>
      <c r="T67" t="s">
        <v>1502</v>
      </c>
      <c r="U67" t="s">
        <v>1503</v>
      </c>
      <c r="V67" t="s">
        <v>1504</v>
      </c>
      <c r="W67" t="s">
        <v>1505</v>
      </c>
      <c r="X67" t="s">
        <v>1506</v>
      </c>
      <c r="Y67" t="s">
        <v>1507</v>
      </c>
      <c r="Z67" t="s">
        <v>1508</v>
      </c>
      <c r="AA67" t="s">
        <v>1509</v>
      </c>
      <c r="AB67" t="s">
        <v>1510</v>
      </c>
      <c r="AC67" t="s">
        <v>1511</v>
      </c>
      <c r="AD67" t="s">
        <v>1512</v>
      </c>
      <c r="AE67" t="s">
        <v>1513</v>
      </c>
      <c r="AF67" t="s">
        <v>74</v>
      </c>
      <c r="AG67">
        <v>80</v>
      </c>
      <c r="AH67">
        <v>14</v>
      </c>
      <c r="AI67">
        <v>16</v>
      </c>
      <c r="AJ67">
        <v>0</v>
      </c>
      <c r="AK67">
        <v>8</v>
      </c>
      <c r="AL67" t="s">
        <v>1514</v>
      </c>
      <c r="AM67" t="s">
        <v>329</v>
      </c>
      <c r="AN67" t="s">
        <v>1515</v>
      </c>
      <c r="AO67" t="s">
        <v>74</v>
      </c>
      <c r="AP67" t="s">
        <v>1516</v>
      </c>
      <c r="AQ67" t="s">
        <v>74</v>
      </c>
      <c r="AR67" t="s">
        <v>1517</v>
      </c>
      <c r="AS67" t="s">
        <v>1518</v>
      </c>
      <c r="AT67" t="s">
        <v>1431</v>
      </c>
      <c r="AU67">
        <v>2019</v>
      </c>
      <c r="AV67">
        <v>10</v>
      </c>
      <c r="AW67" t="s">
        <v>74</v>
      </c>
      <c r="AX67" t="s">
        <v>74</v>
      </c>
      <c r="AY67" t="s">
        <v>74</v>
      </c>
      <c r="AZ67" t="s">
        <v>74</v>
      </c>
      <c r="BA67" t="s">
        <v>74</v>
      </c>
      <c r="BB67" t="s">
        <v>74</v>
      </c>
      <c r="BC67" t="s">
        <v>74</v>
      </c>
      <c r="BD67">
        <v>20</v>
      </c>
      <c r="BE67" t="s">
        <v>1519</v>
      </c>
      <c r="BF67" t="str">
        <f>HYPERLINK("http://dx.doi.org/10.1186/s13293-019-0231-0","http://dx.doi.org/10.1186/s13293-019-0231-0")</f>
        <v>http://dx.doi.org/10.1186/s13293-019-0231-0</v>
      </c>
      <c r="BG67" t="s">
        <v>74</v>
      </c>
      <c r="BH67" t="s">
        <v>74</v>
      </c>
      <c r="BI67">
        <v>17</v>
      </c>
      <c r="BJ67" t="s">
        <v>1520</v>
      </c>
      <c r="BK67" t="s">
        <v>337</v>
      </c>
      <c r="BL67" t="s">
        <v>1520</v>
      </c>
      <c r="BM67" t="s">
        <v>1521</v>
      </c>
      <c r="BN67">
        <v>30992051</v>
      </c>
      <c r="BO67" t="s">
        <v>463</v>
      </c>
      <c r="BP67" t="s">
        <v>74</v>
      </c>
      <c r="BQ67" t="s">
        <v>74</v>
      </c>
      <c r="BR67" t="s">
        <v>107</v>
      </c>
      <c r="BS67" t="s">
        <v>1522</v>
      </c>
      <c r="BT67" t="str">
        <f>HYPERLINK("https%3A%2F%2Fwww.webofscience.com%2Fwos%2Fwoscc%2Ffull-record%2FWOS:000464978200001","View Full Record in Web of Science")</f>
        <v>View Full Record in Web of Science</v>
      </c>
    </row>
    <row r="68" spans="1:72" x14ac:dyDescent="0.15">
      <c r="A68" t="s">
        <v>72</v>
      </c>
      <c r="B68" t="s">
        <v>1523</v>
      </c>
      <c r="C68" t="s">
        <v>74</v>
      </c>
      <c r="D68" t="s">
        <v>74</v>
      </c>
      <c r="E68" t="s">
        <v>74</v>
      </c>
      <c r="F68" t="s">
        <v>1524</v>
      </c>
      <c r="G68" t="s">
        <v>74</v>
      </c>
      <c r="H68" t="s">
        <v>74</v>
      </c>
      <c r="I68" t="s">
        <v>1525</v>
      </c>
      <c r="J68" t="s">
        <v>1526</v>
      </c>
      <c r="K68" t="s">
        <v>74</v>
      </c>
      <c r="L68" t="s">
        <v>74</v>
      </c>
      <c r="M68" t="s">
        <v>78</v>
      </c>
      <c r="N68" t="s">
        <v>79</v>
      </c>
      <c r="O68" t="s">
        <v>74</v>
      </c>
      <c r="P68" t="s">
        <v>74</v>
      </c>
      <c r="Q68" t="s">
        <v>74</v>
      </c>
      <c r="R68" t="s">
        <v>74</v>
      </c>
      <c r="S68" t="s">
        <v>74</v>
      </c>
      <c r="T68" t="s">
        <v>1527</v>
      </c>
      <c r="U68" t="s">
        <v>1528</v>
      </c>
      <c r="V68" t="s">
        <v>1529</v>
      </c>
      <c r="W68" t="s">
        <v>1530</v>
      </c>
      <c r="X68" t="s">
        <v>1531</v>
      </c>
      <c r="Y68" t="s">
        <v>1532</v>
      </c>
      <c r="Z68" t="s">
        <v>1533</v>
      </c>
      <c r="AA68" t="s">
        <v>1534</v>
      </c>
      <c r="AB68" t="s">
        <v>1535</v>
      </c>
      <c r="AC68" t="s">
        <v>1536</v>
      </c>
      <c r="AD68" t="s">
        <v>1537</v>
      </c>
      <c r="AE68" t="s">
        <v>1538</v>
      </c>
      <c r="AF68" t="s">
        <v>74</v>
      </c>
      <c r="AG68">
        <v>46</v>
      </c>
      <c r="AH68">
        <v>15</v>
      </c>
      <c r="AI68">
        <v>15</v>
      </c>
      <c r="AJ68">
        <v>1</v>
      </c>
      <c r="AK68">
        <v>3</v>
      </c>
      <c r="AL68" t="s">
        <v>821</v>
      </c>
      <c r="AM68" t="s">
        <v>822</v>
      </c>
      <c r="AN68" t="s">
        <v>823</v>
      </c>
      <c r="AO68" t="s">
        <v>74</v>
      </c>
      <c r="AP68" t="s">
        <v>1539</v>
      </c>
      <c r="AQ68" t="s">
        <v>74</v>
      </c>
      <c r="AR68" t="s">
        <v>1540</v>
      </c>
      <c r="AS68" t="s">
        <v>1541</v>
      </c>
      <c r="AT68" t="s">
        <v>1431</v>
      </c>
      <c r="AU68">
        <v>2019</v>
      </c>
      <c r="AV68">
        <v>10</v>
      </c>
      <c r="AW68" t="s">
        <v>74</v>
      </c>
      <c r="AX68" t="s">
        <v>74</v>
      </c>
      <c r="AY68" t="s">
        <v>74</v>
      </c>
      <c r="AZ68" t="s">
        <v>74</v>
      </c>
      <c r="BA68" t="s">
        <v>74</v>
      </c>
      <c r="BB68" t="s">
        <v>74</v>
      </c>
      <c r="BC68" t="s">
        <v>74</v>
      </c>
      <c r="BD68">
        <v>330</v>
      </c>
      <c r="BE68" t="s">
        <v>1542</v>
      </c>
      <c r="BF68" t="str">
        <f>HYPERLINK("http://dx.doi.org/10.3389/fgene.2019.00330","http://dx.doi.org/10.3389/fgene.2019.00330")</f>
        <v>http://dx.doi.org/10.3389/fgene.2019.00330</v>
      </c>
      <c r="BG68" t="s">
        <v>74</v>
      </c>
      <c r="BH68" t="s">
        <v>74</v>
      </c>
      <c r="BI68">
        <v>12</v>
      </c>
      <c r="BJ68" t="s">
        <v>1543</v>
      </c>
      <c r="BK68" t="s">
        <v>102</v>
      </c>
      <c r="BL68" t="s">
        <v>1543</v>
      </c>
      <c r="BM68" t="s">
        <v>1544</v>
      </c>
      <c r="BN68">
        <v>31040861</v>
      </c>
      <c r="BO68" t="s">
        <v>851</v>
      </c>
      <c r="BP68" t="s">
        <v>74</v>
      </c>
      <c r="BQ68" t="s">
        <v>74</v>
      </c>
      <c r="BR68" t="s">
        <v>107</v>
      </c>
      <c r="BS68" t="s">
        <v>1545</v>
      </c>
      <c r="BT68" t="str">
        <f>HYPERLINK("https%3A%2F%2Fwww.webofscience.com%2Fwos%2Fwoscc%2Ffull-record%2FWOS:000465099400001","View Full Record in Web of Science")</f>
        <v>View Full Record in Web of Science</v>
      </c>
    </row>
    <row r="69" spans="1:72" x14ac:dyDescent="0.15">
      <c r="A69" t="s">
        <v>72</v>
      </c>
      <c r="B69" t="s">
        <v>1546</v>
      </c>
      <c r="C69" t="s">
        <v>74</v>
      </c>
      <c r="D69" t="s">
        <v>74</v>
      </c>
      <c r="E69" t="s">
        <v>74</v>
      </c>
      <c r="F69" t="s">
        <v>1547</v>
      </c>
      <c r="G69" t="s">
        <v>74</v>
      </c>
      <c r="H69" t="s">
        <v>74</v>
      </c>
      <c r="I69" t="s">
        <v>1548</v>
      </c>
      <c r="J69" t="s">
        <v>1549</v>
      </c>
      <c r="K69" t="s">
        <v>74</v>
      </c>
      <c r="L69" t="s">
        <v>74</v>
      </c>
      <c r="M69" t="s">
        <v>78</v>
      </c>
      <c r="N69" t="s">
        <v>79</v>
      </c>
      <c r="O69" t="s">
        <v>74</v>
      </c>
      <c r="P69" t="s">
        <v>74</v>
      </c>
      <c r="Q69" t="s">
        <v>74</v>
      </c>
      <c r="R69" t="s">
        <v>74</v>
      </c>
      <c r="S69" t="s">
        <v>74</v>
      </c>
      <c r="T69" t="s">
        <v>74</v>
      </c>
      <c r="U69" t="s">
        <v>1550</v>
      </c>
      <c r="V69" t="s">
        <v>1551</v>
      </c>
      <c r="W69" t="s">
        <v>1552</v>
      </c>
      <c r="X69" t="s">
        <v>1553</v>
      </c>
      <c r="Y69" t="s">
        <v>1554</v>
      </c>
      <c r="Z69" t="s">
        <v>1555</v>
      </c>
      <c r="AA69" t="s">
        <v>1556</v>
      </c>
      <c r="AB69" t="s">
        <v>1557</v>
      </c>
      <c r="AC69" t="s">
        <v>74</v>
      </c>
      <c r="AD69" t="s">
        <v>74</v>
      </c>
      <c r="AE69" t="s">
        <v>74</v>
      </c>
      <c r="AF69" t="s">
        <v>74</v>
      </c>
      <c r="AG69">
        <v>24</v>
      </c>
      <c r="AH69">
        <v>6</v>
      </c>
      <c r="AI69">
        <v>7</v>
      </c>
      <c r="AJ69">
        <v>0</v>
      </c>
      <c r="AK69">
        <v>5</v>
      </c>
      <c r="AL69" t="s">
        <v>868</v>
      </c>
      <c r="AM69" t="s">
        <v>869</v>
      </c>
      <c r="AN69" t="s">
        <v>870</v>
      </c>
      <c r="AO69" t="s">
        <v>1558</v>
      </c>
      <c r="AP69" t="s">
        <v>1559</v>
      </c>
      <c r="AQ69" t="s">
        <v>74</v>
      </c>
      <c r="AR69" t="s">
        <v>1560</v>
      </c>
      <c r="AS69" t="s">
        <v>1561</v>
      </c>
      <c r="AT69" t="s">
        <v>1431</v>
      </c>
      <c r="AU69">
        <v>2019</v>
      </c>
      <c r="AV69">
        <v>10</v>
      </c>
      <c r="AW69">
        <v>1</v>
      </c>
      <c r="AX69" t="s">
        <v>74</v>
      </c>
      <c r="AY69" t="s">
        <v>74</v>
      </c>
      <c r="AZ69" t="s">
        <v>74</v>
      </c>
      <c r="BA69" t="s">
        <v>74</v>
      </c>
      <c r="BB69">
        <v>97</v>
      </c>
      <c r="BC69">
        <v>107</v>
      </c>
      <c r="BD69" t="s">
        <v>74</v>
      </c>
      <c r="BE69" t="s">
        <v>1562</v>
      </c>
      <c r="BF69" t="str">
        <f>HYPERLINK("http://dx.doi.org/10.5194/hgss-10-97-2019","http://dx.doi.org/10.5194/hgss-10-97-2019")</f>
        <v>http://dx.doi.org/10.5194/hgss-10-97-2019</v>
      </c>
      <c r="BG69" t="s">
        <v>74</v>
      </c>
      <c r="BH69" t="s">
        <v>74</v>
      </c>
      <c r="BI69">
        <v>11</v>
      </c>
      <c r="BJ69" t="s">
        <v>1563</v>
      </c>
      <c r="BK69" t="s">
        <v>337</v>
      </c>
      <c r="BL69" t="s">
        <v>1564</v>
      </c>
      <c r="BM69" t="s">
        <v>1565</v>
      </c>
      <c r="BN69" t="s">
        <v>74</v>
      </c>
      <c r="BO69" t="s">
        <v>1566</v>
      </c>
      <c r="BP69" t="s">
        <v>74</v>
      </c>
      <c r="BQ69" t="s">
        <v>74</v>
      </c>
      <c r="BR69" t="s">
        <v>107</v>
      </c>
      <c r="BS69" t="s">
        <v>1567</v>
      </c>
      <c r="BT69" t="str">
        <f>HYPERLINK("https%3A%2F%2Fwww.webofscience.com%2Fwos%2Fwoscc%2Ffull-record%2FWOS:000464692400005","View Full Record in Web of Science")</f>
        <v>View Full Record in Web of Science</v>
      </c>
    </row>
    <row r="70" spans="1:72" x14ac:dyDescent="0.15">
      <c r="A70" t="s">
        <v>72</v>
      </c>
      <c r="B70" t="s">
        <v>1568</v>
      </c>
      <c r="C70" t="s">
        <v>74</v>
      </c>
      <c r="D70" t="s">
        <v>74</v>
      </c>
      <c r="E70" t="s">
        <v>74</v>
      </c>
      <c r="F70" t="s">
        <v>1569</v>
      </c>
      <c r="G70" t="s">
        <v>74</v>
      </c>
      <c r="H70" t="s">
        <v>74</v>
      </c>
      <c r="I70" t="s">
        <v>1570</v>
      </c>
      <c r="J70" t="s">
        <v>1339</v>
      </c>
      <c r="K70" t="s">
        <v>74</v>
      </c>
      <c r="L70" t="s">
        <v>74</v>
      </c>
      <c r="M70" t="s">
        <v>78</v>
      </c>
      <c r="N70" t="s">
        <v>79</v>
      </c>
      <c r="O70" t="s">
        <v>74</v>
      </c>
      <c r="P70" t="s">
        <v>74</v>
      </c>
      <c r="Q70" t="s">
        <v>74</v>
      </c>
      <c r="R70" t="s">
        <v>74</v>
      </c>
      <c r="S70" t="s">
        <v>74</v>
      </c>
      <c r="T70" t="s">
        <v>74</v>
      </c>
      <c r="U70" t="s">
        <v>1571</v>
      </c>
      <c r="V70" t="s">
        <v>1572</v>
      </c>
      <c r="W70" t="s">
        <v>1573</v>
      </c>
      <c r="X70" t="s">
        <v>1574</v>
      </c>
      <c r="Y70" t="s">
        <v>1575</v>
      </c>
      <c r="Z70" t="s">
        <v>1576</v>
      </c>
      <c r="AA70" t="s">
        <v>1577</v>
      </c>
      <c r="AB70" t="s">
        <v>1578</v>
      </c>
      <c r="AC70" t="s">
        <v>1579</v>
      </c>
      <c r="AD70" t="s">
        <v>1580</v>
      </c>
      <c r="AE70" t="s">
        <v>1581</v>
      </c>
      <c r="AF70" t="s">
        <v>74</v>
      </c>
      <c r="AG70">
        <v>100</v>
      </c>
      <c r="AH70">
        <v>8</v>
      </c>
      <c r="AI70">
        <v>8</v>
      </c>
      <c r="AJ70">
        <v>0</v>
      </c>
      <c r="AK70">
        <v>8</v>
      </c>
      <c r="AL70" t="s">
        <v>868</v>
      </c>
      <c r="AM70" t="s">
        <v>869</v>
      </c>
      <c r="AN70" t="s">
        <v>870</v>
      </c>
      <c r="AO70" t="s">
        <v>1348</v>
      </c>
      <c r="AP70" t="s">
        <v>1349</v>
      </c>
      <c r="AQ70" t="s">
        <v>74</v>
      </c>
      <c r="AR70" t="s">
        <v>1350</v>
      </c>
      <c r="AS70" t="s">
        <v>1351</v>
      </c>
      <c r="AT70" t="s">
        <v>1431</v>
      </c>
      <c r="AU70">
        <v>2019</v>
      </c>
      <c r="AV70">
        <v>12</v>
      </c>
      <c r="AW70">
        <v>4</v>
      </c>
      <c r="AX70" t="s">
        <v>74</v>
      </c>
      <c r="AY70" t="s">
        <v>74</v>
      </c>
      <c r="AZ70" t="s">
        <v>74</v>
      </c>
      <c r="BA70" t="s">
        <v>74</v>
      </c>
      <c r="BB70">
        <v>1491</v>
      </c>
      <c r="BC70">
        <v>1523</v>
      </c>
      <c r="BD70" t="s">
        <v>74</v>
      </c>
      <c r="BE70" t="s">
        <v>1582</v>
      </c>
      <c r="BF70" t="str">
        <f>HYPERLINK("http://dx.doi.org/10.5194/gmd-12-1491-2019","http://dx.doi.org/10.5194/gmd-12-1491-2019")</f>
        <v>http://dx.doi.org/10.5194/gmd-12-1491-2019</v>
      </c>
      <c r="BG70" t="s">
        <v>74</v>
      </c>
      <c r="BH70" t="s">
        <v>74</v>
      </c>
      <c r="BI70">
        <v>33</v>
      </c>
      <c r="BJ70" t="s">
        <v>922</v>
      </c>
      <c r="BK70" t="s">
        <v>102</v>
      </c>
      <c r="BL70" t="s">
        <v>923</v>
      </c>
      <c r="BM70" t="s">
        <v>1583</v>
      </c>
      <c r="BN70" t="s">
        <v>74</v>
      </c>
      <c r="BO70" t="s">
        <v>135</v>
      </c>
      <c r="BP70" t="s">
        <v>74</v>
      </c>
      <c r="BQ70" t="s">
        <v>74</v>
      </c>
      <c r="BR70" t="s">
        <v>107</v>
      </c>
      <c r="BS70" t="s">
        <v>1584</v>
      </c>
      <c r="BT70" t="str">
        <f>HYPERLINK("https%3A%2F%2Fwww.webofscience.com%2Fwos%2Fwoscc%2Ffull-record%2FWOS:000464686700001","View Full Record in Web of Science")</f>
        <v>View Full Record in Web of Science</v>
      </c>
    </row>
    <row r="71" spans="1:72" x14ac:dyDescent="0.15">
      <c r="A71" t="s">
        <v>72</v>
      </c>
      <c r="B71" t="s">
        <v>1585</v>
      </c>
      <c r="C71" t="s">
        <v>74</v>
      </c>
      <c r="D71" t="s">
        <v>74</v>
      </c>
      <c r="E71" t="s">
        <v>74</v>
      </c>
      <c r="F71" t="s">
        <v>1586</v>
      </c>
      <c r="G71" t="s">
        <v>74</v>
      </c>
      <c r="H71" t="s">
        <v>74</v>
      </c>
      <c r="I71" t="s">
        <v>1587</v>
      </c>
      <c r="J71" t="s">
        <v>1125</v>
      </c>
      <c r="K71" t="s">
        <v>74</v>
      </c>
      <c r="L71" t="s">
        <v>74</v>
      </c>
      <c r="M71" t="s">
        <v>78</v>
      </c>
      <c r="N71" t="s">
        <v>79</v>
      </c>
      <c r="O71" t="s">
        <v>74</v>
      </c>
      <c r="P71" t="s">
        <v>74</v>
      </c>
      <c r="Q71" t="s">
        <v>74</v>
      </c>
      <c r="R71" t="s">
        <v>74</v>
      </c>
      <c r="S71" t="s">
        <v>74</v>
      </c>
      <c r="T71" t="s">
        <v>74</v>
      </c>
      <c r="U71" t="s">
        <v>1588</v>
      </c>
      <c r="V71" t="s">
        <v>1589</v>
      </c>
      <c r="W71" t="s">
        <v>1590</v>
      </c>
      <c r="X71" t="s">
        <v>1591</v>
      </c>
      <c r="Y71" t="s">
        <v>1592</v>
      </c>
      <c r="Z71" t="s">
        <v>1593</v>
      </c>
      <c r="AA71" t="s">
        <v>1594</v>
      </c>
      <c r="AB71" t="s">
        <v>1595</v>
      </c>
      <c r="AC71" t="s">
        <v>1596</v>
      </c>
      <c r="AD71" t="s">
        <v>1597</v>
      </c>
      <c r="AE71" t="s">
        <v>1598</v>
      </c>
      <c r="AF71" t="s">
        <v>74</v>
      </c>
      <c r="AG71">
        <v>42</v>
      </c>
      <c r="AH71">
        <v>5</v>
      </c>
      <c r="AI71">
        <v>8</v>
      </c>
      <c r="AJ71">
        <v>0</v>
      </c>
      <c r="AK71">
        <v>5</v>
      </c>
      <c r="AL71" t="s">
        <v>868</v>
      </c>
      <c r="AM71" t="s">
        <v>869</v>
      </c>
      <c r="AN71" t="s">
        <v>870</v>
      </c>
      <c r="AO71" t="s">
        <v>1137</v>
      </c>
      <c r="AP71" t="s">
        <v>1138</v>
      </c>
      <c r="AQ71" t="s">
        <v>74</v>
      </c>
      <c r="AR71" t="s">
        <v>1125</v>
      </c>
      <c r="AS71" t="s">
        <v>1139</v>
      </c>
      <c r="AT71" t="s">
        <v>1431</v>
      </c>
      <c r="AU71">
        <v>2019</v>
      </c>
      <c r="AV71">
        <v>13</v>
      </c>
      <c r="AW71">
        <v>4</v>
      </c>
      <c r="AX71" t="s">
        <v>74</v>
      </c>
      <c r="AY71" t="s">
        <v>74</v>
      </c>
      <c r="AZ71" t="s">
        <v>74</v>
      </c>
      <c r="BA71" t="s">
        <v>74</v>
      </c>
      <c r="BB71">
        <v>1267</v>
      </c>
      <c r="BC71">
        <v>1281</v>
      </c>
      <c r="BD71" t="s">
        <v>74</v>
      </c>
      <c r="BE71" t="s">
        <v>1599</v>
      </c>
      <c r="BF71" t="str">
        <f>HYPERLINK("http://dx.doi.org/10.5194/tc-13-1267-2019","http://dx.doi.org/10.5194/tc-13-1267-2019")</f>
        <v>http://dx.doi.org/10.5194/tc-13-1267-2019</v>
      </c>
      <c r="BG71" t="s">
        <v>74</v>
      </c>
      <c r="BH71" t="s">
        <v>74</v>
      </c>
      <c r="BI71">
        <v>15</v>
      </c>
      <c r="BJ71" t="s">
        <v>1142</v>
      </c>
      <c r="BK71" t="s">
        <v>102</v>
      </c>
      <c r="BL71" t="s">
        <v>1143</v>
      </c>
      <c r="BM71" t="s">
        <v>1600</v>
      </c>
      <c r="BN71" t="s">
        <v>74</v>
      </c>
      <c r="BO71" t="s">
        <v>1601</v>
      </c>
      <c r="BP71" t="s">
        <v>74</v>
      </c>
      <c r="BQ71" t="s">
        <v>74</v>
      </c>
      <c r="BR71" t="s">
        <v>107</v>
      </c>
      <c r="BS71" t="s">
        <v>1602</v>
      </c>
      <c r="BT71" t="str">
        <f>HYPERLINK("https%3A%2F%2Fwww.webofscience.com%2Fwos%2Fwoscc%2Ffull-record%2FWOS:000464696300001","View Full Record in Web of Science")</f>
        <v>View Full Record in Web of Science</v>
      </c>
    </row>
    <row r="72" spans="1:72" x14ac:dyDescent="0.15">
      <c r="A72" t="s">
        <v>72</v>
      </c>
      <c r="B72" t="s">
        <v>1603</v>
      </c>
      <c r="C72" t="s">
        <v>74</v>
      </c>
      <c r="D72" t="s">
        <v>74</v>
      </c>
      <c r="E72" t="s">
        <v>74</v>
      </c>
      <c r="F72" t="s">
        <v>1604</v>
      </c>
      <c r="G72" t="s">
        <v>74</v>
      </c>
      <c r="H72" t="s">
        <v>74</v>
      </c>
      <c r="I72" t="s">
        <v>1605</v>
      </c>
      <c r="J72" t="s">
        <v>1606</v>
      </c>
      <c r="K72" t="s">
        <v>74</v>
      </c>
      <c r="L72" t="s">
        <v>74</v>
      </c>
      <c r="M72" t="s">
        <v>78</v>
      </c>
      <c r="N72" t="s">
        <v>79</v>
      </c>
      <c r="O72" t="s">
        <v>74</v>
      </c>
      <c r="P72" t="s">
        <v>74</v>
      </c>
      <c r="Q72" t="s">
        <v>74</v>
      </c>
      <c r="R72" t="s">
        <v>74</v>
      </c>
      <c r="S72" t="s">
        <v>74</v>
      </c>
      <c r="T72" t="s">
        <v>1607</v>
      </c>
      <c r="U72" t="s">
        <v>1608</v>
      </c>
      <c r="V72" t="s">
        <v>1609</v>
      </c>
      <c r="W72" t="s">
        <v>1610</v>
      </c>
      <c r="X72" t="s">
        <v>1611</v>
      </c>
      <c r="Y72" t="s">
        <v>1612</v>
      </c>
      <c r="Z72" t="s">
        <v>1613</v>
      </c>
      <c r="AA72" t="s">
        <v>1614</v>
      </c>
      <c r="AB72" t="s">
        <v>1615</v>
      </c>
      <c r="AC72" t="s">
        <v>1616</v>
      </c>
      <c r="AD72" t="s">
        <v>1617</v>
      </c>
      <c r="AE72" t="s">
        <v>1618</v>
      </c>
      <c r="AF72" t="s">
        <v>74</v>
      </c>
      <c r="AG72">
        <v>32</v>
      </c>
      <c r="AH72">
        <v>22</v>
      </c>
      <c r="AI72">
        <v>22</v>
      </c>
      <c r="AJ72">
        <v>3</v>
      </c>
      <c r="AK72">
        <v>14</v>
      </c>
      <c r="AL72" t="s">
        <v>306</v>
      </c>
      <c r="AM72" t="s">
        <v>93</v>
      </c>
      <c r="AN72" t="s">
        <v>307</v>
      </c>
      <c r="AO72" t="s">
        <v>1619</v>
      </c>
      <c r="AP72" t="s">
        <v>1620</v>
      </c>
      <c r="AQ72" t="s">
        <v>74</v>
      </c>
      <c r="AR72" t="s">
        <v>1621</v>
      </c>
      <c r="AS72" t="s">
        <v>1622</v>
      </c>
      <c r="AT72" t="s">
        <v>1623</v>
      </c>
      <c r="AU72">
        <v>2019</v>
      </c>
      <c r="AV72">
        <v>240</v>
      </c>
      <c r="AW72" t="s">
        <v>74</v>
      </c>
      <c r="AX72" t="s">
        <v>74</v>
      </c>
      <c r="AY72" t="s">
        <v>74</v>
      </c>
      <c r="AZ72" t="s">
        <v>74</v>
      </c>
      <c r="BA72" t="s">
        <v>74</v>
      </c>
      <c r="BB72">
        <v>453</v>
      </c>
      <c r="BC72">
        <v>472</v>
      </c>
      <c r="BD72" t="s">
        <v>74</v>
      </c>
      <c r="BE72" t="s">
        <v>1624</v>
      </c>
      <c r="BF72" t="str">
        <f>HYPERLINK("http://dx.doi.org/10.1016/j.apenergy.2019.02.011","http://dx.doi.org/10.1016/j.apenergy.2019.02.011")</f>
        <v>http://dx.doi.org/10.1016/j.apenergy.2019.02.011</v>
      </c>
      <c r="BG72" t="s">
        <v>74</v>
      </c>
      <c r="BH72" t="s">
        <v>74</v>
      </c>
      <c r="BI72">
        <v>20</v>
      </c>
      <c r="BJ72" t="s">
        <v>1625</v>
      </c>
      <c r="BK72" t="s">
        <v>102</v>
      </c>
      <c r="BL72" t="s">
        <v>1626</v>
      </c>
      <c r="BM72" t="s">
        <v>1627</v>
      </c>
      <c r="BN72" t="s">
        <v>74</v>
      </c>
      <c r="BO72" t="s">
        <v>74</v>
      </c>
      <c r="BP72" t="s">
        <v>74</v>
      </c>
      <c r="BQ72" t="s">
        <v>74</v>
      </c>
      <c r="BR72" t="s">
        <v>107</v>
      </c>
      <c r="BS72" t="s">
        <v>1628</v>
      </c>
      <c r="BT72" t="str">
        <f>HYPERLINK("https%3A%2F%2Fwww.webofscience.com%2Fwos%2Fwoscc%2Ffull-record%2FWOS:000468714300033","View Full Record in Web of Science")</f>
        <v>View Full Record in Web of Science</v>
      </c>
    </row>
    <row r="73" spans="1:72" x14ac:dyDescent="0.15">
      <c r="A73" t="s">
        <v>72</v>
      </c>
      <c r="B73" t="s">
        <v>1629</v>
      </c>
      <c r="C73" t="s">
        <v>74</v>
      </c>
      <c r="D73" t="s">
        <v>74</v>
      </c>
      <c r="E73" t="s">
        <v>74</v>
      </c>
      <c r="F73" t="s">
        <v>1630</v>
      </c>
      <c r="G73" t="s">
        <v>74</v>
      </c>
      <c r="H73" t="s">
        <v>74</v>
      </c>
      <c r="I73" t="s">
        <v>1631</v>
      </c>
      <c r="J73" t="s">
        <v>1632</v>
      </c>
      <c r="K73" t="s">
        <v>74</v>
      </c>
      <c r="L73" t="s">
        <v>74</v>
      </c>
      <c r="M73" t="s">
        <v>78</v>
      </c>
      <c r="N73" t="s">
        <v>79</v>
      </c>
      <c r="O73" t="s">
        <v>74</v>
      </c>
      <c r="P73" t="s">
        <v>74</v>
      </c>
      <c r="Q73" t="s">
        <v>74</v>
      </c>
      <c r="R73" t="s">
        <v>74</v>
      </c>
      <c r="S73" t="s">
        <v>74</v>
      </c>
      <c r="T73" t="s">
        <v>1633</v>
      </c>
      <c r="U73" t="s">
        <v>1634</v>
      </c>
      <c r="V73" t="s">
        <v>1635</v>
      </c>
      <c r="W73" t="s">
        <v>1636</v>
      </c>
      <c r="X73" t="s">
        <v>1637</v>
      </c>
      <c r="Y73" t="s">
        <v>1638</v>
      </c>
      <c r="Z73" t="s">
        <v>1639</v>
      </c>
      <c r="AA73" t="s">
        <v>1640</v>
      </c>
      <c r="AB73" t="s">
        <v>1641</v>
      </c>
      <c r="AC73" t="s">
        <v>1642</v>
      </c>
      <c r="AD73" t="s">
        <v>1643</v>
      </c>
      <c r="AE73" t="s">
        <v>1644</v>
      </c>
      <c r="AF73" t="s">
        <v>74</v>
      </c>
      <c r="AG73">
        <v>78</v>
      </c>
      <c r="AH73">
        <v>13</v>
      </c>
      <c r="AI73">
        <v>14</v>
      </c>
      <c r="AJ73">
        <v>0</v>
      </c>
      <c r="AK73">
        <v>21</v>
      </c>
      <c r="AL73" t="s">
        <v>378</v>
      </c>
      <c r="AM73" t="s">
        <v>93</v>
      </c>
      <c r="AN73" t="s">
        <v>379</v>
      </c>
      <c r="AO73" t="s">
        <v>1645</v>
      </c>
      <c r="AP73" t="s">
        <v>74</v>
      </c>
      <c r="AQ73" t="s">
        <v>74</v>
      </c>
      <c r="AR73" t="s">
        <v>1646</v>
      </c>
      <c r="AS73" t="s">
        <v>1647</v>
      </c>
      <c r="AT73" t="s">
        <v>1623</v>
      </c>
      <c r="AU73">
        <v>2019</v>
      </c>
      <c r="AV73">
        <v>210</v>
      </c>
      <c r="AW73" t="s">
        <v>74</v>
      </c>
      <c r="AX73" t="s">
        <v>74</v>
      </c>
      <c r="AY73" t="s">
        <v>74</v>
      </c>
      <c r="AZ73" t="s">
        <v>74</v>
      </c>
      <c r="BA73" t="s">
        <v>74</v>
      </c>
      <c r="BB73">
        <v>164</v>
      </c>
      <c r="BC73">
        <v>174</v>
      </c>
      <c r="BD73" t="s">
        <v>74</v>
      </c>
      <c r="BE73" t="s">
        <v>1648</v>
      </c>
      <c r="BF73" t="str">
        <f>HYPERLINK("http://dx.doi.org/10.1016/j.quascirev.2019.03.005","http://dx.doi.org/10.1016/j.quascirev.2019.03.005")</f>
        <v>http://dx.doi.org/10.1016/j.quascirev.2019.03.005</v>
      </c>
      <c r="BG73" t="s">
        <v>74</v>
      </c>
      <c r="BH73" t="s">
        <v>74</v>
      </c>
      <c r="BI73">
        <v>11</v>
      </c>
      <c r="BJ73" t="s">
        <v>1142</v>
      </c>
      <c r="BK73" t="s">
        <v>102</v>
      </c>
      <c r="BL73" t="s">
        <v>1143</v>
      </c>
      <c r="BM73" t="s">
        <v>1649</v>
      </c>
      <c r="BN73" t="s">
        <v>74</v>
      </c>
      <c r="BO73" t="s">
        <v>403</v>
      </c>
      <c r="BP73" t="s">
        <v>74</v>
      </c>
      <c r="BQ73" t="s">
        <v>74</v>
      </c>
      <c r="BR73" t="s">
        <v>107</v>
      </c>
      <c r="BS73" t="s">
        <v>1650</v>
      </c>
      <c r="BT73" t="str">
        <f>HYPERLINK("https%3A%2F%2Fwww.webofscience.com%2Fwos%2Fwoscc%2Ffull-record%2FWOS:000465057500013","View Full Record in Web of Science")</f>
        <v>View Full Record in Web of Science</v>
      </c>
    </row>
    <row r="74" spans="1:72" x14ac:dyDescent="0.15">
      <c r="A74" t="s">
        <v>72</v>
      </c>
      <c r="B74" t="s">
        <v>1651</v>
      </c>
      <c r="C74" t="s">
        <v>74</v>
      </c>
      <c r="D74" t="s">
        <v>74</v>
      </c>
      <c r="E74" t="s">
        <v>74</v>
      </c>
      <c r="F74" t="s">
        <v>1652</v>
      </c>
      <c r="G74" t="s">
        <v>74</v>
      </c>
      <c r="H74" t="s">
        <v>74</v>
      </c>
      <c r="I74" t="s">
        <v>1653</v>
      </c>
      <c r="J74" t="s">
        <v>1654</v>
      </c>
      <c r="K74" t="s">
        <v>74</v>
      </c>
      <c r="L74" t="s">
        <v>74</v>
      </c>
      <c r="M74" t="s">
        <v>78</v>
      </c>
      <c r="N74" t="s">
        <v>79</v>
      </c>
      <c r="O74" t="s">
        <v>74</v>
      </c>
      <c r="P74" t="s">
        <v>74</v>
      </c>
      <c r="Q74" t="s">
        <v>74</v>
      </c>
      <c r="R74" t="s">
        <v>74</v>
      </c>
      <c r="S74" t="s">
        <v>74</v>
      </c>
      <c r="T74" t="s">
        <v>1655</v>
      </c>
      <c r="U74" t="s">
        <v>1656</v>
      </c>
      <c r="V74" t="s">
        <v>1657</v>
      </c>
      <c r="W74" t="s">
        <v>1658</v>
      </c>
      <c r="X74" t="s">
        <v>1659</v>
      </c>
      <c r="Y74" t="s">
        <v>1660</v>
      </c>
      <c r="Z74" t="s">
        <v>1661</v>
      </c>
      <c r="AA74" t="s">
        <v>1662</v>
      </c>
      <c r="AB74" t="s">
        <v>1663</v>
      </c>
      <c r="AC74" t="s">
        <v>1664</v>
      </c>
      <c r="AD74" t="s">
        <v>1665</v>
      </c>
      <c r="AE74" t="s">
        <v>1666</v>
      </c>
      <c r="AF74" t="s">
        <v>74</v>
      </c>
      <c r="AG74">
        <v>44</v>
      </c>
      <c r="AH74">
        <v>5</v>
      </c>
      <c r="AI74">
        <v>5</v>
      </c>
      <c r="AJ74">
        <v>0</v>
      </c>
      <c r="AK74">
        <v>7</v>
      </c>
      <c r="AL74" t="s">
        <v>1667</v>
      </c>
      <c r="AM74" t="s">
        <v>1668</v>
      </c>
      <c r="AN74" t="s">
        <v>1669</v>
      </c>
      <c r="AO74" t="s">
        <v>1670</v>
      </c>
      <c r="AP74" t="s">
        <v>1671</v>
      </c>
      <c r="AQ74" t="s">
        <v>74</v>
      </c>
      <c r="AR74" t="s">
        <v>1654</v>
      </c>
      <c r="AS74" t="s">
        <v>1672</v>
      </c>
      <c r="AT74" t="s">
        <v>1623</v>
      </c>
      <c r="AU74">
        <v>2019</v>
      </c>
      <c r="AV74">
        <v>4585</v>
      </c>
      <c r="AW74">
        <v>3</v>
      </c>
      <c r="AX74" t="s">
        <v>74</v>
      </c>
      <c r="AY74" t="s">
        <v>74</v>
      </c>
      <c r="AZ74" t="s">
        <v>74</v>
      </c>
      <c r="BA74" t="s">
        <v>74</v>
      </c>
      <c r="BB74">
        <v>517</v>
      </c>
      <c r="BC74">
        <v>530</v>
      </c>
      <c r="BD74" t="s">
        <v>74</v>
      </c>
      <c r="BE74" t="s">
        <v>1673</v>
      </c>
      <c r="BF74" t="str">
        <f>HYPERLINK("http://dx.doi.org/10.11646/zootaxa.4585.3.7","http://dx.doi.org/10.11646/zootaxa.4585.3.7")</f>
        <v>http://dx.doi.org/10.11646/zootaxa.4585.3.7</v>
      </c>
      <c r="BG74" t="s">
        <v>74</v>
      </c>
      <c r="BH74" t="s">
        <v>74</v>
      </c>
      <c r="BI74">
        <v>14</v>
      </c>
      <c r="BJ74" t="s">
        <v>1674</v>
      </c>
      <c r="BK74" t="s">
        <v>102</v>
      </c>
      <c r="BL74" t="s">
        <v>1674</v>
      </c>
      <c r="BM74" t="s">
        <v>1675</v>
      </c>
      <c r="BN74">
        <v>31716159</v>
      </c>
      <c r="BO74" t="s">
        <v>74</v>
      </c>
      <c r="BP74" t="s">
        <v>74</v>
      </c>
      <c r="BQ74" t="s">
        <v>74</v>
      </c>
      <c r="BR74" t="s">
        <v>107</v>
      </c>
      <c r="BS74" t="s">
        <v>1676</v>
      </c>
      <c r="BT74" t="str">
        <f>HYPERLINK("https%3A%2F%2Fwww.webofscience.com%2Fwos%2Fwoscc%2Ffull-record%2FWOS:000464510900007","View Full Record in Web of Science")</f>
        <v>View Full Record in Web of Science</v>
      </c>
    </row>
    <row r="75" spans="1:72" x14ac:dyDescent="0.15">
      <c r="A75" t="s">
        <v>72</v>
      </c>
      <c r="B75" t="s">
        <v>1677</v>
      </c>
      <c r="C75" t="s">
        <v>74</v>
      </c>
      <c r="D75" t="s">
        <v>74</v>
      </c>
      <c r="E75" t="s">
        <v>74</v>
      </c>
      <c r="F75" t="s">
        <v>1678</v>
      </c>
      <c r="G75" t="s">
        <v>74</v>
      </c>
      <c r="H75" t="s">
        <v>74</v>
      </c>
      <c r="I75" t="s">
        <v>1679</v>
      </c>
      <c r="J75" t="s">
        <v>1680</v>
      </c>
      <c r="K75" t="s">
        <v>74</v>
      </c>
      <c r="L75" t="s">
        <v>74</v>
      </c>
      <c r="M75" t="s">
        <v>78</v>
      </c>
      <c r="N75" t="s">
        <v>79</v>
      </c>
      <c r="O75" t="s">
        <v>74</v>
      </c>
      <c r="P75" t="s">
        <v>74</v>
      </c>
      <c r="Q75" t="s">
        <v>74</v>
      </c>
      <c r="R75" t="s">
        <v>74</v>
      </c>
      <c r="S75" t="s">
        <v>74</v>
      </c>
      <c r="T75" t="s">
        <v>74</v>
      </c>
      <c r="U75" t="s">
        <v>1681</v>
      </c>
      <c r="V75" t="s">
        <v>1682</v>
      </c>
      <c r="W75" t="s">
        <v>1683</v>
      </c>
      <c r="X75" t="s">
        <v>1684</v>
      </c>
      <c r="Y75" t="s">
        <v>1685</v>
      </c>
      <c r="Z75" t="s">
        <v>1686</v>
      </c>
      <c r="AA75" t="s">
        <v>1687</v>
      </c>
      <c r="AB75" t="s">
        <v>1688</v>
      </c>
      <c r="AC75" t="s">
        <v>1689</v>
      </c>
      <c r="AD75" t="s">
        <v>1690</v>
      </c>
      <c r="AE75" t="s">
        <v>1691</v>
      </c>
      <c r="AF75" t="s">
        <v>74</v>
      </c>
      <c r="AG75">
        <v>77</v>
      </c>
      <c r="AH75">
        <v>24</v>
      </c>
      <c r="AI75">
        <v>26</v>
      </c>
      <c r="AJ75">
        <v>3</v>
      </c>
      <c r="AK75">
        <v>14</v>
      </c>
      <c r="AL75" t="s">
        <v>868</v>
      </c>
      <c r="AM75" t="s">
        <v>869</v>
      </c>
      <c r="AN75" t="s">
        <v>870</v>
      </c>
      <c r="AO75" t="s">
        <v>1692</v>
      </c>
      <c r="AP75" t="s">
        <v>74</v>
      </c>
      <c r="AQ75" t="s">
        <v>74</v>
      </c>
      <c r="AR75" t="s">
        <v>1693</v>
      </c>
      <c r="AS75" t="s">
        <v>1694</v>
      </c>
      <c r="AT75" t="s">
        <v>1623</v>
      </c>
      <c r="AU75">
        <v>2019</v>
      </c>
      <c r="AV75">
        <v>15</v>
      </c>
      <c r="AW75">
        <v>2</v>
      </c>
      <c r="AX75" t="s">
        <v>74</v>
      </c>
      <c r="AY75" t="s">
        <v>74</v>
      </c>
      <c r="AZ75" t="s">
        <v>74</v>
      </c>
      <c r="BA75" t="s">
        <v>74</v>
      </c>
      <c r="BB75">
        <v>413</v>
      </c>
      <c r="BC75">
        <v>430</v>
      </c>
      <c r="BD75" t="s">
        <v>74</v>
      </c>
      <c r="BE75" t="s">
        <v>1695</v>
      </c>
      <c r="BF75" t="str">
        <f>HYPERLINK("http://dx.doi.org/10.5194/os-15-413-2019","http://dx.doi.org/10.5194/os-15-413-2019")</f>
        <v>http://dx.doi.org/10.5194/os-15-413-2019</v>
      </c>
      <c r="BG75" t="s">
        <v>74</v>
      </c>
      <c r="BH75" t="s">
        <v>74</v>
      </c>
      <c r="BI75">
        <v>18</v>
      </c>
      <c r="BJ75" t="s">
        <v>1696</v>
      </c>
      <c r="BK75" t="s">
        <v>102</v>
      </c>
      <c r="BL75" t="s">
        <v>1696</v>
      </c>
      <c r="BM75" t="s">
        <v>1697</v>
      </c>
      <c r="BN75" t="s">
        <v>74</v>
      </c>
      <c r="BO75" t="s">
        <v>1415</v>
      </c>
      <c r="BP75" t="s">
        <v>74</v>
      </c>
      <c r="BQ75" t="s">
        <v>74</v>
      </c>
      <c r="BR75" t="s">
        <v>107</v>
      </c>
      <c r="BS75" t="s">
        <v>1698</v>
      </c>
      <c r="BT75" t="str">
        <f>HYPERLINK("https%3A%2F%2Fwww.webofscience.com%2Fwos%2Fwoscc%2Ffull-record%2FWOS:000464568400001","View Full Record in Web of Science")</f>
        <v>View Full Record in Web of Science</v>
      </c>
    </row>
    <row r="76" spans="1:72" x14ac:dyDescent="0.15">
      <c r="A76" t="s">
        <v>72</v>
      </c>
      <c r="B76" t="s">
        <v>1699</v>
      </c>
      <c r="C76" t="s">
        <v>74</v>
      </c>
      <c r="D76" t="s">
        <v>74</v>
      </c>
      <c r="E76" t="s">
        <v>74</v>
      </c>
      <c r="F76" t="s">
        <v>1700</v>
      </c>
      <c r="G76" t="s">
        <v>74</v>
      </c>
      <c r="H76" t="s">
        <v>74</v>
      </c>
      <c r="I76" t="s">
        <v>1701</v>
      </c>
      <c r="J76" t="s">
        <v>1042</v>
      </c>
      <c r="K76" t="s">
        <v>74</v>
      </c>
      <c r="L76" t="s">
        <v>74</v>
      </c>
      <c r="M76" t="s">
        <v>78</v>
      </c>
      <c r="N76" t="s">
        <v>79</v>
      </c>
      <c r="O76" t="s">
        <v>74</v>
      </c>
      <c r="P76" t="s">
        <v>74</v>
      </c>
      <c r="Q76" t="s">
        <v>74</v>
      </c>
      <c r="R76" t="s">
        <v>74</v>
      </c>
      <c r="S76" t="s">
        <v>74</v>
      </c>
      <c r="T76" t="s">
        <v>74</v>
      </c>
      <c r="U76" t="s">
        <v>1702</v>
      </c>
      <c r="V76" t="s">
        <v>1703</v>
      </c>
      <c r="W76" t="s">
        <v>1704</v>
      </c>
      <c r="X76" t="s">
        <v>1705</v>
      </c>
      <c r="Y76" t="s">
        <v>1706</v>
      </c>
      <c r="Z76" t="s">
        <v>1707</v>
      </c>
      <c r="AA76" t="s">
        <v>1708</v>
      </c>
      <c r="AB76" t="s">
        <v>1709</v>
      </c>
      <c r="AC76" t="s">
        <v>1710</v>
      </c>
      <c r="AD76" t="s">
        <v>1711</v>
      </c>
      <c r="AE76" t="s">
        <v>1712</v>
      </c>
      <c r="AF76" t="s">
        <v>74</v>
      </c>
      <c r="AG76">
        <v>80</v>
      </c>
      <c r="AH76">
        <v>3</v>
      </c>
      <c r="AI76">
        <v>3</v>
      </c>
      <c r="AJ76">
        <v>2</v>
      </c>
      <c r="AK76">
        <v>13</v>
      </c>
      <c r="AL76" t="s">
        <v>868</v>
      </c>
      <c r="AM76" t="s">
        <v>869</v>
      </c>
      <c r="AN76" t="s">
        <v>870</v>
      </c>
      <c r="AO76" t="s">
        <v>1054</v>
      </c>
      <c r="AP76" t="s">
        <v>1055</v>
      </c>
      <c r="AQ76" t="s">
        <v>74</v>
      </c>
      <c r="AR76" t="s">
        <v>1056</v>
      </c>
      <c r="AS76" t="s">
        <v>1057</v>
      </c>
      <c r="AT76" t="s">
        <v>1623</v>
      </c>
      <c r="AU76">
        <v>2019</v>
      </c>
      <c r="AV76">
        <v>19</v>
      </c>
      <c r="AW76">
        <v>7</v>
      </c>
      <c r="AX76" t="s">
        <v>74</v>
      </c>
      <c r="AY76" t="s">
        <v>74</v>
      </c>
      <c r="AZ76" t="s">
        <v>74</v>
      </c>
      <c r="BA76" t="s">
        <v>74</v>
      </c>
      <c r="BB76">
        <v>5069</v>
      </c>
      <c r="BC76">
        <v>5090</v>
      </c>
      <c r="BD76" t="s">
        <v>74</v>
      </c>
      <c r="BE76" t="s">
        <v>1713</v>
      </c>
      <c r="BF76" t="str">
        <f>HYPERLINK("http://dx.doi.org/10.5194/acp-19-5069-2019","http://dx.doi.org/10.5194/acp-19-5069-2019")</f>
        <v>http://dx.doi.org/10.5194/acp-19-5069-2019</v>
      </c>
      <c r="BG76" t="s">
        <v>74</v>
      </c>
      <c r="BH76" t="s">
        <v>74</v>
      </c>
      <c r="BI76">
        <v>22</v>
      </c>
      <c r="BJ76" t="s">
        <v>1060</v>
      </c>
      <c r="BK76" t="s">
        <v>102</v>
      </c>
      <c r="BL76" t="s">
        <v>338</v>
      </c>
      <c r="BM76" t="s">
        <v>1714</v>
      </c>
      <c r="BN76" t="s">
        <v>74</v>
      </c>
      <c r="BO76" t="s">
        <v>1715</v>
      </c>
      <c r="BP76" t="s">
        <v>74</v>
      </c>
      <c r="BQ76" t="s">
        <v>74</v>
      </c>
      <c r="BR76" t="s">
        <v>107</v>
      </c>
      <c r="BS76" t="s">
        <v>1716</v>
      </c>
      <c r="BT76" t="str">
        <f>HYPERLINK("https%3A%2F%2Fwww.webofscience.com%2Fwos%2Fwoscc%2Ffull-record%2FWOS:000464556300001","View Full Record in Web of Science")</f>
        <v>View Full Record in Web of Science</v>
      </c>
    </row>
    <row r="77" spans="1:72" x14ac:dyDescent="0.15">
      <c r="A77" t="s">
        <v>72</v>
      </c>
      <c r="B77" t="s">
        <v>1717</v>
      </c>
      <c r="C77" t="s">
        <v>74</v>
      </c>
      <c r="D77" t="s">
        <v>74</v>
      </c>
      <c r="E77" t="s">
        <v>74</v>
      </c>
      <c r="F77" t="s">
        <v>1718</v>
      </c>
      <c r="G77" t="s">
        <v>74</v>
      </c>
      <c r="H77" t="s">
        <v>74</v>
      </c>
      <c r="I77" t="s">
        <v>1719</v>
      </c>
      <c r="J77" t="s">
        <v>1720</v>
      </c>
      <c r="K77" t="s">
        <v>74</v>
      </c>
      <c r="L77" t="s">
        <v>74</v>
      </c>
      <c r="M77" t="s">
        <v>78</v>
      </c>
      <c r="N77" t="s">
        <v>79</v>
      </c>
      <c r="O77" t="s">
        <v>74</v>
      </c>
      <c r="P77" t="s">
        <v>74</v>
      </c>
      <c r="Q77" t="s">
        <v>74</v>
      </c>
      <c r="R77" t="s">
        <v>74</v>
      </c>
      <c r="S77" t="s">
        <v>74</v>
      </c>
      <c r="T77" t="s">
        <v>74</v>
      </c>
      <c r="U77" t="s">
        <v>1721</v>
      </c>
      <c r="V77" t="s">
        <v>1722</v>
      </c>
      <c r="W77" t="s">
        <v>1723</v>
      </c>
      <c r="X77" t="s">
        <v>1724</v>
      </c>
      <c r="Y77" t="s">
        <v>1725</v>
      </c>
      <c r="Z77" t="s">
        <v>1726</v>
      </c>
      <c r="AA77" t="s">
        <v>74</v>
      </c>
      <c r="AB77" t="s">
        <v>1727</v>
      </c>
      <c r="AC77" t="s">
        <v>1728</v>
      </c>
      <c r="AD77" t="s">
        <v>1729</v>
      </c>
      <c r="AE77" t="s">
        <v>1730</v>
      </c>
      <c r="AF77" t="s">
        <v>74</v>
      </c>
      <c r="AG77">
        <v>67</v>
      </c>
      <c r="AH77">
        <v>12</v>
      </c>
      <c r="AI77">
        <v>12</v>
      </c>
      <c r="AJ77">
        <v>2</v>
      </c>
      <c r="AK77">
        <v>10</v>
      </c>
      <c r="AL77" t="s">
        <v>1393</v>
      </c>
      <c r="AM77" t="s">
        <v>1371</v>
      </c>
      <c r="AN77" t="s">
        <v>1372</v>
      </c>
      <c r="AO77" t="s">
        <v>1731</v>
      </c>
      <c r="AP77" t="s">
        <v>74</v>
      </c>
      <c r="AQ77" t="s">
        <v>74</v>
      </c>
      <c r="AR77" t="s">
        <v>1732</v>
      </c>
      <c r="AS77" t="s">
        <v>1733</v>
      </c>
      <c r="AT77" t="s">
        <v>1623</v>
      </c>
      <c r="AU77">
        <v>2019</v>
      </c>
      <c r="AV77">
        <v>9</v>
      </c>
      <c r="AW77" t="s">
        <v>74</v>
      </c>
      <c r="AX77" t="s">
        <v>74</v>
      </c>
      <c r="AY77" t="s">
        <v>74</v>
      </c>
      <c r="AZ77" t="s">
        <v>74</v>
      </c>
      <c r="BA77" t="s">
        <v>74</v>
      </c>
      <c r="BB77" t="s">
        <v>74</v>
      </c>
      <c r="BC77" t="s">
        <v>74</v>
      </c>
      <c r="BD77">
        <v>6069</v>
      </c>
      <c r="BE77" t="s">
        <v>1734</v>
      </c>
      <c r="BF77" t="str">
        <f>HYPERLINK("http://dx.doi.org/10.1038/s41598-019-42329-0","http://dx.doi.org/10.1038/s41598-019-42329-0")</f>
        <v>http://dx.doi.org/10.1038/s41598-019-42329-0</v>
      </c>
      <c r="BG77" t="s">
        <v>74</v>
      </c>
      <c r="BH77" t="s">
        <v>74</v>
      </c>
      <c r="BI77">
        <v>13</v>
      </c>
      <c r="BJ77" t="s">
        <v>460</v>
      </c>
      <c r="BK77" t="s">
        <v>102</v>
      </c>
      <c r="BL77" t="s">
        <v>461</v>
      </c>
      <c r="BM77" t="s">
        <v>1735</v>
      </c>
      <c r="BN77">
        <v>30988340</v>
      </c>
      <c r="BO77" t="s">
        <v>851</v>
      </c>
      <c r="BP77" t="s">
        <v>74</v>
      </c>
      <c r="BQ77" t="s">
        <v>74</v>
      </c>
      <c r="BR77" t="s">
        <v>107</v>
      </c>
      <c r="BS77" t="s">
        <v>1736</v>
      </c>
      <c r="BT77" t="str">
        <f>HYPERLINK("https%3A%2F%2Fwww.webofscience.com%2Fwos%2Fwoscc%2Ffull-record%2FWOS:000464495700017","View Full Record in Web of Science")</f>
        <v>View Full Record in Web of Science</v>
      </c>
    </row>
    <row r="78" spans="1:72" x14ac:dyDescent="0.15">
      <c r="A78" t="s">
        <v>72</v>
      </c>
      <c r="B78" t="s">
        <v>1737</v>
      </c>
      <c r="C78" t="s">
        <v>74</v>
      </c>
      <c r="D78" t="s">
        <v>74</v>
      </c>
      <c r="E78" t="s">
        <v>74</v>
      </c>
      <c r="F78" t="s">
        <v>1738</v>
      </c>
      <c r="G78" t="s">
        <v>74</v>
      </c>
      <c r="H78" t="s">
        <v>74</v>
      </c>
      <c r="I78" t="s">
        <v>1739</v>
      </c>
      <c r="J78" t="s">
        <v>1740</v>
      </c>
      <c r="K78" t="s">
        <v>74</v>
      </c>
      <c r="L78" t="s">
        <v>74</v>
      </c>
      <c r="M78" t="s">
        <v>78</v>
      </c>
      <c r="N78" t="s">
        <v>79</v>
      </c>
      <c r="O78" t="s">
        <v>74</v>
      </c>
      <c r="P78" t="s">
        <v>74</v>
      </c>
      <c r="Q78" t="s">
        <v>74</v>
      </c>
      <c r="R78" t="s">
        <v>74</v>
      </c>
      <c r="S78" t="s">
        <v>74</v>
      </c>
      <c r="T78" t="s">
        <v>1741</v>
      </c>
      <c r="U78" t="s">
        <v>1742</v>
      </c>
      <c r="V78" t="s">
        <v>1743</v>
      </c>
      <c r="W78" t="s">
        <v>1744</v>
      </c>
      <c r="X78" t="s">
        <v>1745</v>
      </c>
      <c r="Y78" t="s">
        <v>1746</v>
      </c>
      <c r="Z78" t="s">
        <v>1747</v>
      </c>
      <c r="AA78" t="s">
        <v>74</v>
      </c>
      <c r="AB78" t="s">
        <v>1748</v>
      </c>
      <c r="AC78" t="s">
        <v>1749</v>
      </c>
      <c r="AD78" t="s">
        <v>1225</v>
      </c>
      <c r="AE78" t="s">
        <v>1750</v>
      </c>
      <c r="AF78" t="s">
        <v>74</v>
      </c>
      <c r="AG78">
        <v>69</v>
      </c>
      <c r="AH78">
        <v>14</v>
      </c>
      <c r="AI78">
        <v>14</v>
      </c>
      <c r="AJ78">
        <v>0</v>
      </c>
      <c r="AK78">
        <v>8</v>
      </c>
      <c r="AL78" t="s">
        <v>634</v>
      </c>
      <c r="AM78" t="s">
        <v>635</v>
      </c>
      <c r="AN78" t="s">
        <v>636</v>
      </c>
      <c r="AO78" t="s">
        <v>1751</v>
      </c>
      <c r="AP78" t="s">
        <v>1752</v>
      </c>
      <c r="AQ78" t="s">
        <v>74</v>
      </c>
      <c r="AR78" t="s">
        <v>1753</v>
      </c>
      <c r="AS78" t="s">
        <v>1754</v>
      </c>
      <c r="AT78" t="s">
        <v>1623</v>
      </c>
      <c r="AU78">
        <v>2019</v>
      </c>
      <c r="AV78">
        <v>520</v>
      </c>
      <c r="AW78" t="s">
        <v>74</v>
      </c>
      <c r="AX78" t="s">
        <v>74</v>
      </c>
      <c r="AY78" t="s">
        <v>74</v>
      </c>
      <c r="AZ78" t="s">
        <v>74</v>
      </c>
      <c r="BA78" t="s">
        <v>74</v>
      </c>
      <c r="BB78">
        <v>44</v>
      </c>
      <c r="BC78">
        <v>54</v>
      </c>
      <c r="BD78" t="s">
        <v>74</v>
      </c>
      <c r="BE78" t="s">
        <v>1755</v>
      </c>
      <c r="BF78" t="str">
        <f>HYPERLINK("http://dx.doi.org/10.1016/j.palaeo.2019.01.025","http://dx.doi.org/10.1016/j.palaeo.2019.01.025")</f>
        <v>http://dx.doi.org/10.1016/j.palaeo.2019.01.025</v>
      </c>
      <c r="BG78" t="s">
        <v>74</v>
      </c>
      <c r="BH78" t="s">
        <v>74</v>
      </c>
      <c r="BI78">
        <v>11</v>
      </c>
      <c r="BJ78" t="s">
        <v>1756</v>
      </c>
      <c r="BK78" t="s">
        <v>102</v>
      </c>
      <c r="BL78" t="s">
        <v>1757</v>
      </c>
      <c r="BM78" t="s">
        <v>1758</v>
      </c>
      <c r="BN78" t="s">
        <v>74</v>
      </c>
      <c r="BO78" t="s">
        <v>74</v>
      </c>
      <c r="BP78" t="s">
        <v>74</v>
      </c>
      <c r="BQ78" t="s">
        <v>74</v>
      </c>
      <c r="BR78" t="s">
        <v>107</v>
      </c>
      <c r="BS78" t="s">
        <v>1759</v>
      </c>
      <c r="BT78" t="str">
        <f>HYPERLINK("https%3A%2F%2Fwww.webofscience.com%2Fwos%2Fwoscc%2Ffull-record%2FWOS:000463125100004","View Full Record in Web of Science")</f>
        <v>View Full Record in Web of Science</v>
      </c>
    </row>
    <row r="79" spans="1:72" x14ac:dyDescent="0.15">
      <c r="A79" t="s">
        <v>72</v>
      </c>
      <c r="B79" t="s">
        <v>1760</v>
      </c>
      <c r="C79" t="s">
        <v>74</v>
      </c>
      <c r="D79" t="s">
        <v>74</v>
      </c>
      <c r="E79" t="s">
        <v>74</v>
      </c>
      <c r="F79" t="s">
        <v>1761</v>
      </c>
      <c r="G79" t="s">
        <v>74</v>
      </c>
      <c r="H79" t="s">
        <v>74</v>
      </c>
      <c r="I79" t="s">
        <v>1762</v>
      </c>
      <c r="J79" t="s">
        <v>1763</v>
      </c>
      <c r="K79" t="s">
        <v>74</v>
      </c>
      <c r="L79" t="s">
        <v>74</v>
      </c>
      <c r="M79" t="s">
        <v>78</v>
      </c>
      <c r="N79" t="s">
        <v>79</v>
      </c>
      <c r="O79" t="s">
        <v>74</v>
      </c>
      <c r="P79" t="s">
        <v>74</v>
      </c>
      <c r="Q79" t="s">
        <v>74</v>
      </c>
      <c r="R79" t="s">
        <v>74</v>
      </c>
      <c r="S79" t="s">
        <v>74</v>
      </c>
      <c r="T79" t="s">
        <v>1764</v>
      </c>
      <c r="U79" t="s">
        <v>1765</v>
      </c>
      <c r="V79" t="s">
        <v>1766</v>
      </c>
      <c r="W79" t="s">
        <v>1767</v>
      </c>
      <c r="X79" t="s">
        <v>1768</v>
      </c>
      <c r="Y79" t="s">
        <v>1769</v>
      </c>
      <c r="Z79" t="s">
        <v>1770</v>
      </c>
      <c r="AA79" t="s">
        <v>1771</v>
      </c>
      <c r="AB79" t="s">
        <v>1772</v>
      </c>
      <c r="AC79" t="s">
        <v>1773</v>
      </c>
      <c r="AD79" t="s">
        <v>1774</v>
      </c>
      <c r="AE79" t="s">
        <v>1775</v>
      </c>
      <c r="AF79" t="s">
        <v>74</v>
      </c>
      <c r="AG79">
        <v>37</v>
      </c>
      <c r="AH79">
        <v>2</v>
      </c>
      <c r="AI79">
        <v>2</v>
      </c>
      <c r="AJ79">
        <v>0</v>
      </c>
      <c r="AK79">
        <v>16</v>
      </c>
      <c r="AL79" t="s">
        <v>306</v>
      </c>
      <c r="AM79" t="s">
        <v>93</v>
      </c>
      <c r="AN79" t="s">
        <v>307</v>
      </c>
      <c r="AO79" t="s">
        <v>1776</v>
      </c>
      <c r="AP79" t="s">
        <v>1777</v>
      </c>
      <c r="AQ79" t="s">
        <v>74</v>
      </c>
      <c r="AR79" t="s">
        <v>1778</v>
      </c>
      <c r="AS79" t="s">
        <v>1779</v>
      </c>
      <c r="AT79" t="s">
        <v>1623</v>
      </c>
      <c r="AU79">
        <v>2019</v>
      </c>
      <c r="AV79">
        <v>63</v>
      </c>
      <c r="AW79">
        <v>8</v>
      </c>
      <c r="AX79" t="s">
        <v>74</v>
      </c>
      <c r="AY79" t="s">
        <v>74</v>
      </c>
      <c r="AZ79" t="s">
        <v>74</v>
      </c>
      <c r="BA79" t="s">
        <v>74</v>
      </c>
      <c r="BB79">
        <v>2323</v>
      </c>
      <c r="BC79">
        <v>2336</v>
      </c>
      <c r="BD79" t="s">
        <v>74</v>
      </c>
      <c r="BE79" t="s">
        <v>1780</v>
      </c>
      <c r="BF79" t="str">
        <f>HYPERLINK("http://dx.doi.org/10.1016/j.asr.2019.01.041","http://dx.doi.org/10.1016/j.asr.2019.01.041")</f>
        <v>http://dx.doi.org/10.1016/j.asr.2019.01.041</v>
      </c>
      <c r="BG79" t="s">
        <v>74</v>
      </c>
      <c r="BH79" t="s">
        <v>74</v>
      </c>
      <c r="BI79">
        <v>14</v>
      </c>
      <c r="BJ79" t="s">
        <v>1781</v>
      </c>
      <c r="BK79" t="s">
        <v>102</v>
      </c>
      <c r="BL79" t="s">
        <v>1782</v>
      </c>
      <c r="BM79" t="s">
        <v>1783</v>
      </c>
      <c r="BN79" t="s">
        <v>74</v>
      </c>
      <c r="BO79" t="s">
        <v>942</v>
      </c>
      <c r="BP79" t="s">
        <v>74</v>
      </c>
      <c r="BQ79" t="s">
        <v>74</v>
      </c>
      <c r="BR79" t="s">
        <v>107</v>
      </c>
      <c r="BS79" t="s">
        <v>1784</v>
      </c>
      <c r="BT79" t="str">
        <f>HYPERLINK("https%3A%2F%2Fwww.webofscience.com%2Fwos%2Fwoscc%2Ffull-record%2FWOS:000462690600001","View Full Record in Web of Science")</f>
        <v>View Full Record in Web of Science</v>
      </c>
    </row>
    <row r="80" spans="1:72" x14ac:dyDescent="0.15">
      <c r="A80" t="s">
        <v>72</v>
      </c>
      <c r="B80" t="s">
        <v>1785</v>
      </c>
      <c r="C80" t="s">
        <v>74</v>
      </c>
      <c r="D80" t="s">
        <v>74</v>
      </c>
      <c r="E80" t="s">
        <v>74</v>
      </c>
      <c r="F80" t="s">
        <v>1786</v>
      </c>
      <c r="G80" t="s">
        <v>74</v>
      </c>
      <c r="H80" t="s">
        <v>74</v>
      </c>
      <c r="I80" t="s">
        <v>1787</v>
      </c>
      <c r="J80" t="s">
        <v>1788</v>
      </c>
      <c r="K80" t="s">
        <v>74</v>
      </c>
      <c r="L80" t="s">
        <v>74</v>
      </c>
      <c r="M80" t="s">
        <v>78</v>
      </c>
      <c r="N80" t="s">
        <v>79</v>
      </c>
      <c r="O80" t="s">
        <v>74</v>
      </c>
      <c r="P80" t="s">
        <v>74</v>
      </c>
      <c r="Q80" t="s">
        <v>74</v>
      </c>
      <c r="R80" t="s">
        <v>74</v>
      </c>
      <c r="S80" t="s">
        <v>74</v>
      </c>
      <c r="T80" t="s">
        <v>74</v>
      </c>
      <c r="U80" t="s">
        <v>1789</v>
      </c>
      <c r="V80" t="s">
        <v>1790</v>
      </c>
      <c r="W80" t="s">
        <v>1791</v>
      </c>
      <c r="X80" t="s">
        <v>1792</v>
      </c>
      <c r="Y80" t="s">
        <v>1793</v>
      </c>
      <c r="Z80" t="s">
        <v>1794</v>
      </c>
      <c r="AA80" t="s">
        <v>1795</v>
      </c>
      <c r="AB80" t="s">
        <v>1796</v>
      </c>
      <c r="AC80" t="s">
        <v>1797</v>
      </c>
      <c r="AD80" t="s">
        <v>1798</v>
      </c>
      <c r="AE80" t="s">
        <v>1799</v>
      </c>
      <c r="AF80" t="s">
        <v>74</v>
      </c>
      <c r="AG80">
        <v>33</v>
      </c>
      <c r="AH80">
        <v>16</v>
      </c>
      <c r="AI80">
        <v>17</v>
      </c>
      <c r="AJ80">
        <v>0</v>
      </c>
      <c r="AK80">
        <v>6</v>
      </c>
      <c r="AL80" t="s">
        <v>153</v>
      </c>
      <c r="AM80" t="s">
        <v>154</v>
      </c>
      <c r="AN80" t="s">
        <v>155</v>
      </c>
      <c r="AO80" t="s">
        <v>1800</v>
      </c>
      <c r="AP80" t="s">
        <v>1801</v>
      </c>
      <c r="AQ80" t="s">
        <v>74</v>
      </c>
      <c r="AR80" t="s">
        <v>1802</v>
      </c>
      <c r="AS80" t="s">
        <v>1803</v>
      </c>
      <c r="AT80" t="s">
        <v>1623</v>
      </c>
      <c r="AU80">
        <v>2019</v>
      </c>
      <c r="AV80">
        <v>33</v>
      </c>
      <c r="AW80">
        <v>7</v>
      </c>
      <c r="AX80" t="s">
        <v>74</v>
      </c>
      <c r="AY80" t="s">
        <v>74</v>
      </c>
      <c r="AZ80" t="s">
        <v>74</v>
      </c>
      <c r="BA80" t="s">
        <v>74</v>
      </c>
      <c r="BB80">
        <v>641</v>
      </c>
      <c r="BC80">
        <v>649</v>
      </c>
      <c r="BD80" t="s">
        <v>74</v>
      </c>
      <c r="BE80" t="s">
        <v>1804</v>
      </c>
      <c r="BF80" t="str">
        <f>HYPERLINK("http://dx.doi.org/10.1002/rcm.8389","http://dx.doi.org/10.1002/rcm.8389")</f>
        <v>http://dx.doi.org/10.1002/rcm.8389</v>
      </c>
      <c r="BG80" t="s">
        <v>74</v>
      </c>
      <c r="BH80" t="s">
        <v>74</v>
      </c>
      <c r="BI80">
        <v>9</v>
      </c>
      <c r="BJ80" t="s">
        <v>1805</v>
      </c>
      <c r="BK80" t="s">
        <v>102</v>
      </c>
      <c r="BL80" t="s">
        <v>1806</v>
      </c>
      <c r="BM80" t="s">
        <v>1807</v>
      </c>
      <c r="BN80">
        <v>30669180</v>
      </c>
      <c r="BO80" t="s">
        <v>74</v>
      </c>
      <c r="BP80" t="s">
        <v>74</v>
      </c>
      <c r="BQ80" t="s">
        <v>74</v>
      </c>
      <c r="BR80" t="s">
        <v>107</v>
      </c>
      <c r="BS80" t="s">
        <v>1808</v>
      </c>
      <c r="BT80" t="str">
        <f>HYPERLINK("https%3A%2F%2Fwww.webofscience.com%2Fwos%2Fwoscc%2Ffull-record%2FWOS:000462668100003","View Full Record in Web of Science")</f>
        <v>View Full Record in Web of Science</v>
      </c>
    </row>
    <row r="81" spans="1:72" x14ac:dyDescent="0.15">
      <c r="A81" t="s">
        <v>72</v>
      </c>
      <c r="B81" t="s">
        <v>1809</v>
      </c>
      <c r="C81" t="s">
        <v>74</v>
      </c>
      <c r="D81" t="s">
        <v>74</v>
      </c>
      <c r="E81" t="s">
        <v>74</v>
      </c>
      <c r="F81" t="s">
        <v>1810</v>
      </c>
      <c r="G81" t="s">
        <v>74</v>
      </c>
      <c r="H81" t="s">
        <v>74</v>
      </c>
      <c r="I81" t="s">
        <v>1811</v>
      </c>
      <c r="J81" t="s">
        <v>621</v>
      </c>
      <c r="K81" t="s">
        <v>74</v>
      </c>
      <c r="L81" t="s">
        <v>74</v>
      </c>
      <c r="M81" t="s">
        <v>78</v>
      </c>
      <c r="N81" t="s">
        <v>79</v>
      </c>
      <c r="O81" t="s">
        <v>74</v>
      </c>
      <c r="P81" t="s">
        <v>74</v>
      </c>
      <c r="Q81" t="s">
        <v>74</v>
      </c>
      <c r="R81" t="s">
        <v>74</v>
      </c>
      <c r="S81" t="s">
        <v>74</v>
      </c>
      <c r="T81" t="s">
        <v>1812</v>
      </c>
      <c r="U81" t="s">
        <v>1813</v>
      </c>
      <c r="V81" t="s">
        <v>1814</v>
      </c>
      <c r="W81" t="s">
        <v>1815</v>
      </c>
      <c r="X81" t="s">
        <v>1816</v>
      </c>
      <c r="Y81" t="s">
        <v>1817</v>
      </c>
      <c r="Z81" t="s">
        <v>1818</v>
      </c>
      <c r="AA81" t="s">
        <v>74</v>
      </c>
      <c r="AB81" t="s">
        <v>1819</v>
      </c>
      <c r="AC81" t="s">
        <v>1820</v>
      </c>
      <c r="AD81" t="s">
        <v>1821</v>
      </c>
      <c r="AE81" t="s">
        <v>1822</v>
      </c>
      <c r="AF81" t="s">
        <v>74</v>
      </c>
      <c r="AG81">
        <v>90</v>
      </c>
      <c r="AH81">
        <v>23</v>
      </c>
      <c r="AI81">
        <v>27</v>
      </c>
      <c r="AJ81">
        <v>5</v>
      </c>
      <c r="AK81">
        <v>39</v>
      </c>
      <c r="AL81" t="s">
        <v>662</v>
      </c>
      <c r="AM81" t="s">
        <v>635</v>
      </c>
      <c r="AN81" t="s">
        <v>663</v>
      </c>
      <c r="AO81" t="s">
        <v>637</v>
      </c>
      <c r="AP81" t="s">
        <v>638</v>
      </c>
      <c r="AQ81" t="s">
        <v>74</v>
      </c>
      <c r="AR81" t="s">
        <v>639</v>
      </c>
      <c r="AS81" t="s">
        <v>640</v>
      </c>
      <c r="AT81" t="s">
        <v>1623</v>
      </c>
      <c r="AU81">
        <v>2019</v>
      </c>
      <c r="AV81">
        <v>512</v>
      </c>
      <c r="AW81" t="s">
        <v>74</v>
      </c>
      <c r="AX81" t="s">
        <v>74</v>
      </c>
      <c r="AY81" t="s">
        <v>74</v>
      </c>
      <c r="AZ81" t="s">
        <v>74</v>
      </c>
      <c r="BA81" t="s">
        <v>74</v>
      </c>
      <c r="BB81">
        <v>227</v>
      </c>
      <c r="BC81">
        <v>235</v>
      </c>
      <c r="BD81" t="s">
        <v>74</v>
      </c>
      <c r="BE81" t="s">
        <v>1823</v>
      </c>
      <c r="BF81" t="str">
        <f>HYPERLINK("http://dx.doi.org/10.1016/j.epsl.2019.01.052","http://dx.doi.org/10.1016/j.epsl.2019.01.052")</f>
        <v>http://dx.doi.org/10.1016/j.epsl.2019.01.052</v>
      </c>
      <c r="BG81" t="s">
        <v>74</v>
      </c>
      <c r="BH81" t="s">
        <v>74</v>
      </c>
      <c r="BI81">
        <v>9</v>
      </c>
      <c r="BJ81" t="s">
        <v>643</v>
      </c>
      <c r="BK81" t="s">
        <v>102</v>
      </c>
      <c r="BL81" t="s">
        <v>643</v>
      </c>
      <c r="BM81" t="s">
        <v>1824</v>
      </c>
      <c r="BN81" t="s">
        <v>74</v>
      </c>
      <c r="BO81" t="s">
        <v>198</v>
      </c>
      <c r="BP81" t="s">
        <v>74</v>
      </c>
      <c r="BQ81" t="s">
        <v>74</v>
      </c>
      <c r="BR81" t="s">
        <v>107</v>
      </c>
      <c r="BS81" t="s">
        <v>1825</v>
      </c>
      <c r="BT81" t="str">
        <f>HYPERLINK("https%3A%2F%2Fwww.webofscience.com%2Fwos%2Fwoscc%2Ffull-record%2FWOS:000462106300022","View Full Record in Web of Science")</f>
        <v>View Full Record in Web of Science</v>
      </c>
    </row>
    <row r="82" spans="1:72" x14ac:dyDescent="0.15">
      <c r="A82" t="s">
        <v>72</v>
      </c>
      <c r="B82" t="s">
        <v>1826</v>
      </c>
      <c r="C82" t="s">
        <v>74</v>
      </c>
      <c r="D82" t="s">
        <v>74</v>
      </c>
      <c r="E82" t="s">
        <v>74</v>
      </c>
      <c r="F82" t="s">
        <v>1827</v>
      </c>
      <c r="G82" t="s">
        <v>74</v>
      </c>
      <c r="H82" t="s">
        <v>74</v>
      </c>
      <c r="I82" t="s">
        <v>1828</v>
      </c>
      <c r="J82" t="s">
        <v>1829</v>
      </c>
      <c r="K82" t="s">
        <v>74</v>
      </c>
      <c r="L82" t="s">
        <v>74</v>
      </c>
      <c r="M82" t="s">
        <v>78</v>
      </c>
      <c r="N82" t="s">
        <v>79</v>
      </c>
      <c r="O82" t="s">
        <v>74</v>
      </c>
      <c r="P82" t="s">
        <v>74</v>
      </c>
      <c r="Q82" t="s">
        <v>74</v>
      </c>
      <c r="R82" t="s">
        <v>74</v>
      </c>
      <c r="S82" t="s">
        <v>74</v>
      </c>
      <c r="T82" t="s">
        <v>1830</v>
      </c>
      <c r="U82" t="s">
        <v>1831</v>
      </c>
      <c r="V82" t="s">
        <v>1832</v>
      </c>
      <c r="W82" t="s">
        <v>1833</v>
      </c>
      <c r="X82" t="s">
        <v>1834</v>
      </c>
      <c r="Y82" t="s">
        <v>1835</v>
      </c>
      <c r="Z82" t="s">
        <v>1836</v>
      </c>
      <c r="AA82" t="s">
        <v>1837</v>
      </c>
      <c r="AB82" t="s">
        <v>1838</v>
      </c>
      <c r="AC82" t="s">
        <v>1839</v>
      </c>
      <c r="AD82" t="s">
        <v>1840</v>
      </c>
      <c r="AE82" t="s">
        <v>1841</v>
      </c>
      <c r="AF82" t="s">
        <v>74</v>
      </c>
      <c r="AG82">
        <v>59</v>
      </c>
      <c r="AH82">
        <v>28</v>
      </c>
      <c r="AI82">
        <v>32</v>
      </c>
      <c r="AJ82">
        <v>0</v>
      </c>
      <c r="AK82">
        <v>11</v>
      </c>
      <c r="AL82" t="s">
        <v>378</v>
      </c>
      <c r="AM82" t="s">
        <v>93</v>
      </c>
      <c r="AN82" t="s">
        <v>379</v>
      </c>
      <c r="AO82" t="s">
        <v>1842</v>
      </c>
      <c r="AP82" t="s">
        <v>1843</v>
      </c>
      <c r="AQ82" t="s">
        <v>74</v>
      </c>
      <c r="AR82" t="s">
        <v>1844</v>
      </c>
      <c r="AS82" t="s">
        <v>1845</v>
      </c>
      <c r="AT82" t="s">
        <v>1623</v>
      </c>
      <c r="AU82">
        <v>2019</v>
      </c>
      <c r="AV82">
        <v>251</v>
      </c>
      <c r="AW82" t="s">
        <v>74</v>
      </c>
      <c r="AX82" t="s">
        <v>74</v>
      </c>
      <c r="AY82" t="s">
        <v>74</v>
      </c>
      <c r="AZ82" t="s">
        <v>74</v>
      </c>
      <c r="BA82" t="s">
        <v>74</v>
      </c>
      <c r="BB82">
        <v>217</v>
      </c>
      <c r="BC82">
        <v>228</v>
      </c>
      <c r="BD82" t="s">
        <v>74</v>
      </c>
      <c r="BE82" t="s">
        <v>1846</v>
      </c>
      <c r="BF82" t="str">
        <f>HYPERLINK("http://dx.doi.org/10.1016/j.gca.2019.02.035","http://dx.doi.org/10.1016/j.gca.2019.02.035")</f>
        <v>http://dx.doi.org/10.1016/j.gca.2019.02.035</v>
      </c>
      <c r="BG82" t="s">
        <v>74</v>
      </c>
      <c r="BH82" t="s">
        <v>74</v>
      </c>
      <c r="BI82">
        <v>12</v>
      </c>
      <c r="BJ82" t="s">
        <v>643</v>
      </c>
      <c r="BK82" t="s">
        <v>102</v>
      </c>
      <c r="BL82" t="s">
        <v>643</v>
      </c>
      <c r="BM82" t="s">
        <v>1847</v>
      </c>
      <c r="BN82">
        <v>33273745</v>
      </c>
      <c r="BO82" t="s">
        <v>942</v>
      </c>
      <c r="BP82" t="s">
        <v>74</v>
      </c>
      <c r="BQ82" t="s">
        <v>74</v>
      </c>
      <c r="BR82" t="s">
        <v>107</v>
      </c>
      <c r="BS82" t="s">
        <v>1848</v>
      </c>
      <c r="BT82" t="str">
        <f>HYPERLINK("https%3A%2F%2Fwww.webofscience.com%2Fwos%2Fwoscc%2Ffull-record%2FWOS:000461758700012","View Full Record in Web of Science")</f>
        <v>View Full Record in Web of Science</v>
      </c>
    </row>
    <row r="83" spans="1:72" x14ac:dyDescent="0.15">
      <c r="A83" t="s">
        <v>72</v>
      </c>
      <c r="B83" t="s">
        <v>1849</v>
      </c>
      <c r="C83" t="s">
        <v>74</v>
      </c>
      <c r="D83" t="s">
        <v>74</v>
      </c>
      <c r="E83" t="s">
        <v>74</v>
      </c>
      <c r="F83" t="s">
        <v>1850</v>
      </c>
      <c r="G83" t="s">
        <v>74</v>
      </c>
      <c r="H83" t="s">
        <v>74</v>
      </c>
      <c r="I83" t="s">
        <v>1851</v>
      </c>
      <c r="J83" t="s">
        <v>808</v>
      </c>
      <c r="K83" t="s">
        <v>74</v>
      </c>
      <c r="L83" t="s">
        <v>74</v>
      </c>
      <c r="M83" t="s">
        <v>78</v>
      </c>
      <c r="N83" t="s">
        <v>79</v>
      </c>
      <c r="O83" t="s">
        <v>74</v>
      </c>
      <c r="P83" t="s">
        <v>74</v>
      </c>
      <c r="Q83" t="s">
        <v>74</v>
      </c>
      <c r="R83" t="s">
        <v>74</v>
      </c>
      <c r="S83" t="s">
        <v>74</v>
      </c>
      <c r="T83" t="s">
        <v>1852</v>
      </c>
      <c r="U83" t="s">
        <v>1853</v>
      </c>
      <c r="V83" t="s">
        <v>1854</v>
      </c>
      <c r="W83" t="s">
        <v>1855</v>
      </c>
      <c r="X83" t="s">
        <v>1856</v>
      </c>
      <c r="Y83" t="s">
        <v>1857</v>
      </c>
      <c r="Z83" t="s">
        <v>1858</v>
      </c>
      <c r="AA83" t="s">
        <v>1859</v>
      </c>
      <c r="AB83" t="s">
        <v>1860</v>
      </c>
      <c r="AC83" t="s">
        <v>1861</v>
      </c>
      <c r="AD83" t="s">
        <v>1862</v>
      </c>
      <c r="AE83" t="s">
        <v>1863</v>
      </c>
      <c r="AF83" t="s">
        <v>74</v>
      </c>
      <c r="AG83">
        <v>68</v>
      </c>
      <c r="AH83">
        <v>27</v>
      </c>
      <c r="AI83">
        <v>27</v>
      </c>
      <c r="AJ83">
        <v>0</v>
      </c>
      <c r="AK83">
        <v>5</v>
      </c>
      <c r="AL83" t="s">
        <v>821</v>
      </c>
      <c r="AM83" t="s">
        <v>822</v>
      </c>
      <c r="AN83" t="s">
        <v>823</v>
      </c>
      <c r="AO83" t="s">
        <v>74</v>
      </c>
      <c r="AP83" t="s">
        <v>824</v>
      </c>
      <c r="AQ83" t="s">
        <v>74</v>
      </c>
      <c r="AR83" t="s">
        <v>825</v>
      </c>
      <c r="AS83" t="s">
        <v>826</v>
      </c>
      <c r="AT83" t="s">
        <v>1864</v>
      </c>
      <c r="AU83">
        <v>2019</v>
      </c>
      <c r="AV83">
        <v>6</v>
      </c>
      <c r="AW83" t="s">
        <v>74</v>
      </c>
      <c r="AX83" t="s">
        <v>74</v>
      </c>
      <c r="AY83" t="s">
        <v>74</v>
      </c>
      <c r="AZ83" t="s">
        <v>74</v>
      </c>
      <c r="BA83" t="s">
        <v>74</v>
      </c>
      <c r="BB83" t="s">
        <v>74</v>
      </c>
      <c r="BC83" t="s">
        <v>74</v>
      </c>
      <c r="BD83">
        <v>161</v>
      </c>
      <c r="BE83" t="s">
        <v>1865</v>
      </c>
      <c r="BF83" t="str">
        <f>HYPERLINK("http://dx.doi.org/10.3389/fmars.2019.00161","http://dx.doi.org/10.3389/fmars.2019.00161")</f>
        <v>http://dx.doi.org/10.3389/fmars.2019.00161</v>
      </c>
      <c r="BG83" t="s">
        <v>74</v>
      </c>
      <c r="BH83" t="s">
        <v>74</v>
      </c>
      <c r="BI83">
        <v>17</v>
      </c>
      <c r="BJ83" t="s">
        <v>829</v>
      </c>
      <c r="BK83" t="s">
        <v>102</v>
      </c>
      <c r="BL83" t="s">
        <v>830</v>
      </c>
      <c r="BM83" t="s">
        <v>1866</v>
      </c>
      <c r="BN83" t="s">
        <v>74</v>
      </c>
      <c r="BO83" t="s">
        <v>851</v>
      </c>
      <c r="BP83" t="s">
        <v>74</v>
      </c>
      <c r="BQ83" t="s">
        <v>74</v>
      </c>
      <c r="BR83" t="s">
        <v>107</v>
      </c>
      <c r="BS83" t="s">
        <v>1867</v>
      </c>
      <c r="BT83" t="str">
        <f>HYPERLINK("https%3A%2F%2Fwww.webofscience.com%2Fwos%2Fwoscc%2Ffull-record%2FWOS:000465444800001","View Full Record in Web of Science")</f>
        <v>View Full Record in Web of Science</v>
      </c>
    </row>
    <row r="84" spans="1:72" x14ac:dyDescent="0.15">
      <c r="A84" t="s">
        <v>72</v>
      </c>
      <c r="B84" t="s">
        <v>1868</v>
      </c>
      <c r="C84" t="s">
        <v>74</v>
      </c>
      <c r="D84" t="s">
        <v>74</v>
      </c>
      <c r="E84" t="s">
        <v>74</v>
      </c>
      <c r="F84" t="s">
        <v>1869</v>
      </c>
      <c r="G84" t="s">
        <v>74</v>
      </c>
      <c r="H84" t="s">
        <v>74</v>
      </c>
      <c r="I84" t="s">
        <v>1870</v>
      </c>
      <c r="J84" t="s">
        <v>808</v>
      </c>
      <c r="K84" t="s">
        <v>74</v>
      </c>
      <c r="L84" t="s">
        <v>74</v>
      </c>
      <c r="M84" t="s">
        <v>78</v>
      </c>
      <c r="N84" t="s">
        <v>79</v>
      </c>
      <c r="O84" t="s">
        <v>74</v>
      </c>
      <c r="P84" t="s">
        <v>74</v>
      </c>
      <c r="Q84" t="s">
        <v>74</v>
      </c>
      <c r="R84" t="s">
        <v>74</v>
      </c>
      <c r="S84" t="s">
        <v>74</v>
      </c>
      <c r="T84" t="s">
        <v>1871</v>
      </c>
      <c r="U84" t="s">
        <v>1872</v>
      </c>
      <c r="V84" t="s">
        <v>1873</v>
      </c>
      <c r="W84" t="s">
        <v>1874</v>
      </c>
      <c r="X84" t="s">
        <v>1875</v>
      </c>
      <c r="Y84" t="s">
        <v>1876</v>
      </c>
      <c r="Z84" t="s">
        <v>1877</v>
      </c>
      <c r="AA84" t="s">
        <v>1878</v>
      </c>
      <c r="AB84" t="s">
        <v>1879</v>
      </c>
      <c r="AC84" t="s">
        <v>1880</v>
      </c>
      <c r="AD84" t="s">
        <v>1881</v>
      </c>
      <c r="AE84" t="s">
        <v>1882</v>
      </c>
      <c r="AF84" t="s">
        <v>74</v>
      </c>
      <c r="AG84">
        <v>94</v>
      </c>
      <c r="AH84">
        <v>17</v>
      </c>
      <c r="AI84">
        <v>18</v>
      </c>
      <c r="AJ84">
        <v>0</v>
      </c>
      <c r="AK84">
        <v>18</v>
      </c>
      <c r="AL84" t="s">
        <v>821</v>
      </c>
      <c r="AM84" t="s">
        <v>822</v>
      </c>
      <c r="AN84" t="s">
        <v>823</v>
      </c>
      <c r="AO84" t="s">
        <v>74</v>
      </c>
      <c r="AP84" t="s">
        <v>824</v>
      </c>
      <c r="AQ84" t="s">
        <v>74</v>
      </c>
      <c r="AR84" t="s">
        <v>825</v>
      </c>
      <c r="AS84" t="s">
        <v>826</v>
      </c>
      <c r="AT84" t="s">
        <v>1864</v>
      </c>
      <c r="AU84">
        <v>2019</v>
      </c>
      <c r="AV84">
        <v>6</v>
      </c>
      <c r="AW84" t="s">
        <v>74</v>
      </c>
      <c r="AX84" t="s">
        <v>74</v>
      </c>
      <c r="AY84" t="s">
        <v>74</v>
      </c>
      <c r="AZ84" t="s">
        <v>74</v>
      </c>
      <c r="BA84" t="s">
        <v>74</v>
      </c>
      <c r="BB84" t="s">
        <v>74</v>
      </c>
      <c r="BC84" t="s">
        <v>74</v>
      </c>
      <c r="BD84">
        <v>173</v>
      </c>
      <c r="BE84" t="s">
        <v>1883</v>
      </c>
      <c r="BF84" t="str">
        <f>HYPERLINK("http://dx.doi.org/10.3389/fmars.2019.00173","http://dx.doi.org/10.3389/fmars.2019.00173")</f>
        <v>http://dx.doi.org/10.3389/fmars.2019.00173</v>
      </c>
      <c r="BG84" t="s">
        <v>74</v>
      </c>
      <c r="BH84" t="s">
        <v>74</v>
      </c>
      <c r="BI84">
        <v>24</v>
      </c>
      <c r="BJ84" t="s">
        <v>829</v>
      </c>
      <c r="BK84" t="s">
        <v>102</v>
      </c>
      <c r="BL84" t="s">
        <v>830</v>
      </c>
      <c r="BM84" t="s">
        <v>1884</v>
      </c>
      <c r="BN84" t="s">
        <v>74</v>
      </c>
      <c r="BO84" t="s">
        <v>851</v>
      </c>
      <c r="BP84" t="s">
        <v>74</v>
      </c>
      <c r="BQ84" t="s">
        <v>74</v>
      </c>
      <c r="BR84" t="s">
        <v>107</v>
      </c>
      <c r="BS84" t="s">
        <v>1885</v>
      </c>
      <c r="BT84" t="str">
        <f>HYPERLINK("https%3A%2F%2Fwww.webofscience.com%2Fwos%2Fwoscc%2Ffull-record%2FWOS:000465444900001","View Full Record in Web of Science")</f>
        <v>View Full Record in Web of Science</v>
      </c>
    </row>
    <row r="85" spans="1:72" x14ac:dyDescent="0.15">
      <c r="A85" t="s">
        <v>72</v>
      </c>
      <c r="B85" t="s">
        <v>1886</v>
      </c>
      <c r="C85" t="s">
        <v>74</v>
      </c>
      <c r="D85" t="s">
        <v>74</v>
      </c>
      <c r="E85" t="s">
        <v>74</v>
      </c>
      <c r="F85" t="s">
        <v>1887</v>
      </c>
      <c r="G85" t="s">
        <v>74</v>
      </c>
      <c r="H85" t="s">
        <v>74</v>
      </c>
      <c r="I85" t="s">
        <v>1888</v>
      </c>
      <c r="J85" t="s">
        <v>1720</v>
      </c>
      <c r="K85" t="s">
        <v>74</v>
      </c>
      <c r="L85" t="s">
        <v>74</v>
      </c>
      <c r="M85" t="s">
        <v>78</v>
      </c>
      <c r="N85" t="s">
        <v>79</v>
      </c>
      <c r="O85" t="s">
        <v>74</v>
      </c>
      <c r="P85" t="s">
        <v>74</v>
      </c>
      <c r="Q85" t="s">
        <v>74</v>
      </c>
      <c r="R85" t="s">
        <v>74</v>
      </c>
      <c r="S85" t="s">
        <v>74</v>
      </c>
      <c r="T85" t="s">
        <v>74</v>
      </c>
      <c r="U85" t="s">
        <v>1889</v>
      </c>
      <c r="V85" t="s">
        <v>1890</v>
      </c>
      <c r="W85" t="s">
        <v>1891</v>
      </c>
      <c r="X85" t="s">
        <v>1892</v>
      </c>
      <c r="Y85" t="s">
        <v>1893</v>
      </c>
      <c r="Z85" t="s">
        <v>1894</v>
      </c>
      <c r="AA85" t="s">
        <v>1895</v>
      </c>
      <c r="AB85" t="s">
        <v>1896</v>
      </c>
      <c r="AC85" t="s">
        <v>1897</v>
      </c>
      <c r="AD85" t="s">
        <v>1898</v>
      </c>
      <c r="AE85" t="s">
        <v>1899</v>
      </c>
      <c r="AF85" t="s">
        <v>74</v>
      </c>
      <c r="AG85">
        <v>62</v>
      </c>
      <c r="AH85">
        <v>10</v>
      </c>
      <c r="AI85">
        <v>11</v>
      </c>
      <c r="AJ85">
        <v>0</v>
      </c>
      <c r="AK85">
        <v>9</v>
      </c>
      <c r="AL85" t="s">
        <v>1393</v>
      </c>
      <c r="AM85" t="s">
        <v>1371</v>
      </c>
      <c r="AN85" t="s">
        <v>1372</v>
      </c>
      <c r="AO85" t="s">
        <v>1731</v>
      </c>
      <c r="AP85" t="s">
        <v>74</v>
      </c>
      <c r="AQ85" t="s">
        <v>74</v>
      </c>
      <c r="AR85" t="s">
        <v>1732</v>
      </c>
      <c r="AS85" t="s">
        <v>1733</v>
      </c>
      <c r="AT85" t="s">
        <v>1864</v>
      </c>
      <c r="AU85">
        <v>2019</v>
      </c>
      <c r="AV85">
        <v>9</v>
      </c>
      <c r="AW85" t="s">
        <v>74</v>
      </c>
      <c r="AX85" t="s">
        <v>74</v>
      </c>
      <c r="AY85" t="s">
        <v>74</v>
      </c>
      <c r="AZ85" t="s">
        <v>74</v>
      </c>
      <c r="BA85" t="s">
        <v>74</v>
      </c>
      <c r="BB85" t="s">
        <v>74</v>
      </c>
      <c r="BC85" t="s">
        <v>74</v>
      </c>
      <c r="BD85">
        <v>5989</v>
      </c>
      <c r="BE85" t="s">
        <v>1900</v>
      </c>
      <c r="BF85" t="str">
        <f>HYPERLINK("http://dx.doi.org/10.1038/s41598-019-42354-z","http://dx.doi.org/10.1038/s41598-019-42354-z")</f>
        <v>http://dx.doi.org/10.1038/s41598-019-42354-z</v>
      </c>
      <c r="BG85" t="s">
        <v>74</v>
      </c>
      <c r="BH85" t="s">
        <v>74</v>
      </c>
      <c r="BI85">
        <v>10</v>
      </c>
      <c r="BJ85" t="s">
        <v>460</v>
      </c>
      <c r="BK85" t="s">
        <v>102</v>
      </c>
      <c r="BL85" t="s">
        <v>461</v>
      </c>
      <c r="BM85" t="s">
        <v>1901</v>
      </c>
      <c r="BN85">
        <v>30979924</v>
      </c>
      <c r="BO85" t="s">
        <v>463</v>
      </c>
      <c r="BP85" t="s">
        <v>74</v>
      </c>
      <c r="BQ85" t="s">
        <v>74</v>
      </c>
      <c r="BR85" t="s">
        <v>107</v>
      </c>
      <c r="BS85" t="s">
        <v>1902</v>
      </c>
      <c r="BT85" t="str">
        <f>HYPERLINK("https%3A%2F%2Fwww.webofscience.com%2Fwos%2Fwoscc%2Ffull-record%2FWOS:000464342700014","View Full Record in Web of Science")</f>
        <v>View Full Record in Web of Science</v>
      </c>
    </row>
    <row r="86" spans="1:72" x14ac:dyDescent="0.15">
      <c r="A86" t="s">
        <v>72</v>
      </c>
      <c r="B86" t="s">
        <v>1903</v>
      </c>
      <c r="C86" t="s">
        <v>74</v>
      </c>
      <c r="D86" t="s">
        <v>74</v>
      </c>
      <c r="E86" t="s">
        <v>74</v>
      </c>
      <c r="F86" t="s">
        <v>1904</v>
      </c>
      <c r="G86" t="s">
        <v>74</v>
      </c>
      <c r="H86" t="s">
        <v>74</v>
      </c>
      <c r="I86" t="s">
        <v>1905</v>
      </c>
      <c r="J86" t="s">
        <v>1720</v>
      </c>
      <c r="K86" t="s">
        <v>74</v>
      </c>
      <c r="L86" t="s">
        <v>74</v>
      </c>
      <c r="M86" t="s">
        <v>78</v>
      </c>
      <c r="N86" t="s">
        <v>79</v>
      </c>
      <c r="O86" t="s">
        <v>74</v>
      </c>
      <c r="P86" t="s">
        <v>74</v>
      </c>
      <c r="Q86" t="s">
        <v>74</v>
      </c>
      <c r="R86" t="s">
        <v>74</v>
      </c>
      <c r="S86" t="s">
        <v>74</v>
      </c>
      <c r="T86" t="s">
        <v>74</v>
      </c>
      <c r="U86" t="s">
        <v>1906</v>
      </c>
      <c r="V86" t="s">
        <v>1907</v>
      </c>
      <c r="W86" t="s">
        <v>1908</v>
      </c>
      <c r="X86" t="s">
        <v>1909</v>
      </c>
      <c r="Y86" t="s">
        <v>1910</v>
      </c>
      <c r="Z86" t="s">
        <v>1911</v>
      </c>
      <c r="AA86" t="s">
        <v>1912</v>
      </c>
      <c r="AB86" t="s">
        <v>1913</v>
      </c>
      <c r="AC86" t="s">
        <v>1914</v>
      </c>
      <c r="AD86" t="s">
        <v>1914</v>
      </c>
      <c r="AE86" t="s">
        <v>1915</v>
      </c>
      <c r="AF86" t="s">
        <v>74</v>
      </c>
      <c r="AG86">
        <v>56</v>
      </c>
      <c r="AH86">
        <v>18</v>
      </c>
      <c r="AI86">
        <v>21</v>
      </c>
      <c r="AJ86">
        <v>0</v>
      </c>
      <c r="AK86">
        <v>6</v>
      </c>
      <c r="AL86" t="s">
        <v>1393</v>
      </c>
      <c r="AM86" t="s">
        <v>1371</v>
      </c>
      <c r="AN86" t="s">
        <v>1372</v>
      </c>
      <c r="AO86" t="s">
        <v>1731</v>
      </c>
      <c r="AP86" t="s">
        <v>74</v>
      </c>
      <c r="AQ86" t="s">
        <v>74</v>
      </c>
      <c r="AR86" t="s">
        <v>1732</v>
      </c>
      <c r="AS86" t="s">
        <v>1733</v>
      </c>
      <c r="AT86" t="s">
        <v>1864</v>
      </c>
      <c r="AU86">
        <v>2019</v>
      </c>
      <c r="AV86">
        <v>9</v>
      </c>
      <c r="AW86" t="s">
        <v>74</v>
      </c>
      <c r="AX86" t="s">
        <v>74</v>
      </c>
      <c r="AY86" t="s">
        <v>74</v>
      </c>
      <c r="AZ86" t="s">
        <v>74</v>
      </c>
      <c r="BA86" t="s">
        <v>74</v>
      </c>
      <c r="BB86" t="s">
        <v>74</v>
      </c>
      <c r="BC86" t="s">
        <v>74</v>
      </c>
      <c r="BD86">
        <v>6006</v>
      </c>
      <c r="BE86" t="s">
        <v>1916</v>
      </c>
      <c r="BF86" t="str">
        <f>HYPERLINK("http://dx.doi.org/10.1038/s41598-019-42499-x","http://dx.doi.org/10.1038/s41598-019-42499-x")</f>
        <v>http://dx.doi.org/10.1038/s41598-019-42499-x</v>
      </c>
      <c r="BG86" t="s">
        <v>74</v>
      </c>
      <c r="BH86" t="s">
        <v>74</v>
      </c>
      <c r="BI86">
        <v>12</v>
      </c>
      <c r="BJ86" t="s">
        <v>460</v>
      </c>
      <c r="BK86" t="s">
        <v>102</v>
      </c>
      <c r="BL86" t="s">
        <v>461</v>
      </c>
      <c r="BM86" t="s">
        <v>1901</v>
      </c>
      <c r="BN86">
        <v>30979961</v>
      </c>
      <c r="BO86" t="s">
        <v>851</v>
      </c>
      <c r="BP86" t="s">
        <v>74</v>
      </c>
      <c r="BQ86" t="s">
        <v>74</v>
      </c>
      <c r="BR86" t="s">
        <v>107</v>
      </c>
      <c r="BS86" t="s">
        <v>1917</v>
      </c>
      <c r="BT86" t="str">
        <f>HYPERLINK("https%3A%2F%2Fwww.webofscience.com%2Fwos%2Fwoscc%2Ffull-record%2FWOS:000464342700031","View Full Record in Web of Science")</f>
        <v>View Full Record in Web of Science</v>
      </c>
    </row>
    <row r="87" spans="1:72" x14ac:dyDescent="0.15">
      <c r="A87" t="s">
        <v>72</v>
      </c>
      <c r="B87" t="s">
        <v>1918</v>
      </c>
      <c r="C87" t="s">
        <v>74</v>
      </c>
      <c r="D87" t="s">
        <v>74</v>
      </c>
      <c r="E87" t="s">
        <v>74</v>
      </c>
      <c r="F87" t="s">
        <v>1919</v>
      </c>
      <c r="G87" t="s">
        <v>74</v>
      </c>
      <c r="H87" t="s">
        <v>74</v>
      </c>
      <c r="I87" t="s">
        <v>1920</v>
      </c>
      <c r="J87" t="s">
        <v>1125</v>
      </c>
      <c r="K87" t="s">
        <v>74</v>
      </c>
      <c r="L87" t="s">
        <v>74</v>
      </c>
      <c r="M87" t="s">
        <v>78</v>
      </c>
      <c r="N87" t="s">
        <v>79</v>
      </c>
      <c r="O87" t="s">
        <v>74</v>
      </c>
      <c r="P87" t="s">
        <v>74</v>
      </c>
      <c r="Q87" t="s">
        <v>74</v>
      </c>
      <c r="R87" t="s">
        <v>74</v>
      </c>
      <c r="S87" t="s">
        <v>74</v>
      </c>
      <c r="T87" t="s">
        <v>74</v>
      </c>
      <c r="U87" t="s">
        <v>1921</v>
      </c>
      <c r="V87" t="s">
        <v>1922</v>
      </c>
      <c r="W87" t="s">
        <v>1923</v>
      </c>
      <c r="X87" t="s">
        <v>1924</v>
      </c>
      <c r="Y87" t="s">
        <v>1925</v>
      </c>
      <c r="Z87" t="s">
        <v>1926</v>
      </c>
      <c r="AA87" t="s">
        <v>1927</v>
      </c>
      <c r="AB87" t="s">
        <v>1928</v>
      </c>
      <c r="AC87" t="s">
        <v>1929</v>
      </c>
      <c r="AD87" t="s">
        <v>1930</v>
      </c>
      <c r="AE87" t="s">
        <v>1931</v>
      </c>
      <c r="AF87" t="s">
        <v>74</v>
      </c>
      <c r="AG87">
        <v>93</v>
      </c>
      <c r="AH87">
        <v>6</v>
      </c>
      <c r="AI87">
        <v>8</v>
      </c>
      <c r="AJ87">
        <v>1</v>
      </c>
      <c r="AK87">
        <v>9</v>
      </c>
      <c r="AL87" t="s">
        <v>868</v>
      </c>
      <c r="AM87" t="s">
        <v>869</v>
      </c>
      <c r="AN87" t="s">
        <v>870</v>
      </c>
      <c r="AO87" t="s">
        <v>1137</v>
      </c>
      <c r="AP87" t="s">
        <v>1138</v>
      </c>
      <c r="AQ87" t="s">
        <v>74</v>
      </c>
      <c r="AR87" t="s">
        <v>1125</v>
      </c>
      <c r="AS87" t="s">
        <v>1139</v>
      </c>
      <c r="AT87" t="s">
        <v>1864</v>
      </c>
      <c r="AU87">
        <v>2019</v>
      </c>
      <c r="AV87">
        <v>13</v>
      </c>
      <c r="AW87">
        <v>4</v>
      </c>
      <c r="AX87" t="s">
        <v>74</v>
      </c>
      <c r="AY87" t="s">
        <v>74</v>
      </c>
      <c r="AZ87" t="s">
        <v>74</v>
      </c>
      <c r="BA87" t="s">
        <v>74</v>
      </c>
      <c r="BB87">
        <v>1215</v>
      </c>
      <c r="BC87">
        <v>1232</v>
      </c>
      <c r="BD87" t="s">
        <v>74</v>
      </c>
      <c r="BE87" t="s">
        <v>1932</v>
      </c>
      <c r="BF87" t="str">
        <f>HYPERLINK("http://dx.doi.org/10.5194/tc-13-1215-2019","http://dx.doi.org/10.5194/tc-13-1215-2019")</f>
        <v>http://dx.doi.org/10.5194/tc-13-1215-2019</v>
      </c>
      <c r="BG87" t="s">
        <v>74</v>
      </c>
      <c r="BH87" t="s">
        <v>74</v>
      </c>
      <c r="BI87">
        <v>18</v>
      </c>
      <c r="BJ87" t="s">
        <v>1142</v>
      </c>
      <c r="BK87" t="s">
        <v>102</v>
      </c>
      <c r="BL87" t="s">
        <v>1143</v>
      </c>
      <c r="BM87" t="s">
        <v>1933</v>
      </c>
      <c r="BN87" t="s">
        <v>74</v>
      </c>
      <c r="BO87" t="s">
        <v>135</v>
      </c>
      <c r="BP87" t="s">
        <v>74</v>
      </c>
      <c r="BQ87" t="s">
        <v>74</v>
      </c>
      <c r="BR87" t="s">
        <v>107</v>
      </c>
      <c r="BS87" t="s">
        <v>1934</v>
      </c>
      <c r="BT87" t="str">
        <f>HYPERLINK("https%3A%2F%2Fwww.webofscience.com%2Fwos%2Fwoscc%2Ffull-record%2FWOS:000464362700002","View Full Record in Web of Science")</f>
        <v>View Full Record in Web of Science</v>
      </c>
    </row>
    <row r="88" spans="1:72" x14ac:dyDescent="0.15">
      <c r="A88" t="s">
        <v>72</v>
      </c>
      <c r="B88" t="s">
        <v>1935</v>
      </c>
      <c r="C88" t="s">
        <v>74</v>
      </c>
      <c r="D88" t="s">
        <v>74</v>
      </c>
      <c r="E88" t="s">
        <v>74</v>
      </c>
      <c r="F88" t="s">
        <v>1936</v>
      </c>
      <c r="G88" t="s">
        <v>74</v>
      </c>
      <c r="H88" t="s">
        <v>74</v>
      </c>
      <c r="I88" t="s">
        <v>1937</v>
      </c>
      <c r="J88" t="s">
        <v>1938</v>
      </c>
      <c r="K88" t="s">
        <v>74</v>
      </c>
      <c r="L88" t="s">
        <v>74</v>
      </c>
      <c r="M88" t="s">
        <v>78</v>
      </c>
      <c r="N88" t="s">
        <v>79</v>
      </c>
      <c r="O88" t="s">
        <v>74</v>
      </c>
      <c r="P88" t="s">
        <v>74</v>
      </c>
      <c r="Q88" t="s">
        <v>74</v>
      </c>
      <c r="R88" t="s">
        <v>74</v>
      </c>
      <c r="S88" t="s">
        <v>74</v>
      </c>
      <c r="T88" t="s">
        <v>74</v>
      </c>
      <c r="U88" t="s">
        <v>1939</v>
      </c>
      <c r="V88" t="s">
        <v>1940</v>
      </c>
      <c r="W88" t="s">
        <v>1941</v>
      </c>
      <c r="X88" t="s">
        <v>1942</v>
      </c>
      <c r="Y88" t="s">
        <v>1943</v>
      </c>
      <c r="Z88" t="s">
        <v>1944</v>
      </c>
      <c r="AA88" t="s">
        <v>1945</v>
      </c>
      <c r="AB88" t="s">
        <v>1946</v>
      </c>
      <c r="AC88" t="s">
        <v>1947</v>
      </c>
      <c r="AD88" t="s">
        <v>1948</v>
      </c>
      <c r="AE88" t="s">
        <v>1949</v>
      </c>
      <c r="AF88" t="s">
        <v>74</v>
      </c>
      <c r="AG88">
        <v>39</v>
      </c>
      <c r="AH88">
        <v>47</v>
      </c>
      <c r="AI88">
        <v>51</v>
      </c>
      <c r="AJ88">
        <v>4</v>
      </c>
      <c r="AK88">
        <v>28</v>
      </c>
      <c r="AL88" t="s">
        <v>328</v>
      </c>
      <c r="AM88" t="s">
        <v>329</v>
      </c>
      <c r="AN88" t="s">
        <v>330</v>
      </c>
      <c r="AO88" t="s">
        <v>1950</v>
      </c>
      <c r="AP88" t="s">
        <v>74</v>
      </c>
      <c r="AQ88" t="s">
        <v>74</v>
      </c>
      <c r="AR88" t="s">
        <v>1951</v>
      </c>
      <c r="AS88" t="s">
        <v>1952</v>
      </c>
      <c r="AT88" t="s">
        <v>1953</v>
      </c>
      <c r="AU88">
        <v>2019</v>
      </c>
      <c r="AV88">
        <v>10</v>
      </c>
      <c r="AW88" t="s">
        <v>74</v>
      </c>
      <c r="AX88" t="s">
        <v>74</v>
      </c>
      <c r="AY88" t="s">
        <v>74</v>
      </c>
      <c r="AZ88" t="s">
        <v>74</v>
      </c>
      <c r="BA88" t="s">
        <v>74</v>
      </c>
      <c r="BB88" t="s">
        <v>74</v>
      </c>
      <c r="BC88" t="s">
        <v>74</v>
      </c>
      <c r="BD88">
        <v>1681</v>
      </c>
      <c r="BE88" t="s">
        <v>1954</v>
      </c>
      <c r="BF88" t="str">
        <f>HYPERLINK("http://dx.doi.org/10.1038/s41467-019-09684-y","http://dx.doi.org/10.1038/s41467-019-09684-y")</f>
        <v>http://dx.doi.org/10.1038/s41467-019-09684-y</v>
      </c>
      <c r="BG88" t="s">
        <v>74</v>
      </c>
      <c r="BH88" t="s">
        <v>74</v>
      </c>
      <c r="BI88">
        <v>9</v>
      </c>
      <c r="BJ88" t="s">
        <v>460</v>
      </c>
      <c r="BK88" t="s">
        <v>102</v>
      </c>
      <c r="BL88" t="s">
        <v>461</v>
      </c>
      <c r="BM88" t="s">
        <v>1955</v>
      </c>
      <c r="BN88">
        <v>30975997</v>
      </c>
      <c r="BO88" t="s">
        <v>832</v>
      </c>
      <c r="BP88" t="s">
        <v>74</v>
      </c>
      <c r="BQ88" t="s">
        <v>74</v>
      </c>
      <c r="BR88" t="s">
        <v>107</v>
      </c>
      <c r="BS88" t="s">
        <v>1956</v>
      </c>
      <c r="BT88" t="str">
        <f>HYPERLINK("https%3A%2F%2Fwww.webofscience.com%2Fwos%2Fwoscc%2Ffull-record%2FWOS:000464093800012","View Full Record in Web of Science")</f>
        <v>View Full Record in Web of Science</v>
      </c>
    </row>
    <row r="89" spans="1:72" x14ac:dyDescent="0.15">
      <c r="A89" t="s">
        <v>72</v>
      </c>
      <c r="B89" t="s">
        <v>1957</v>
      </c>
      <c r="C89" t="s">
        <v>74</v>
      </c>
      <c r="D89" t="s">
        <v>74</v>
      </c>
      <c r="E89" t="s">
        <v>74</v>
      </c>
      <c r="F89" t="s">
        <v>1958</v>
      </c>
      <c r="G89" t="s">
        <v>74</v>
      </c>
      <c r="H89" t="s">
        <v>74</v>
      </c>
      <c r="I89" t="s">
        <v>1959</v>
      </c>
      <c r="J89" t="s">
        <v>1960</v>
      </c>
      <c r="K89" t="s">
        <v>74</v>
      </c>
      <c r="L89" t="s">
        <v>74</v>
      </c>
      <c r="M89" t="s">
        <v>78</v>
      </c>
      <c r="N89" t="s">
        <v>79</v>
      </c>
      <c r="O89" t="s">
        <v>74</v>
      </c>
      <c r="P89" t="s">
        <v>74</v>
      </c>
      <c r="Q89" t="s">
        <v>74</v>
      </c>
      <c r="R89" t="s">
        <v>74</v>
      </c>
      <c r="S89" t="s">
        <v>74</v>
      </c>
      <c r="T89" t="s">
        <v>74</v>
      </c>
      <c r="U89" t="s">
        <v>1961</v>
      </c>
      <c r="V89" t="s">
        <v>1962</v>
      </c>
      <c r="W89" t="s">
        <v>1963</v>
      </c>
      <c r="X89" t="s">
        <v>1964</v>
      </c>
      <c r="Y89" t="s">
        <v>1965</v>
      </c>
      <c r="Z89" t="s">
        <v>1966</v>
      </c>
      <c r="AA89" t="s">
        <v>1967</v>
      </c>
      <c r="AB89" t="s">
        <v>1968</v>
      </c>
      <c r="AC89" t="s">
        <v>74</v>
      </c>
      <c r="AD89" t="s">
        <v>74</v>
      </c>
      <c r="AE89" t="s">
        <v>74</v>
      </c>
      <c r="AF89" t="s">
        <v>74</v>
      </c>
      <c r="AG89">
        <v>106</v>
      </c>
      <c r="AH89">
        <v>48</v>
      </c>
      <c r="AI89">
        <v>53</v>
      </c>
      <c r="AJ89">
        <v>4</v>
      </c>
      <c r="AK89">
        <v>36</v>
      </c>
      <c r="AL89" t="s">
        <v>868</v>
      </c>
      <c r="AM89" t="s">
        <v>869</v>
      </c>
      <c r="AN89" t="s">
        <v>870</v>
      </c>
      <c r="AO89" t="s">
        <v>1969</v>
      </c>
      <c r="AP89" t="s">
        <v>1970</v>
      </c>
      <c r="AQ89" t="s">
        <v>74</v>
      </c>
      <c r="AR89" t="s">
        <v>1971</v>
      </c>
      <c r="AS89" t="s">
        <v>1972</v>
      </c>
      <c r="AT89" t="s">
        <v>1953</v>
      </c>
      <c r="AU89">
        <v>2019</v>
      </c>
      <c r="AV89">
        <v>11</v>
      </c>
      <c r="AW89">
        <v>2</v>
      </c>
      <c r="AX89" t="s">
        <v>74</v>
      </c>
      <c r="AY89" t="s">
        <v>74</v>
      </c>
      <c r="AZ89" t="s">
        <v>74</v>
      </c>
      <c r="BA89" t="s">
        <v>74</v>
      </c>
      <c r="BB89">
        <v>473</v>
      </c>
      <c r="BC89">
        <v>492</v>
      </c>
      <c r="BD89" t="s">
        <v>74</v>
      </c>
      <c r="BE89" t="s">
        <v>1973</v>
      </c>
      <c r="BF89" t="str">
        <f>HYPERLINK("http://dx.doi.org/10.5194/essd-11-473-2019","http://dx.doi.org/10.5194/essd-11-473-2019")</f>
        <v>http://dx.doi.org/10.5194/essd-11-473-2019</v>
      </c>
      <c r="BG89" t="s">
        <v>74</v>
      </c>
      <c r="BH89" t="s">
        <v>74</v>
      </c>
      <c r="BI89">
        <v>20</v>
      </c>
      <c r="BJ89" t="s">
        <v>876</v>
      </c>
      <c r="BK89" t="s">
        <v>102</v>
      </c>
      <c r="BL89" t="s">
        <v>877</v>
      </c>
      <c r="BM89" t="s">
        <v>1974</v>
      </c>
      <c r="BN89" t="s">
        <v>74</v>
      </c>
      <c r="BO89" t="s">
        <v>1975</v>
      </c>
      <c r="BP89" t="s">
        <v>74</v>
      </c>
      <c r="BQ89" t="s">
        <v>74</v>
      </c>
      <c r="BR89" t="s">
        <v>107</v>
      </c>
      <c r="BS89" t="s">
        <v>1976</v>
      </c>
      <c r="BT89" t="str">
        <f>HYPERLINK("https%3A%2F%2Fwww.webofscience.com%2Fwos%2Fwoscc%2Ffull-record%2FWOS:000464164300001","View Full Record in Web of Science")</f>
        <v>View Full Record in Web of Science</v>
      </c>
    </row>
    <row r="90" spans="1:72" x14ac:dyDescent="0.15">
      <c r="A90" t="s">
        <v>72</v>
      </c>
      <c r="B90" t="s">
        <v>1977</v>
      </c>
      <c r="C90" t="s">
        <v>74</v>
      </c>
      <c r="D90" t="s">
        <v>74</v>
      </c>
      <c r="E90" t="s">
        <v>74</v>
      </c>
      <c r="F90" t="s">
        <v>1978</v>
      </c>
      <c r="G90" t="s">
        <v>74</v>
      </c>
      <c r="H90" t="s">
        <v>74</v>
      </c>
      <c r="I90" t="s">
        <v>1979</v>
      </c>
      <c r="J90" t="s">
        <v>808</v>
      </c>
      <c r="K90" t="s">
        <v>74</v>
      </c>
      <c r="L90" t="s">
        <v>74</v>
      </c>
      <c r="M90" t="s">
        <v>78</v>
      </c>
      <c r="N90" t="s">
        <v>79</v>
      </c>
      <c r="O90" t="s">
        <v>74</v>
      </c>
      <c r="P90" t="s">
        <v>74</v>
      </c>
      <c r="Q90" t="s">
        <v>74</v>
      </c>
      <c r="R90" t="s">
        <v>74</v>
      </c>
      <c r="S90" t="s">
        <v>74</v>
      </c>
      <c r="T90" t="s">
        <v>1980</v>
      </c>
      <c r="U90" t="s">
        <v>1981</v>
      </c>
      <c r="V90" t="s">
        <v>1982</v>
      </c>
      <c r="W90" t="s">
        <v>1983</v>
      </c>
      <c r="X90" t="s">
        <v>1984</v>
      </c>
      <c r="Y90" t="s">
        <v>1985</v>
      </c>
      <c r="Z90" t="s">
        <v>1986</v>
      </c>
      <c r="AA90" t="s">
        <v>1987</v>
      </c>
      <c r="AB90" t="s">
        <v>1988</v>
      </c>
      <c r="AC90" t="s">
        <v>1989</v>
      </c>
      <c r="AD90" t="s">
        <v>1990</v>
      </c>
      <c r="AE90" t="s">
        <v>1991</v>
      </c>
      <c r="AF90" t="s">
        <v>74</v>
      </c>
      <c r="AG90">
        <v>162</v>
      </c>
      <c r="AH90">
        <v>36</v>
      </c>
      <c r="AI90">
        <v>37</v>
      </c>
      <c r="AJ90">
        <v>5</v>
      </c>
      <c r="AK90">
        <v>78</v>
      </c>
      <c r="AL90" t="s">
        <v>821</v>
      </c>
      <c r="AM90" t="s">
        <v>822</v>
      </c>
      <c r="AN90" t="s">
        <v>823</v>
      </c>
      <c r="AO90" t="s">
        <v>74</v>
      </c>
      <c r="AP90" t="s">
        <v>824</v>
      </c>
      <c r="AQ90" t="s">
        <v>74</v>
      </c>
      <c r="AR90" t="s">
        <v>825</v>
      </c>
      <c r="AS90" t="s">
        <v>826</v>
      </c>
      <c r="AT90" t="s">
        <v>1992</v>
      </c>
      <c r="AU90">
        <v>2019</v>
      </c>
      <c r="AV90">
        <v>6</v>
      </c>
      <c r="AW90" t="s">
        <v>74</v>
      </c>
      <c r="AX90" t="s">
        <v>74</v>
      </c>
      <c r="AY90" t="s">
        <v>74</v>
      </c>
      <c r="AZ90" t="s">
        <v>74</v>
      </c>
      <c r="BA90" t="s">
        <v>74</v>
      </c>
      <c r="BB90" t="s">
        <v>74</v>
      </c>
      <c r="BC90" t="s">
        <v>74</v>
      </c>
      <c r="BD90">
        <v>179</v>
      </c>
      <c r="BE90" t="s">
        <v>1993</v>
      </c>
      <c r="BF90" t="str">
        <f>HYPERLINK("http://dx.doi.org/10.3389/fmars.2019.00179","http://dx.doi.org/10.3389/fmars.2019.00179")</f>
        <v>http://dx.doi.org/10.3389/fmars.2019.00179</v>
      </c>
      <c r="BG90" t="s">
        <v>74</v>
      </c>
      <c r="BH90" t="s">
        <v>74</v>
      </c>
      <c r="BI90">
        <v>24</v>
      </c>
      <c r="BJ90" t="s">
        <v>829</v>
      </c>
      <c r="BK90" t="s">
        <v>102</v>
      </c>
      <c r="BL90" t="s">
        <v>830</v>
      </c>
      <c r="BM90" t="s">
        <v>1994</v>
      </c>
      <c r="BN90" t="s">
        <v>74</v>
      </c>
      <c r="BO90" t="s">
        <v>463</v>
      </c>
      <c r="BP90" t="s">
        <v>74</v>
      </c>
      <c r="BQ90" t="s">
        <v>74</v>
      </c>
      <c r="BR90" t="s">
        <v>107</v>
      </c>
      <c r="BS90" t="s">
        <v>1995</v>
      </c>
      <c r="BT90" t="str">
        <f>HYPERLINK("https%3A%2F%2Fwww.webofscience.com%2Fwos%2Fwoscc%2Ffull-record%2FWOS:000465443700001","View Full Record in Web of Science")</f>
        <v>View Full Record in Web of Science</v>
      </c>
    </row>
    <row r="91" spans="1:72" x14ac:dyDescent="0.15">
      <c r="A91" t="s">
        <v>72</v>
      </c>
      <c r="B91" t="s">
        <v>1996</v>
      </c>
      <c r="C91" t="s">
        <v>74</v>
      </c>
      <c r="D91" t="s">
        <v>74</v>
      </c>
      <c r="E91" t="s">
        <v>74</v>
      </c>
      <c r="F91" t="s">
        <v>1997</v>
      </c>
      <c r="G91" t="s">
        <v>74</v>
      </c>
      <c r="H91" t="s">
        <v>74</v>
      </c>
      <c r="I91" t="s">
        <v>1998</v>
      </c>
      <c r="J91" t="s">
        <v>1999</v>
      </c>
      <c r="K91" t="s">
        <v>74</v>
      </c>
      <c r="L91" t="s">
        <v>74</v>
      </c>
      <c r="M91" t="s">
        <v>78</v>
      </c>
      <c r="N91" t="s">
        <v>79</v>
      </c>
      <c r="O91" t="s">
        <v>74</v>
      </c>
      <c r="P91" t="s">
        <v>74</v>
      </c>
      <c r="Q91" t="s">
        <v>74</v>
      </c>
      <c r="R91" t="s">
        <v>74</v>
      </c>
      <c r="S91" t="s">
        <v>74</v>
      </c>
      <c r="T91" t="s">
        <v>2000</v>
      </c>
      <c r="U91" t="s">
        <v>2001</v>
      </c>
      <c r="V91" t="s">
        <v>2002</v>
      </c>
      <c r="W91" t="s">
        <v>2003</v>
      </c>
      <c r="X91" t="s">
        <v>2004</v>
      </c>
      <c r="Y91" t="s">
        <v>2005</v>
      </c>
      <c r="Z91" t="s">
        <v>2006</v>
      </c>
      <c r="AA91" t="s">
        <v>74</v>
      </c>
      <c r="AB91" t="s">
        <v>2007</v>
      </c>
      <c r="AC91" t="s">
        <v>2008</v>
      </c>
      <c r="AD91" t="s">
        <v>2009</v>
      </c>
      <c r="AE91" t="s">
        <v>2010</v>
      </c>
      <c r="AF91" t="s">
        <v>74</v>
      </c>
      <c r="AG91">
        <v>30</v>
      </c>
      <c r="AH91">
        <v>13</v>
      </c>
      <c r="AI91">
        <v>13</v>
      </c>
      <c r="AJ91">
        <v>0</v>
      </c>
      <c r="AK91">
        <v>6</v>
      </c>
      <c r="AL91" t="s">
        <v>2011</v>
      </c>
      <c r="AM91" t="s">
        <v>2012</v>
      </c>
      <c r="AN91" t="s">
        <v>2013</v>
      </c>
      <c r="AO91" t="s">
        <v>74</v>
      </c>
      <c r="AP91" t="s">
        <v>2014</v>
      </c>
      <c r="AQ91" t="s">
        <v>74</v>
      </c>
      <c r="AR91" t="s">
        <v>1999</v>
      </c>
      <c r="AS91" t="s">
        <v>2015</v>
      </c>
      <c r="AT91" t="s">
        <v>1992</v>
      </c>
      <c r="AU91">
        <v>2019</v>
      </c>
      <c r="AV91">
        <v>24</v>
      </c>
      <c r="AW91">
        <v>7</v>
      </c>
      <c r="AX91" t="s">
        <v>74</v>
      </c>
      <c r="AY91" t="s">
        <v>74</v>
      </c>
      <c r="AZ91" t="s">
        <v>74</v>
      </c>
      <c r="BA91" t="s">
        <v>74</v>
      </c>
      <c r="BB91" t="s">
        <v>74</v>
      </c>
      <c r="BC91" t="s">
        <v>74</v>
      </c>
      <c r="BD91">
        <v>1414</v>
      </c>
      <c r="BE91" t="s">
        <v>2016</v>
      </c>
      <c r="BF91" t="str">
        <f>HYPERLINK("http://dx.doi.org/10.3390/molecules24071414","http://dx.doi.org/10.3390/molecules24071414")</f>
        <v>http://dx.doi.org/10.3390/molecules24071414</v>
      </c>
      <c r="BG91" t="s">
        <v>74</v>
      </c>
      <c r="BH91" t="s">
        <v>74</v>
      </c>
      <c r="BI91">
        <v>12</v>
      </c>
      <c r="BJ91" t="s">
        <v>2017</v>
      </c>
      <c r="BK91" t="s">
        <v>102</v>
      </c>
      <c r="BL91" t="s">
        <v>2018</v>
      </c>
      <c r="BM91" t="s">
        <v>2019</v>
      </c>
      <c r="BN91">
        <v>30974882</v>
      </c>
      <c r="BO91" t="s">
        <v>2020</v>
      </c>
      <c r="BP91" t="s">
        <v>74</v>
      </c>
      <c r="BQ91" t="s">
        <v>74</v>
      </c>
      <c r="BR91" t="s">
        <v>107</v>
      </c>
      <c r="BS91" t="s">
        <v>2021</v>
      </c>
      <c r="BT91" t="str">
        <f>HYPERLINK("https%3A%2F%2Fwww.webofscience.com%2Fwos%2Fwoscc%2Ffull-record%2FWOS:000464944500016","View Full Record in Web of Science")</f>
        <v>View Full Record in Web of Science</v>
      </c>
    </row>
    <row r="92" spans="1:72" x14ac:dyDescent="0.15">
      <c r="A92" t="s">
        <v>72</v>
      </c>
      <c r="B92" t="s">
        <v>2022</v>
      </c>
      <c r="C92" t="s">
        <v>74</v>
      </c>
      <c r="D92" t="s">
        <v>74</v>
      </c>
      <c r="E92" t="s">
        <v>74</v>
      </c>
      <c r="F92" t="s">
        <v>2023</v>
      </c>
      <c r="G92" t="s">
        <v>74</v>
      </c>
      <c r="H92" t="s">
        <v>74</v>
      </c>
      <c r="I92" t="s">
        <v>2024</v>
      </c>
      <c r="J92" t="s">
        <v>856</v>
      </c>
      <c r="K92" t="s">
        <v>74</v>
      </c>
      <c r="L92" t="s">
        <v>74</v>
      </c>
      <c r="M92" t="s">
        <v>78</v>
      </c>
      <c r="N92" t="s">
        <v>79</v>
      </c>
      <c r="O92" t="s">
        <v>74</v>
      </c>
      <c r="P92" t="s">
        <v>74</v>
      </c>
      <c r="Q92" t="s">
        <v>74</v>
      </c>
      <c r="R92" t="s">
        <v>74</v>
      </c>
      <c r="S92" t="s">
        <v>74</v>
      </c>
      <c r="T92" t="s">
        <v>74</v>
      </c>
      <c r="U92" t="s">
        <v>2025</v>
      </c>
      <c r="V92" t="s">
        <v>2026</v>
      </c>
      <c r="W92" t="s">
        <v>2027</v>
      </c>
      <c r="X92" t="s">
        <v>2028</v>
      </c>
      <c r="Y92" t="s">
        <v>2029</v>
      </c>
      <c r="Z92" t="s">
        <v>2030</v>
      </c>
      <c r="AA92" t="s">
        <v>2031</v>
      </c>
      <c r="AB92" t="s">
        <v>2032</v>
      </c>
      <c r="AC92" t="s">
        <v>2033</v>
      </c>
      <c r="AD92" t="s">
        <v>2034</v>
      </c>
      <c r="AE92" t="s">
        <v>2035</v>
      </c>
      <c r="AF92" t="s">
        <v>74</v>
      </c>
      <c r="AG92">
        <v>102</v>
      </c>
      <c r="AH92">
        <v>33</v>
      </c>
      <c r="AI92">
        <v>33</v>
      </c>
      <c r="AJ92">
        <v>2</v>
      </c>
      <c r="AK92">
        <v>23</v>
      </c>
      <c r="AL92" t="s">
        <v>868</v>
      </c>
      <c r="AM92" t="s">
        <v>869</v>
      </c>
      <c r="AN92" t="s">
        <v>870</v>
      </c>
      <c r="AO92" t="s">
        <v>871</v>
      </c>
      <c r="AP92" t="s">
        <v>872</v>
      </c>
      <c r="AQ92" t="s">
        <v>74</v>
      </c>
      <c r="AR92" t="s">
        <v>873</v>
      </c>
      <c r="AS92" t="s">
        <v>874</v>
      </c>
      <c r="AT92" t="s">
        <v>1992</v>
      </c>
      <c r="AU92">
        <v>2019</v>
      </c>
      <c r="AV92">
        <v>15</v>
      </c>
      <c r="AW92">
        <v>2</v>
      </c>
      <c r="AX92" t="s">
        <v>74</v>
      </c>
      <c r="AY92" t="s">
        <v>74</v>
      </c>
      <c r="AZ92" t="s">
        <v>74</v>
      </c>
      <c r="BA92" t="s">
        <v>74</v>
      </c>
      <c r="BB92">
        <v>751</v>
      </c>
      <c r="BC92">
        <v>779</v>
      </c>
      <c r="BD92" t="s">
        <v>74</v>
      </c>
      <c r="BE92" t="s">
        <v>2036</v>
      </c>
      <c r="BF92" t="str">
        <f>HYPERLINK("http://dx.doi.org/10.5194/cp-15-751-2019","http://dx.doi.org/10.5194/cp-15-751-2019")</f>
        <v>http://dx.doi.org/10.5194/cp-15-751-2019</v>
      </c>
      <c r="BG92" t="s">
        <v>74</v>
      </c>
      <c r="BH92" t="s">
        <v>74</v>
      </c>
      <c r="BI92">
        <v>29</v>
      </c>
      <c r="BJ92" t="s">
        <v>876</v>
      </c>
      <c r="BK92" t="s">
        <v>102</v>
      </c>
      <c r="BL92" t="s">
        <v>877</v>
      </c>
      <c r="BM92" t="s">
        <v>2037</v>
      </c>
      <c r="BN92" t="s">
        <v>74</v>
      </c>
      <c r="BO92" t="s">
        <v>2038</v>
      </c>
      <c r="BP92" t="s">
        <v>74</v>
      </c>
      <c r="BQ92" t="s">
        <v>74</v>
      </c>
      <c r="BR92" t="s">
        <v>107</v>
      </c>
      <c r="BS92" t="s">
        <v>2039</v>
      </c>
      <c r="BT92" t="str">
        <f>HYPERLINK("https%3A%2F%2Fwww.webofscience.com%2Fwos%2Fwoscc%2Ffull-record%2FWOS:000464115700001","View Full Record in Web of Science")</f>
        <v>View Full Record in Web of Science</v>
      </c>
    </row>
    <row r="93" spans="1:72" x14ac:dyDescent="0.15">
      <c r="A93" t="s">
        <v>72</v>
      </c>
      <c r="B93" t="s">
        <v>2040</v>
      </c>
      <c r="C93" t="s">
        <v>74</v>
      </c>
      <c r="D93" t="s">
        <v>74</v>
      </c>
      <c r="E93" t="s">
        <v>74</v>
      </c>
      <c r="F93" t="s">
        <v>2041</v>
      </c>
      <c r="G93" t="s">
        <v>74</v>
      </c>
      <c r="H93" t="s">
        <v>74</v>
      </c>
      <c r="I93" t="s">
        <v>2042</v>
      </c>
      <c r="J93" t="s">
        <v>2043</v>
      </c>
      <c r="K93" t="s">
        <v>74</v>
      </c>
      <c r="L93" t="s">
        <v>74</v>
      </c>
      <c r="M93" t="s">
        <v>78</v>
      </c>
      <c r="N93" t="s">
        <v>469</v>
      </c>
      <c r="O93" t="s">
        <v>74</v>
      </c>
      <c r="P93" t="s">
        <v>74</v>
      </c>
      <c r="Q93" t="s">
        <v>74</v>
      </c>
      <c r="R93" t="s">
        <v>74</v>
      </c>
      <c r="S93" t="s">
        <v>74</v>
      </c>
      <c r="T93" t="s">
        <v>2044</v>
      </c>
      <c r="U93" t="s">
        <v>2045</v>
      </c>
      <c r="V93" t="s">
        <v>2046</v>
      </c>
      <c r="W93" t="s">
        <v>2047</v>
      </c>
      <c r="X93" t="s">
        <v>2048</v>
      </c>
      <c r="Y93" t="s">
        <v>2049</v>
      </c>
      <c r="Z93" t="s">
        <v>2050</v>
      </c>
      <c r="AA93" t="s">
        <v>2051</v>
      </c>
      <c r="AB93" t="s">
        <v>2052</v>
      </c>
      <c r="AC93" t="s">
        <v>2053</v>
      </c>
      <c r="AD93" t="s">
        <v>2053</v>
      </c>
      <c r="AE93" t="s">
        <v>2054</v>
      </c>
      <c r="AF93" t="s">
        <v>74</v>
      </c>
      <c r="AG93">
        <v>109</v>
      </c>
      <c r="AH93">
        <v>16</v>
      </c>
      <c r="AI93">
        <v>16</v>
      </c>
      <c r="AJ93">
        <v>1</v>
      </c>
      <c r="AK93">
        <v>11</v>
      </c>
      <c r="AL93" t="s">
        <v>2055</v>
      </c>
      <c r="AM93" t="s">
        <v>2056</v>
      </c>
      <c r="AN93" t="s">
        <v>2057</v>
      </c>
      <c r="AO93" t="s">
        <v>2058</v>
      </c>
      <c r="AP93" t="s">
        <v>2059</v>
      </c>
      <c r="AQ93" t="s">
        <v>74</v>
      </c>
      <c r="AR93" t="s">
        <v>2060</v>
      </c>
      <c r="AS93" t="s">
        <v>2061</v>
      </c>
      <c r="AT93" t="s">
        <v>2062</v>
      </c>
      <c r="AU93">
        <v>2019</v>
      </c>
      <c r="AV93">
        <v>62</v>
      </c>
      <c r="AW93">
        <v>3</v>
      </c>
      <c r="AX93" t="s">
        <v>74</v>
      </c>
      <c r="AY93" t="s">
        <v>74</v>
      </c>
      <c r="AZ93" t="s">
        <v>74</v>
      </c>
      <c r="BA93" t="s">
        <v>74</v>
      </c>
      <c r="BB93">
        <v>291</v>
      </c>
      <c r="BC93">
        <v>317</v>
      </c>
      <c r="BD93" t="s">
        <v>74</v>
      </c>
      <c r="BE93" t="s">
        <v>2063</v>
      </c>
      <c r="BF93" t="str">
        <f>HYPERLINK("http://dx.doi.org/10.1080/00288306.2019.1600557","http://dx.doi.org/10.1080/00288306.2019.1600557")</f>
        <v>http://dx.doi.org/10.1080/00288306.2019.1600557</v>
      </c>
      <c r="BG93" t="s">
        <v>74</v>
      </c>
      <c r="BH93" t="s">
        <v>2064</v>
      </c>
      <c r="BI93">
        <v>27</v>
      </c>
      <c r="BJ93" t="s">
        <v>2065</v>
      </c>
      <c r="BK93" t="s">
        <v>102</v>
      </c>
      <c r="BL93" t="s">
        <v>923</v>
      </c>
      <c r="BM93" t="s">
        <v>2066</v>
      </c>
      <c r="BN93" t="s">
        <v>74</v>
      </c>
      <c r="BO93" t="s">
        <v>74</v>
      </c>
      <c r="BP93" t="s">
        <v>74</v>
      </c>
      <c r="BQ93" t="s">
        <v>74</v>
      </c>
      <c r="BR93" t="s">
        <v>107</v>
      </c>
      <c r="BS93" t="s">
        <v>2067</v>
      </c>
      <c r="BT93" t="str">
        <f>HYPERLINK("https%3A%2F%2Fwww.webofscience.com%2Fwos%2Fwoscc%2Ffull-record%2FWOS:000470617100001","View Full Record in Web of Science")</f>
        <v>View Full Record in Web of Science</v>
      </c>
    </row>
    <row r="94" spans="1:72" x14ac:dyDescent="0.15">
      <c r="A94" t="s">
        <v>72</v>
      </c>
      <c r="B94" t="s">
        <v>2068</v>
      </c>
      <c r="C94" t="s">
        <v>74</v>
      </c>
      <c r="D94" t="s">
        <v>74</v>
      </c>
      <c r="E94" t="s">
        <v>74</v>
      </c>
      <c r="F94" t="s">
        <v>2069</v>
      </c>
      <c r="G94" t="s">
        <v>74</v>
      </c>
      <c r="H94" t="s">
        <v>74</v>
      </c>
      <c r="I94" t="s">
        <v>2070</v>
      </c>
      <c r="J94" t="s">
        <v>1999</v>
      </c>
      <c r="K94" t="s">
        <v>74</v>
      </c>
      <c r="L94" t="s">
        <v>74</v>
      </c>
      <c r="M94" t="s">
        <v>78</v>
      </c>
      <c r="N94" t="s">
        <v>469</v>
      </c>
      <c r="O94" t="s">
        <v>74</v>
      </c>
      <c r="P94" t="s">
        <v>74</v>
      </c>
      <c r="Q94" t="s">
        <v>74</v>
      </c>
      <c r="R94" t="s">
        <v>74</v>
      </c>
      <c r="S94" t="s">
        <v>74</v>
      </c>
      <c r="T94" t="s">
        <v>2071</v>
      </c>
      <c r="U94" t="s">
        <v>2072</v>
      </c>
      <c r="V94" t="s">
        <v>2073</v>
      </c>
      <c r="W94" t="s">
        <v>2074</v>
      </c>
      <c r="X94" t="s">
        <v>2075</v>
      </c>
      <c r="Y94" t="s">
        <v>2076</v>
      </c>
      <c r="Z94" t="s">
        <v>2077</v>
      </c>
      <c r="AA94" t="s">
        <v>2078</v>
      </c>
      <c r="AB94" t="s">
        <v>2079</v>
      </c>
      <c r="AC94" t="s">
        <v>74</v>
      </c>
      <c r="AD94" t="s">
        <v>74</v>
      </c>
      <c r="AE94" t="s">
        <v>74</v>
      </c>
      <c r="AF94" t="s">
        <v>74</v>
      </c>
      <c r="AG94">
        <v>80</v>
      </c>
      <c r="AH94">
        <v>11</v>
      </c>
      <c r="AI94">
        <v>13</v>
      </c>
      <c r="AJ94">
        <v>1</v>
      </c>
      <c r="AK94">
        <v>12</v>
      </c>
      <c r="AL94" t="s">
        <v>2011</v>
      </c>
      <c r="AM94" t="s">
        <v>2012</v>
      </c>
      <c r="AN94" t="s">
        <v>2013</v>
      </c>
      <c r="AO94" t="s">
        <v>2014</v>
      </c>
      <c r="AP94" t="s">
        <v>74</v>
      </c>
      <c r="AQ94" t="s">
        <v>74</v>
      </c>
      <c r="AR94" t="s">
        <v>1999</v>
      </c>
      <c r="AS94" t="s">
        <v>2015</v>
      </c>
      <c r="AT94" t="s">
        <v>2080</v>
      </c>
      <c r="AU94">
        <v>2019</v>
      </c>
      <c r="AV94">
        <v>24</v>
      </c>
      <c r="AW94">
        <v>7</v>
      </c>
      <c r="AX94" t="s">
        <v>74</v>
      </c>
      <c r="AY94" t="s">
        <v>74</v>
      </c>
      <c r="AZ94" t="s">
        <v>74</v>
      </c>
      <c r="BA94" t="s">
        <v>74</v>
      </c>
      <c r="BB94" t="s">
        <v>74</v>
      </c>
      <c r="BC94" t="s">
        <v>74</v>
      </c>
      <c r="BD94">
        <v>1370</v>
      </c>
      <c r="BE94" t="s">
        <v>2081</v>
      </c>
      <c r="BF94" t="str">
        <f>HYPERLINK("http://dx.doi.org/10.3390/molecules24071370","http://dx.doi.org/10.3390/molecules24071370")</f>
        <v>http://dx.doi.org/10.3390/molecules24071370</v>
      </c>
      <c r="BG94" t="s">
        <v>74</v>
      </c>
      <c r="BH94" t="s">
        <v>74</v>
      </c>
      <c r="BI94">
        <v>20</v>
      </c>
      <c r="BJ94" t="s">
        <v>2017</v>
      </c>
      <c r="BK94" t="s">
        <v>102</v>
      </c>
      <c r="BL94" t="s">
        <v>2018</v>
      </c>
      <c r="BM94" t="s">
        <v>2082</v>
      </c>
      <c r="BN94">
        <v>30965598</v>
      </c>
      <c r="BO94" t="s">
        <v>2020</v>
      </c>
      <c r="BP94" t="s">
        <v>74</v>
      </c>
      <c r="BQ94" t="s">
        <v>74</v>
      </c>
      <c r="BR94" t="s">
        <v>107</v>
      </c>
      <c r="BS94" t="s">
        <v>2083</v>
      </c>
      <c r="BT94" t="str">
        <f>HYPERLINK("https%3A%2F%2Fwww.webofscience.com%2Fwos%2Fwoscc%2Ffull-record%2FWOS:000464958400006","View Full Record in Web of Science")</f>
        <v>View Full Record in Web of Science</v>
      </c>
    </row>
    <row r="95" spans="1:72" x14ac:dyDescent="0.15">
      <c r="A95" t="s">
        <v>72</v>
      </c>
      <c r="B95" t="s">
        <v>2084</v>
      </c>
      <c r="C95" t="s">
        <v>74</v>
      </c>
      <c r="D95" t="s">
        <v>74</v>
      </c>
      <c r="E95" t="s">
        <v>74</v>
      </c>
      <c r="F95" t="s">
        <v>2085</v>
      </c>
      <c r="G95" t="s">
        <v>74</v>
      </c>
      <c r="H95" t="s">
        <v>74</v>
      </c>
      <c r="I95" t="s">
        <v>2086</v>
      </c>
      <c r="J95" t="s">
        <v>1042</v>
      </c>
      <c r="K95" t="s">
        <v>74</v>
      </c>
      <c r="L95" t="s">
        <v>74</v>
      </c>
      <c r="M95" t="s">
        <v>78</v>
      </c>
      <c r="N95" t="s">
        <v>79</v>
      </c>
      <c r="O95" t="s">
        <v>74</v>
      </c>
      <c r="P95" t="s">
        <v>74</v>
      </c>
      <c r="Q95" t="s">
        <v>74</v>
      </c>
      <c r="R95" t="s">
        <v>74</v>
      </c>
      <c r="S95" t="s">
        <v>74</v>
      </c>
      <c r="T95" t="s">
        <v>74</v>
      </c>
      <c r="U95" t="s">
        <v>2087</v>
      </c>
      <c r="V95" t="s">
        <v>2088</v>
      </c>
      <c r="W95" t="s">
        <v>2089</v>
      </c>
      <c r="X95" t="s">
        <v>2090</v>
      </c>
      <c r="Y95" t="s">
        <v>2091</v>
      </c>
      <c r="Z95" t="s">
        <v>2092</v>
      </c>
      <c r="AA95" t="s">
        <v>74</v>
      </c>
      <c r="AB95" t="s">
        <v>2093</v>
      </c>
      <c r="AC95" t="s">
        <v>2094</v>
      </c>
      <c r="AD95" t="s">
        <v>2094</v>
      </c>
      <c r="AE95" t="s">
        <v>2095</v>
      </c>
      <c r="AF95" t="s">
        <v>74</v>
      </c>
      <c r="AG95">
        <v>77</v>
      </c>
      <c r="AH95">
        <v>39</v>
      </c>
      <c r="AI95">
        <v>39</v>
      </c>
      <c r="AJ95">
        <v>0</v>
      </c>
      <c r="AK95">
        <v>4</v>
      </c>
      <c r="AL95" t="s">
        <v>868</v>
      </c>
      <c r="AM95" t="s">
        <v>869</v>
      </c>
      <c r="AN95" t="s">
        <v>870</v>
      </c>
      <c r="AO95" t="s">
        <v>1054</v>
      </c>
      <c r="AP95" t="s">
        <v>1055</v>
      </c>
      <c r="AQ95" t="s">
        <v>74</v>
      </c>
      <c r="AR95" t="s">
        <v>1056</v>
      </c>
      <c r="AS95" t="s">
        <v>1057</v>
      </c>
      <c r="AT95" t="s">
        <v>2080</v>
      </c>
      <c r="AU95">
        <v>2019</v>
      </c>
      <c r="AV95">
        <v>19</v>
      </c>
      <c r="AW95">
        <v>7</v>
      </c>
      <c r="AX95" t="s">
        <v>74</v>
      </c>
      <c r="AY95" t="s">
        <v>74</v>
      </c>
      <c r="AZ95" t="s">
        <v>74</v>
      </c>
      <c r="BA95" t="s">
        <v>74</v>
      </c>
      <c r="BB95">
        <v>4659</v>
      </c>
      <c r="BC95">
        <v>4683</v>
      </c>
      <c r="BD95" t="s">
        <v>74</v>
      </c>
      <c r="BE95" t="s">
        <v>2096</v>
      </c>
      <c r="BF95" t="str">
        <f>HYPERLINK("http://dx.doi.org/10.5194/acp-19-4659-2019","http://dx.doi.org/10.5194/acp-19-4659-2019")</f>
        <v>http://dx.doi.org/10.5194/acp-19-4659-2019</v>
      </c>
      <c r="BG95" t="s">
        <v>74</v>
      </c>
      <c r="BH95" t="s">
        <v>74</v>
      </c>
      <c r="BI95">
        <v>25</v>
      </c>
      <c r="BJ95" t="s">
        <v>1060</v>
      </c>
      <c r="BK95" t="s">
        <v>102</v>
      </c>
      <c r="BL95" t="s">
        <v>338</v>
      </c>
      <c r="BM95" t="s">
        <v>2097</v>
      </c>
      <c r="BN95" t="s">
        <v>74</v>
      </c>
      <c r="BO95" t="s">
        <v>135</v>
      </c>
      <c r="BP95" t="s">
        <v>74</v>
      </c>
      <c r="BQ95" t="s">
        <v>74</v>
      </c>
      <c r="BR95" t="s">
        <v>107</v>
      </c>
      <c r="BS95" t="s">
        <v>2098</v>
      </c>
      <c r="BT95" t="str">
        <f>HYPERLINK("https%3A%2F%2Fwww.webofscience.com%2Fwos%2Fwoscc%2Ffull-record%2FWOS:000463861600005","View Full Record in Web of Science")</f>
        <v>View Full Record in Web of Science</v>
      </c>
    </row>
    <row r="96" spans="1:72" x14ac:dyDescent="0.15">
      <c r="A96" t="s">
        <v>72</v>
      </c>
      <c r="B96" t="s">
        <v>2099</v>
      </c>
      <c r="C96" t="s">
        <v>74</v>
      </c>
      <c r="D96" t="s">
        <v>74</v>
      </c>
      <c r="E96" t="s">
        <v>74</v>
      </c>
      <c r="F96" t="s">
        <v>2100</v>
      </c>
      <c r="G96" t="s">
        <v>74</v>
      </c>
      <c r="H96" t="s">
        <v>74</v>
      </c>
      <c r="I96" t="s">
        <v>2101</v>
      </c>
      <c r="J96" t="s">
        <v>2102</v>
      </c>
      <c r="K96" t="s">
        <v>74</v>
      </c>
      <c r="L96" t="s">
        <v>74</v>
      </c>
      <c r="M96" t="s">
        <v>78</v>
      </c>
      <c r="N96" t="s">
        <v>79</v>
      </c>
      <c r="O96" t="s">
        <v>74</v>
      </c>
      <c r="P96" t="s">
        <v>74</v>
      </c>
      <c r="Q96" t="s">
        <v>74</v>
      </c>
      <c r="R96" t="s">
        <v>74</v>
      </c>
      <c r="S96" t="s">
        <v>74</v>
      </c>
      <c r="T96" t="s">
        <v>2103</v>
      </c>
      <c r="U96" t="s">
        <v>2104</v>
      </c>
      <c r="V96" t="s">
        <v>2105</v>
      </c>
      <c r="W96" t="s">
        <v>2106</v>
      </c>
      <c r="X96" t="s">
        <v>2107</v>
      </c>
      <c r="Y96" t="s">
        <v>2108</v>
      </c>
      <c r="Z96" t="s">
        <v>2109</v>
      </c>
      <c r="AA96" t="s">
        <v>2110</v>
      </c>
      <c r="AB96" t="s">
        <v>2111</v>
      </c>
      <c r="AC96" t="s">
        <v>2112</v>
      </c>
      <c r="AD96" t="s">
        <v>2113</v>
      </c>
      <c r="AE96" t="s">
        <v>2114</v>
      </c>
      <c r="AF96" t="s">
        <v>74</v>
      </c>
      <c r="AG96">
        <v>41</v>
      </c>
      <c r="AH96">
        <v>10</v>
      </c>
      <c r="AI96">
        <v>15</v>
      </c>
      <c r="AJ96">
        <v>1</v>
      </c>
      <c r="AK96">
        <v>19</v>
      </c>
      <c r="AL96" t="s">
        <v>2115</v>
      </c>
      <c r="AM96" t="s">
        <v>2116</v>
      </c>
      <c r="AN96" t="s">
        <v>2117</v>
      </c>
      <c r="AO96" t="s">
        <v>2118</v>
      </c>
      <c r="AP96" t="s">
        <v>2119</v>
      </c>
      <c r="AQ96" t="s">
        <v>74</v>
      </c>
      <c r="AR96" t="s">
        <v>2102</v>
      </c>
      <c r="AS96" t="s">
        <v>2120</v>
      </c>
      <c r="AT96" t="s">
        <v>2121</v>
      </c>
      <c r="AU96">
        <v>2019</v>
      </c>
      <c r="AV96">
        <v>19</v>
      </c>
      <c r="AW96">
        <v>6</v>
      </c>
      <c r="AX96" t="s">
        <v>74</v>
      </c>
      <c r="AY96" t="s">
        <v>74</v>
      </c>
      <c r="AZ96" t="s">
        <v>74</v>
      </c>
      <c r="BA96" t="s">
        <v>74</v>
      </c>
      <c r="BB96">
        <v>757</v>
      </c>
      <c r="BC96">
        <v>770</v>
      </c>
      <c r="BD96" t="s">
        <v>74</v>
      </c>
      <c r="BE96" t="s">
        <v>2122</v>
      </c>
      <c r="BF96" t="str">
        <f>HYPERLINK("http://dx.doi.org/10.1089/ast.2018.1884","http://dx.doi.org/10.1089/ast.2018.1884")</f>
        <v>http://dx.doi.org/10.1089/ast.2018.1884</v>
      </c>
      <c r="BG96" t="s">
        <v>74</v>
      </c>
      <c r="BH96" t="s">
        <v>2064</v>
      </c>
      <c r="BI96">
        <v>14</v>
      </c>
      <c r="BJ96" t="s">
        <v>2123</v>
      </c>
      <c r="BK96" t="s">
        <v>102</v>
      </c>
      <c r="BL96" t="s">
        <v>2124</v>
      </c>
      <c r="BM96" t="s">
        <v>2125</v>
      </c>
      <c r="BN96">
        <v>30958705</v>
      </c>
      <c r="BO96" t="s">
        <v>279</v>
      </c>
      <c r="BP96" t="s">
        <v>74</v>
      </c>
      <c r="BQ96" t="s">
        <v>74</v>
      </c>
      <c r="BR96" t="s">
        <v>107</v>
      </c>
      <c r="BS96" t="s">
        <v>2126</v>
      </c>
      <c r="BT96" t="str">
        <f>HYPERLINK("https%3A%2F%2Fwww.webofscience.com%2Fwos%2Fwoscc%2Ffull-record%2FWOS:000463769700001","View Full Record in Web of Science")</f>
        <v>View Full Record in Web of Science</v>
      </c>
    </row>
    <row r="97" spans="1:72" x14ac:dyDescent="0.15">
      <c r="A97" t="s">
        <v>72</v>
      </c>
      <c r="B97" t="s">
        <v>2127</v>
      </c>
      <c r="C97" t="s">
        <v>74</v>
      </c>
      <c r="D97" t="s">
        <v>74</v>
      </c>
      <c r="E97" t="s">
        <v>74</v>
      </c>
      <c r="F97" t="s">
        <v>2128</v>
      </c>
      <c r="G97" t="s">
        <v>74</v>
      </c>
      <c r="H97" t="s">
        <v>74</v>
      </c>
      <c r="I97" t="s">
        <v>2129</v>
      </c>
      <c r="J97" t="s">
        <v>2130</v>
      </c>
      <c r="K97" t="s">
        <v>74</v>
      </c>
      <c r="L97" t="s">
        <v>74</v>
      </c>
      <c r="M97" t="s">
        <v>78</v>
      </c>
      <c r="N97" t="s">
        <v>79</v>
      </c>
      <c r="O97" t="s">
        <v>74</v>
      </c>
      <c r="P97" t="s">
        <v>74</v>
      </c>
      <c r="Q97" t="s">
        <v>74</v>
      </c>
      <c r="R97" t="s">
        <v>74</v>
      </c>
      <c r="S97" t="s">
        <v>74</v>
      </c>
      <c r="T97" t="s">
        <v>2131</v>
      </c>
      <c r="U97" t="s">
        <v>2132</v>
      </c>
      <c r="V97" t="s">
        <v>2133</v>
      </c>
      <c r="W97" t="s">
        <v>2134</v>
      </c>
      <c r="X97" t="s">
        <v>2135</v>
      </c>
      <c r="Y97" t="s">
        <v>2136</v>
      </c>
      <c r="Z97" t="s">
        <v>2137</v>
      </c>
      <c r="AA97" t="s">
        <v>2138</v>
      </c>
      <c r="AB97" t="s">
        <v>2139</v>
      </c>
      <c r="AC97" t="s">
        <v>2140</v>
      </c>
      <c r="AD97" t="s">
        <v>2141</v>
      </c>
      <c r="AE97" t="s">
        <v>2142</v>
      </c>
      <c r="AF97" t="s">
        <v>74</v>
      </c>
      <c r="AG97">
        <v>69</v>
      </c>
      <c r="AH97">
        <v>7</v>
      </c>
      <c r="AI97">
        <v>7</v>
      </c>
      <c r="AJ97">
        <v>1</v>
      </c>
      <c r="AK97">
        <v>17</v>
      </c>
      <c r="AL97" t="s">
        <v>576</v>
      </c>
      <c r="AM97" t="s">
        <v>607</v>
      </c>
      <c r="AN97" t="s">
        <v>2143</v>
      </c>
      <c r="AO97" t="s">
        <v>2144</v>
      </c>
      <c r="AP97" t="s">
        <v>74</v>
      </c>
      <c r="AQ97" t="s">
        <v>74</v>
      </c>
      <c r="AR97" t="s">
        <v>2145</v>
      </c>
      <c r="AS97" t="s">
        <v>2146</v>
      </c>
      <c r="AT97" t="s">
        <v>2147</v>
      </c>
      <c r="AU97">
        <v>2019</v>
      </c>
      <c r="AV97">
        <v>6</v>
      </c>
      <c r="AW97" t="s">
        <v>74</v>
      </c>
      <c r="AX97" t="s">
        <v>74</v>
      </c>
      <c r="AY97" t="s">
        <v>74</v>
      </c>
      <c r="AZ97" t="s">
        <v>74</v>
      </c>
      <c r="BA97" t="s">
        <v>74</v>
      </c>
      <c r="BB97" t="s">
        <v>74</v>
      </c>
      <c r="BC97" t="s">
        <v>74</v>
      </c>
      <c r="BD97">
        <v>34</v>
      </c>
      <c r="BE97" t="s">
        <v>2148</v>
      </c>
      <c r="BF97" t="str">
        <f>HYPERLINK("http://dx.doi.org/10.1186/s40645-019-0277-y","http://dx.doi.org/10.1186/s40645-019-0277-y")</f>
        <v>http://dx.doi.org/10.1186/s40645-019-0277-y</v>
      </c>
      <c r="BG97" t="s">
        <v>74</v>
      </c>
      <c r="BH97" t="s">
        <v>74</v>
      </c>
      <c r="BI97">
        <v>16</v>
      </c>
      <c r="BJ97" t="s">
        <v>922</v>
      </c>
      <c r="BK97" t="s">
        <v>102</v>
      </c>
      <c r="BL97" t="s">
        <v>923</v>
      </c>
      <c r="BM97" t="s">
        <v>2149</v>
      </c>
      <c r="BN97" t="s">
        <v>74</v>
      </c>
      <c r="BO97" t="s">
        <v>851</v>
      </c>
      <c r="BP97" t="s">
        <v>74</v>
      </c>
      <c r="BQ97" t="s">
        <v>74</v>
      </c>
      <c r="BR97" t="s">
        <v>107</v>
      </c>
      <c r="BS97" t="s">
        <v>2150</v>
      </c>
      <c r="BT97" t="str">
        <f>HYPERLINK("https%3A%2F%2Fwww.webofscience.com%2Fwos%2Fwoscc%2Ffull-record%2FWOS:000463788500001","View Full Record in Web of Science")</f>
        <v>View Full Record in Web of Science</v>
      </c>
    </row>
    <row r="98" spans="1:72" x14ac:dyDescent="0.15">
      <c r="A98" t="s">
        <v>72</v>
      </c>
      <c r="B98" t="s">
        <v>2151</v>
      </c>
      <c r="C98" t="s">
        <v>74</v>
      </c>
      <c r="D98" t="s">
        <v>74</v>
      </c>
      <c r="E98" t="s">
        <v>74</v>
      </c>
      <c r="F98" t="s">
        <v>2152</v>
      </c>
      <c r="G98" t="s">
        <v>74</v>
      </c>
      <c r="H98" t="s">
        <v>74</v>
      </c>
      <c r="I98" t="s">
        <v>2153</v>
      </c>
      <c r="J98" t="s">
        <v>856</v>
      </c>
      <c r="K98" t="s">
        <v>74</v>
      </c>
      <c r="L98" t="s">
        <v>74</v>
      </c>
      <c r="M98" t="s">
        <v>78</v>
      </c>
      <c r="N98" t="s">
        <v>79</v>
      </c>
      <c r="O98" t="s">
        <v>74</v>
      </c>
      <c r="P98" t="s">
        <v>74</v>
      </c>
      <c r="Q98" t="s">
        <v>74</v>
      </c>
      <c r="R98" t="s">
        <v>74</v>
      </c>
      <c r="S98" t="s">
        <v>74</v>
      </c>
      <c r="T98" t="s">
        <v>74</v>
      </c>
      <c r="U98" t="s">
        <v>2154</v>
      </c>
      <c r="V98" t="s">
        <v>2155</v>
      </c>
      <c r="W98" t="s">
        <v>2156</v>
      </c>
      <c r="X98" t="s">
        <v>2157</v>
      </c>
      <c r="Y98" t="s">
        <v>2158</v>
      </c>
      <c r="Z98" t="s">
        <v>2159</v>
      </c>
      <c r="AA98" t="s">
        <v>2160</v>
      </c>
      <c r="AB98" t="s">
        <v>2161</v>
      </c>
      <c r="AC98" t="s">
        <v>2162</v>
      </c>
      <c r="AD98" t="s">
        <v>2163</v>
      </c>
      <c r="AE98" t="s">
        <v>2164</v>
      </c>
      <c r="AF98" t="s">
        <v>74</v>
      </c>
      <c r="AG98">
        <v>60</v>
      </c>
      <c r="AH98">
        <v>21</v>
      </c>
      <c r="AI98">
        <v>21</v>
      </c>
      <c r="AJ98">
        <v>1</v>
      </c>
      <c r="AK98">
        <v>19</v>
      </c>
      <c r="AL98" t="s">
        <v>868</v>
      </c>
      <c r="AM98" t="s">
        <v>869</v>
      </c>
      <c r="AN98" t="s">
        <v>870</v>
      </c>
      <c r="AO98" t="s">
        <v>871</v>
      </c>
      <c r="AP98" t="s">
        <v>872</v>
      </c>
      <c r="AQ98" t="s">
        <v>74</v>
      </c>
      <c r="AR98" t="s">
        <v>873</v>
      </c>
      <c r="AS98" t="s">
        <v>874</v>
      </c>
      <c r="AT98" t="s">
        <v>2147</v>
      </c>
      <c r="AU98">
        <v>2019</v>
      </c>
      <c r="AV98">
        <v>15</v>
      </c>
      <c r="AW98">
        <v>2</v>
      </c>
      <c r="AX98" t="s">
        <v>74</v>
      </c>
      <c r="AY98" t="s">
        <v>74</v>
      </c>
      <c r="AZ98" t="s">
        <v>74</v>
      </c>
      <c r="BA98" t="s">
        <v>74</v>
      </c>
      <c r="BB98">
        <v>661</v>
      </c>
      <c r="BC98">
        <v>684</v>
      </c>
      <c r="BD98" t="s">
        <v>74</v>
      </c>
      <c r="BE98" t="s">
        <v>2165</v>
      </c>
      <c r="BF98" t="str">
        <f>HYPERLINK("http://dx.doi.org/10.5194/cp-15-661-2019","http://dx.doi.org/10.5194/cp-15-661-2019")</f>
        <v>http://dx.doi.org/10.5194/cp-15-661-2019</v>
      </c>
      <c r="BG98" t="s">
        <v>74</v>
      </c>
      <c r="BH98" t="s">
        <v>74</v>
      </c>
      <c r="BI98">
        <v>24</v>
      </c>
      <c r="BJ98" t="s">
        <v>876</v>
      </c>
      <c r="BK98" t="s">
        <v>102</v>
      </c>
      <c r="BL98" t="s">
        <v>877</v>
      </c>
      <c r="BM98" t="s">
        <v>2166</v>
      </c>
      <c r="BN98" t="s">
        <v>74</v>
      </c>
      <c r="BO98" t="s">
        <v>879</v>
      </c>
      <c r="BP98" t="s">
        <v>74</v>
      </c>
      <c r="BQ98" t="s">
        <v>74</v>
      </c>
      <c r="BR98" t="s">
        <v>107</v>
      </c>
      <c r="BS98" t="s">
        <v>2167</v>
      </c>
      <c r="BT98" t="str">
        <f>HYPERLINK("https%3A%2F%2Fwww.webofscience.com%2Fwos%2Fwoscc%2Ffull-record%2FWOS:000463512600001","View Full Record in Web of Science")</f>
        <v>View Full Record in Web of Science</v>
      </c>
    </row>
    <row r="99" spans="1:72" x14ac:dyDescent="0.15">
      <c r="A99" t="s">
        <v>72</v>
      </c>
      <c r="B99" t="s">
        <v>2168</v>
      </c>
      <c r="C99" t="s">
        <v>74</v>
      </c>
      <c r="D99" t="s">
        <v>74</v>
      </c>
      <c r="E99" t="s">
        <v>74</v>
      </c>
      <c r="F99" t="s">
        <v>2169</v>
      </c>
      <c r="G99" t="s">
        <v>74</v>
      </c>
      <c r="H99" t="s">
        <v>74</v>
      </c>
      <c r="I99" t="s">
        <v>2170</v>
      </c>
      <c r="J99" t="s">
        <v>808</v>
      </c>
      <c r="K99" t="s">
        <v>74</v>
      </c>
      <c r="L99" t="s">
        <v>74</v>
      </c>
      <c r="M99" t="s">
        <v>78</v>
      </c>
      <c r="N99" t="s">
        <v>79</v>
      </c>
      <c r="O99" t="s">
        <v>74</v>
      </c>
      <c r="P99" t="s">
        <v>74</v>
      </c>
      <c r="Q99" t="s">
        <v>74</v>
      </c>
      <c r="R99" t="s">
        <v>74</v>
      </c>
      <c r="S99" t="s">
        <v>74</v>
      </c>
      <c r="T99" t="s">
        <v>2171</v>
      </c>
      <c r="U99" t="s">
        <v>2172</v>
      </c>
      <c r="V99" t="s">
        <v>2173</v>
      </c>
      <c r="W99" t="s">
        <v>2174</v>
      </c>
      <c r="X99" t="s">
        <v>2175</v>
      </c>
      <c r="Y99" t="s">
        <v>2176</v>
      </c>
      <c r="Z99" t="s">
        <v>2177</v>
      </c>
      <c r="AA99" t="s">
        <v>2178</v>
      </c>
      <c r="AB99" t="s">
        <v>2179</v>
      </c>
      <c r="AC99" t="s">
        <v>2180</v>
      </c>
      <c r="AD99" t="s">
        <v>2181</v>
      </c>
      <c r="AE99" t="s">
        <v>2182</v>
      </c>
      <c r="AF99" t="s">
        <v>74</v>
      </c>
      <c r="AG99">
        <v>33</v>
      </c>
      <c r="AH99">
        <v>11</v>
      </c>
      <c r="AI99">
        <v>11</v>
      </c>
      <c r="AJ99">
        <v>0</v>
      </c>
      <c r="AK99">
        <v>11</v>
      </c>
      <c r="AL99" t="s">
        <v>821</v>
      </c>
      <c r="AM99" t="s">
        <v>822</v>
      </c>
      <c r="AN99" t="s">
        <v>823</v>
      </c>
      <c r="AO99" t="s">
        <v>74</v>
      </c>
      <c r="AP99" t="s">
        <v>824</v>
      </c>
      <c r="AQ99" t="s">
        <v>74</v>
      </c>
      <c r="AR99" t="s">
        <v>825</v>
      </c>
      <c r="AS99" t="s">
        <v>826</v>
      </c>
      <c r="AT99" t="s">
        <v>2147</v>
      </c>
      <c r="AU99">
        <v>2019</v>
      </c>
      <c r="AV99">
        <v>6</v>
      </c>
      <c r="AW99" t="s">
        <v>74</v>
      </c>
      <c r="AX99" t="s">
        <v>74</v>
      </c>
      <c r="AY99" t="s">
        <v>74</v>
      </c>
      <c r="AZ99" t="s">
        <v>74</v>
      </c>
      <c r="BA99" t="s">
        <v>74</v>
      </c>
      <c r="BB99" t="s">
        <v>74</v>
      </c>
      <c r="BC99" t="s">
        <v>74</v>
      </c>
      <c r="BD99">
        <v>177</v>
      </c>
      <c r="BE99" t="s">
        <v>2183</v>
      </c>
      <c r="BF99" t="str">
        <f>HYPERLINK("http://dx.doi.org/10.3389/fmars.2019.00177","http://dx.doi.org/10.3389/fmars.2019.00177")</f>
        <v>http://dx.doi.org/10.3389/fmars.2019.00177</v>
      </c>
      <c r="BG99" t="s">
        <v>74</v>
      </c>
      <c r="BH99" t="s">
        <v>74</v>
      </c>
      <c r="BI99">
        <v>7</v>
      </c>
      <c r="BJ99" t="s">
        <v>829</v>
      </c>
      <c r="BK99" t="s">
        <v>102</v>
      </c>
      <c r="BL99" t="s">
        <v>830</v>
      </c>
      <c r="BM99" t="s">
        <v>2184</v>
      </c>
      <c r="BN99" t="s">
        <v>74</v>
      </c>
      <c r="BO99" t="s">
        <v>851</v>
      </c>
      <c r="BP99" t="s">
        <v>74</v>
      </c>
      <c r="BQ99" t="s">
        <v>74</v>
      </c>
      <c r="BR99" t="s">
        <v>107</v>
      </c>
      <c r="BS99" t="s">
        <v>2185</v>
      </c>
      <c r="BT99" t="str">
        <f>HYPERLINK("https%3A%2F%2Fwww.webofscience.com%2Fwos%2Fwoscc%2Ffull-record%2FWOS:000464606100001","View Full Record in Web of Science")</f>
        <v>View Full Record in Web of Science</v>
      </c>
    </row>
    <row r="100" spans="1:72" x14ac:dyDescent="0.15">
      <c r="A100" t="s">
        <v>72</v>
      </c>
      <c r="B100" t="s">
        <v>2186</v>
      </c>
      <c r="C100" t="s">
        <v>74</v>
      </c>
      <c r="D100" t="s">
        <v>74</v>
      </c>
      <c r="E100" t="s">
        <v>74</v>
      </c>
      <c r="F100" t="s">
        <v>2187</v>
      </c>
      <c r="G100" t="s">
        <v>74</v>
      </c>
      <c r="H100" t="s">
        <v>74</v>
      </c>
      <c r="I100" t="s">
        <v>2188</v>
      </c>
      <c r="J100" t="s">
        <v>2189</v>
      </c>
      <c r="K100" t="s">
        <v>74</v>
      </c>
      <c r="L100" t="s">
        <v>74</v>
      </c>
      <c r="M100" t="s">
        <v>78</v>
      </c>
      <c r="N100" t="s">
        <v>79</v>
      </c>
      <c r="O100" t="s">
        <v>74</v>
      </c>
      <c r="P100" t="s">
        <v>74</v>
      </c>
      <c r="Q100" t="s">
        <v>74</v>
      </c>
      <c r="R100" t="s">
        <v>74</v>
      </c>
      <c r="S100" t="s">
        <v>74</v>
      </c>
      <c r="T100" t="s">
        <v>2190</v>
      </c>
      <c r="U100" t="s">
        <v>2191</v>
      </c>
      <c r="V100" t="s">
        <v>2192</v>
      </c>
      <c r="W100" t="s">
        <v>2193</v>
      </c>
      <c r="X100" t="s">
        <v>2194</v>
      </c>
      <c r="Y100" t="s">
        <v>2195</v>
      </c>
      <c r="Z100" t="s">
        <v>2196</v>
      </c>
      <c r="AA100" t="s">
        <v>74</v>
      </c>
      <c r="AB100" t="s">
        <v>2197</v>
      </c>
      <c r="AC100" t="s">
        <v>2198</v>
      </c>
      <c r="AD100" t="s">
        <v>2199</v>
      </c>
      <c r="AE100" t="s">
        <v>2200</v>
      </c>
      <c r="AF100" t="s">
        <v>74</v>
      </c>
      <c r="AG100">
        <v>63</v>
      </c>
      <c r="AH100">
        <v>7</v>
      </c>
      <c r="AI100">
        <v>9</v>
      </c>
      <c r="AJ100">
        <v>3</v>
      </c>
      <c r="AK100">
        <v>14</v>
      </c>
      <c r="AL100" t="s">
        <v>2055</v>
      </c>
      <c r="AM100" t="s">
        <v>2056</v>
      </c>
      <c r="AN100" t="s">
        <v>2057</v>
      </c>
      <c r="AO100" t="s">
        <v>2201</v>
      </c>
      <c r="AP100" t="s">
        <v>2202</v>
      </c>
      <c r="AQ100" t="s">
        <v>74</v>
      </c>
      <c r="AR100" t="s">
        <v>2203</v>
      </c>
      <c r="AS100" t="s">
        <v>2204</v>
      </c>
      <c r="AT100" t="s">
        <v>2205</v>
      </c>
      <c r="AU100">
        <v>2019</v>
      </c>
      <c r="AV100">
        <v>38</v>
      </c>
      <c r="AW100" t="s">
        <v>74</v>
      </c>
      <c r="AX100" t="s">
        <v>74</v>
      </c>
      <c r="AY100" t="s">
        <v>74</v>
      </c>
      <c r="AZ100" t="s">
        <v>74</v>
      </c>
      <c r="BA100" t="s">
        <v>74</v>
      </c>
      <c r="BB100" t="s">
        <v>74</v>
      </c>
      <c r="BC100" t="s">
        <v>74</v>
      </c>
      <c r="BD100">
        <v>3497</v>
      </c>
      <c r="BE100" t="s">
        <v>2206</v>
      </c>
      <c r="BF100" t="str">
        <f>HYPERLINK("http://dx.doi.org/10.33265/polar.v38.3497","http://dx.doi.org/10.33265/polar.v38.3497")</f>
        <v>http://dx.doi.org/10.33265/polar.v38.3497</v>
      </c>
      <c r="BG100" t="s">
        <v>74</v>
      </c>
      <c r="BH100" t="s">
        <v>74</v>
      </c>
      <c r="BI100">
        <v>11</v>
      </c>
      <c r="BJ100" t="s">
        <v>2207</v>
      </c>
      <c r="BK100" t="s">
        <v>102</v>
      </c>
      <c r="BL100" t="s">
        <v>2208</v>
      </c>
      <c r="BM100" t="s">
        <v>2209</v>
      </c>
      <c r="BN100" t="s">
        <v>74</v>
      </c>
      <c r="BO100" t="s">
        <v>463</v>
      </c>
      <c r="BP100" t="s">
        <v>74</v>
      </c>
      <c r="BQ100" t="s">
        <v>74</v>
      </c>
      <c r="BR100" t="s">
        <v>107</v>
      </c>
      <c r="BS100" t="s">
        <v>2210</v>
      </c>
      <c r="BT100" t="str">
        <f>HYPERLINK("https%3A%2F%2Fwww.webofscience.com%2Fwos%2Fwoscc%2Ffull-record%2FWOS:000474231500001","View Full Record in Web of Science")</f>
        <v>View Full Record in Web of Science</v>
      </c>
    </row>
    <row r="101" spans="1:72" x14ac:dyDescent="0.15">
      <c r="A101" t="s">
        <v>72</v>
      </c>
      <c r="B101" t="s">
        <v>2211</v>
      </c>
      <c r="C101" t="s">
        <v>74</v>
      </c>
      <c r="D101" t="s">
        <v>74</v>
      </c>
      <c r="E101" t="s">
        <v>74</v>
      </c>
      <c r="F101" t="s">
        <v>2212</v>
      </c>
      <c r="G101" t="s">
        <v>74</v>
      </c>
      <c r="H101" t="s">
        <v>74</v>
      </c>
      <c r="I101" t="s">
        <v>2213</v>
      </c>
      <c r="J101" t="s">
        <v>1311</v>
      </c>
      <c r="K101" t="s">
        <v>74</v>
      </c>
      <c r="L101" t="s">
        <v>74</v>
      </c>
      <c r="M101" t="s">
        <v>78</v>
      </c>
      <c r="N101" t="s">
        <v>79</v>
      </c>
      <c r="O101" t="s">
        <v>74</v>
      </c>
      <c r="P101" t="s">
        <v>74</v>
      </c>
      <c r="Q101" t="s">
        <v>74</v>
      </c>
      <c r="R101" t="s">
        <v>74</v>
      </c>
      <c r="S101" t="s">
        <v>74</v>
      </c>
      <c r="T101" t="s">
        <v>2214</v>
      </c>
      <c r="U101" t="s">
        <v>2215</v>
      </c>
      <c r="V101" t="s">
        <v>2216</v>
      </c>
      <c r="W101" t="s">
        <v>2217</v>
      </c>
      <c r="X101" t="s">
        <v>2218</v>
      </c>
      <c r="Y101" t="s">
        <v>2219</v>
      </c>
      <c r="Z101" t="s">
        <v>2220</v>
      </c>
      <c r="AA101" t="s">
        <v>2221</v>
      </c>
      <c r="AB101" t="s">
        <v>2222</v>
      </c>
      <c r="AC101" t="s">
        <v>2223</v>
      </c>
      <c r="AD101" t="s">
        <v>2224</v>
      </c>
      <c r="AE101" t="s">
        <v>2225</v>
      </c>
      <c r="AF101" t="s">
        <v>74</v>
      </c>
      <c r="AG101">
        <v>70</v>
      </c>
      <c r="AH101">
        <v>34</v>
      </c>
      <c r="AI101">
        <v>36</v>
      </c>
      <c r="AJ101">
        <v>6</v>
      </c>
      <c r="AK101">
        <v>78</v>
      </c>
      <c r="AL101" t="s">
        <v>1323</v>
      </c>
      <c r="AM101" t="s">
        <v>1324</v>
      </c>
      <c r="AN101" t="s">
        <v>1325</v>
      </c>
      <c r="AO101" t="s">
        <v>1326</v>
      </c>
      <c r="AP101" t="s">
        <v>1327</v>
      </c>
      <c r="AQ101" t="s">
        <v>74</v>
      </c>
      <c r="AR101" t="s">
        <v>1328</v>
      </c>
      <c r="AS101" t="s">
        <v>1329</v>
      </c>
      <c r="AT101" t="s">
        <v>2205</v>
      </c>
      <c r="AU101">
        <v>2019</v>
      </c>
      <c r="AV101">
        <v>614</v>
      </c>
      <c r="AW101" t="s">
        <v>74</v>
      </c>
      <c r="AX101" t="s">
        <v>74</v>
      </c>
      <c r="AY101" t="s">
        <v>74</v>
      </c>
      <c r="AZ101" t="s">
        <v>74</v>
      </c>
      <c r="BA101" t="s">
        <v>74</v>
      </c>
      <c r="BB101">
        <v>1</v>
      </c>
      <c r="BC101">
        <v>19</v>
      </c>
      <c r="BD101" t="s">
        <v>74</v>
      </c>
      <c r="BE101" t="s">
        <v>2226</v>
      </c>
      <c r="BF101" t="str">
        <f>HYPERLINK("http://dx.doi.org/10.3354/meps12900","http://dx.doi.org/10.3354/meps12900")</f>
        <v>http://dx.doi.org/10.3354/meps12900</v>
      </c>
      <c r="BG101" t="s">
        <v>74</v>
      </c>
      <c r="BH101" t="s">
        <v>74</v>
      </c>
      <c r="BI101">
        <v>19</v>
      </c>
      <c r="BJ101" t="s">
        <v>1332</v>
      </c>
      <c r="BK101" t="s">
        <v>102</v>
      </c>
      <c r="BL101" t="s">
        <v>1333</v>
      </c>
      <c r="BM101" t="s">
        <v>2227</v>
      </c>
      <c r="BN101" t="s">
        <v>74</v>
      </c>
      <c r="BO101" t="s">
        <v>2228</v>
      </c>
      <c r="BP101" t="s">
        <v>74</v>
      </c>
      <c r="BQ101" t="s">
        <v>74</v>
      </c>
      <c r="BR101" t="s">
        <v>107</v>
      </c>
      <c r="BS101" t="s">
        <v>2229</v>
      </c>
      <c r="BT101" t="str">
        <f>HYPERLINK("https%3A%2F%2Fwww.webofscience.com%2Fwos%2Fwoscc%2Ffull-record%2FWOS:000464520200001","View Full Record in Web of Science")</f>
        <v>View Full Record in Web of Science</v>
      </c>
    </row>
    <row r="102" spans="1:72" x14ac:dyDescent="0.15">
      <c r="A102" t="s">
        <v>72</v>
      </c>
      <c r="B102" t="s">
        <v>2230</v>
      </c>
      <c r="C102" t="s">
        <v>74</v>
      </c>
      <c r="D102" t="s">
        <v>74</v>
      </c>
      <c r="E102" t="s">
        <v>74</v>
      </c>
      <c r="F102" t="s">
        <v>2231</v>
      </c>
      <c r="G102" t="s">
        <v>74</v>
      </c>
      <c r="H102" t="s">
        <v>74</v>
      </c>
      <c r="I102" t="s">
        <v>2232</v>
      </c>
      <c r="J102" t="s">
        <v>884</v>
      </c>
      <c r="K102" t="s">
        <v>74</v>
      </c>
      <c r="L102" t="s">
        <v>74</v>
      </c>
      <c r="M102" t="s">
        <v>78</v>
      </c>
      <c r="N102" t="s">
        <v>79</v>
      </c>
      <c r="O102" t="s">
        <v>74</v>
      </c>
      <c r="P102" t="s">
        <v>74</v>
      </c>
      <c r="Q102" t="s">
        <v>74</v>
      </c>
      <c r="R102" t="s">
        <v>74</v>
      </c>
      <c r="S102" t="s">
        <v>74</v>
      </c>
      <c r="T102" t="s">
        <v>2233</v>
      </c>
      <c r="U102" t="s">
        <v>2234</v>
      </c>
      <c r="V102" t="s">
        <v>2235</v>
      </c>
      <c r="W102" t="s">
        <v>2236</v>
      </c>
      <c r="X102" t="s">
        <v>2237</v>
      </c>
      <c r="Y102" t="s">
        <v>2238</v>
      </c>
      <c r="Z102" t="s">
        <v>2239</v>
      </c>
      <c r="AA102" t="s">
        <v>74</v>
      </c>
      <c r="AB102" t="s">
        <v>2240</v>
      </c>
      <c r="AC102" t="s">
        <v>2241</v>
      </c>
      <c r="AD102" t="s">
        <v>2242</v>
      </c>
      <c r="AE102" t="s">
        <v>2243</v>
      </c>
      <c r="AF102" t="s">
        <v>74</v>
      </c>
      <c r="AG102">
        <v>76</v>
      </c>
      <c r="AH102">
        <v>20</v>
      </c>
      <c r="AI102">
        <v>23</v>
      </c>
      <c r="AJ102">
        <v>4</v>
      </c>
      <c r="AK102">
        <v>16</v>
      </c>
      <c r="AL102" t="s">
        <v>821</v>
      </c>
      <c r="AM102" t="s">
        <v>822</v>
      </c>
      <c r="AN102" t="s">
        <v>823</v>
      </c>
      <c r="AO102" t="s">
        <v>74</v>
      </c>
      <c r="AP102" t="s">
        <v>897</v>
      </c>
      <c r="AQ102" t="s">
        <v>74</v>
      </c>
      <c r="AR102" t="s">
        <v>898</v>
      </c>
      <c r="AS102" t="s">
        <v>899</v>
      </c>
      <c r="AT102" t="s">
        <v>2205</v>
      </c>
      <c r="AU102">
        <v>2019</v>
      </c>
      <c r="AV102">
        <v>10</v>
      </c>
      <c r="AW102" t="s">
        <v>74</v>
      </c>
      <c r="AX102" t="s">
        <v>74</v>
      </c>
      <c r="AY102" t="s">
        <v>74</v>
      </c>
      <c r="AZ102" t="s">
        <v>74</v>
      </c>
      <c r="BA102" t="s">
        <v>74</v>
      </c>
      <c r="BB102" t="s">
        <v>74</v>
      </c>
      <c r="BC102" t="s">
        <v>74</v>
      </c>
      <c r="BD102">
        <v>621</v>
      </c>
      <c r="BE102" t="s">
        <v>2244</v>
      </c>
      <c r="BF102" t="str">
        <f>HYPERLINK("http://dx.doi.org/10.3389/fmicb.2019.00621","http://dx.doi.org/10.3389/fmicb.2019.00621")</f>
        <v>http://dx.doi.org/10.3389/fmicb.2019.00621</v>
      </c>
      <c r="BG102" t="s">
        <v>74</v>
      </c>
      <c r="BH102" t="s">
        <v>74</v>
      </c>
      <c r="BI102">
        <v>12</v>
      </c>
      <c r="BJ102" t="s">
        <v>901</v>
      </c>
      <c r="BK102" t="s">
        <v>102</v>
      </c>
      <c r="BL102" t="s">
        <v>901</v>
      </c>
      <c r="BM102" t="s">
        <v>2245</v>
      </c>
      <c r="BN102">
        <v>31019494</v>
      </c>
      <c r="BO102" t="s">
        <v>851</v>
      </c>
      <c r="BP102" t="s">
        <v>74</v>
      </c>
      <c r="BQ102" t="s">
        <v>74</v>
      </c>
      <c r="BR102" t="s">
        <v>107</v>
      </c>
      <c r="BS102" t="s">
        <v>2246</v>
      </c>
      <c r="BT102" t="str">
        <f>HYPERLINK("https%3A%2F%2Fwww.webofscience.com%2Fwos%2Fwoscc%2Ffull-record%2FWOS:000463397200001","View Full Record in Web of Science")</f>
        <v>View Full Record in Web of Science</v>
      </c>
    </row>
    <row r="103" spans="1:72" x14ac:dyDescent="0.15">
      <c r="A103" t="s">
        <v>72</v>
      </c>
      <c r="B103" t="s">
        <v>2247</v>
      </c>
      <c r="C103" t="s">
        <v>74</v>
      </c>
      <c r="D103" t="s">
        <v>74</v>
      </c>
      <c r="E103" t="s">
        <v>74</v>
      </c>
      <c r="F103" t="s">
        <v>2248</v>
      </c>
      <c r="G103" t="s">
        <v>74</v>
      </c>
      <c r="H103" t="s">
        <v>74</v>
      </c>
      <c r="I103" t="s">
        <v>2249</v>
      </c>
      <c r="J103" t="s">
        <v>2250</v>
      </c>
      <c r="K103" t="s">
        <v>74</v>
      </c>
      <c r="L103" t="s">
        <v>74</v>
      </c>
      <c r="M103" t="s">
        <v>78</v>
      </c>
      <c r="N103" t="s">
        <v>79</v>
      </c>
      <c r="O103" t="s">
        <v>74</v>
      </c>
      <c r="P103" t="s">
        <v>74</v>
      </c>
      <c r="Q103" t="s">
        <v>74</v>
      </c>
      <c r="R103" t="s">
        <v>74</v>
      </c>
      <c r="S103" t="s">
        <v>74</v>
      </c>
      <c r="T103" t="s">
        <v>2251</v>
      </c>
      <c r="U103" t="s">
        <v>2252</v>
      </c>
      <c r="V103" t="s">
        <v>2253</v>
      </c>
      <c r="W103" t="s">
        <v>2254</v>
      </c>
      <c r="X103" t="s">
        <v>2255</v>
      </c>
      <c r="Y103" t="s">
        <v>2256</v>
      </c>
      <c r="Z103" t="s">
        <v>2257</v>
      </c>
      <c r="AA103" t="s">
        <v>2258</v>
      </c>
      <c r="AB103" t="s">
        <v>2259</v>
      </c>
      <c r="AC103" t="s">
        <v>2260</v>
      </c>
      <c r="AD103" t="s">
        <v>2260</v>
      </c>
      <c r="AE103" t="s">
        <v>2261</v>
      </c>
      <c r="AF103" t="s">
        <v>74</v>
      </c>
      <c r="AG103">
        <v>72</v>
      </c>
      <c r="AH103">
        <v>3</v>
      </c>
      <c r="AI103">
        <v>3</v>
      </c>
      <c r="AJ103">
        <v>0</v>
      </c>
      <c r="AK103">
        <v>3</v>
      </c>
      <c r="AL103" t="s">
        <v>2262</v>
      </c>
      <c r="AM103" t="s">
        <v>2263</v>
      </c>
      <c r="AN103" t="s">
        <v>2264</v>
      </c>
      <c r="AO103" t="s">
        <v>2265</v>
      </c>
      <c r="AP103" t="s">
        <v>2266</v>
      </c>
      <c r="AQ103" t="s">
        <v>74</v>
      </c>
      <c r="AR103" t="s">
        <v>2267</v>
      </c>
      <c r="AS103" t="s">
        <v>2268</v>
      </c>
      <c r="AT103" t="s">
        <v>2269</v>
      </c>
      <c r="AU103">
        <v>2019</v>
      </c>
      <c r="AV103">
        <v>166</v>
      </c>
      <c r="AW103">
        <v>2</v>
      </c>
      <c r="AX103" t="s">
        <v>74</v>
      </c>
      <c r="AY103" t="s">
        <v>74</v>
      </c>
      <c r="AZ103" t="s">
        <v>74</v>
      </c>
      <c r="BA103" t="s">
        <v>74</v>
      </c>
      <c r="BB103">
        <v>212</v>
      </c>
      <c r="BC103">
        <v>220</v>
      </c>
      <c r="BD103" t="s">
        <v>74</v>
      </c>
      <c r="BE103" t="s">
        <v>2270</v>
      </c>
      <c r="BF103" t="str">
        <f>HYPERLINK("http://dx.doi.org/10.1080/23818107.2019.1584864","http://dx.doi.org/10.1080/23818107.2019.1584864")</f>
        <v>http://dx.doi.org/10.1080/23818107.2019.1584864</v>
      </c>
      <c r="BG103" t="s">
        <v>74</v>
      </c>
      <c r="BH103" t="s">
        <v>74</v>
      </c>
      <c r="BI103">
        <v>9</v>
      </c>
      <c r="BJ103" t="s">
        <v>362</v>
      </c>
      <c r="BK103" t="s">
        <v>102</v>
      </c>
      <c r="BL103" t="s">
        <v>362</v>
      </c>
      <c r="BM103" t="s">
        <v>2271</v>
      </c>
      <c r="BN103" t="s">
        <v>74</v>
      </c>
      <c r="BO103" t="s">
        <v>925</v>
      </c>
      <c r="BP103" t="s">
        <v>74</v>
      </c>
      <c r="BQ103" t="s">
        <v>74</v>
      </c>
      <c r="BR103" t="s">
        <v>107</v>
      </c>
      <c r="BS103" t="s">
        <v>2272</v>
      </c>
      <c r="BT103" t="str">
        <f>HYPERLINK("https%3A%2F%2Fwww.webofscience.com%2Fwos%2Fwoscc%2Ffull-record%2FWOS:000482327900010","View Full Record in Web of Science")</f>
        <v>View Full Record in Web of Science</v>
      </c>
    </row>
    <row r="104" spans="1:72" x14ac:dyDescent="0.15">
      <c r="A104" t="s">
        <v>72</v>
      </c>
      <c r="B104" t="s">
        <v>2273</v>
      </c>
      <c r="C104" t="s">
        <v>74</v>
      </c>
      <c r="D104" t="s">
        <v>74</v>
      </c>
      <c r="E104" t="s">
        <v>74</v>
      </c>
      <c r="F104" t="s">
        <v>2274</v>
      </c>
      <c r="G104" t="s">
        <v>74</v>
      </c>
      <c r="H104" t="s">
        <v>74</v>
      </c>
      <c r="I104" t="s">
        <v>2275</v>
      </c>
      <c r="J104" t="s">
        <v>2276</v>
      </c>
      <c r="K104" t="s">
        <v>74</v>
      </c>
      <c r="L104" t="s">
        <v>74</v>
      </c>
      <c r="M104" t="s">
        <v>78</v>
      </c>
      <c r="N104" t="s">
        <v>469</v>
      </c>
      <c r="O104" t="s">
        <v>74</v>
      </c>
      <c r="P104" t="s">
        <v>74</v>
      </c>
      <c r="Q104" t="s">
        <v>74</v>
      </c>
      <c r="R104" t="s">
        <v>74</v>
      </c>
      <c r="S104" t="s">
        <v>74</v>
      </c>
      <c r="T104" t="s">
        <v>2277</v>
      </c>
      <c r="U104" t="s">
        <v>2278</v>
      </c>
      <c r="V104" t="s">
        <v>2279</v>
      </c>
      <c r="W104" t="s">
        <v>2280</v>
      </c>
      <c r="X104" t="s">
        <v>2281</v>
      </c>
      <c r="Y104" t="s">
        <v>2282</v>
      </c>
      <c r="Z104" t="s">
        <v>2283</v>
      </c>
      <c r="AA104" t="s">
        <v>74</v>
      </c>
      <c r="AB104" t="s">
        <v>2284</v>
      </c>
      <c r="AC104" t="s">
        <v>2285</v>
      </c>
      <c r="AD104" t="s">
        <v>2286</v>
      </c>
      <c r="AE104" t="s">
        <v>2287</v>
      </c>
      <c r="AF104" t="s">
        <v>74</v>
      </c>
      <c r="AG104">
        <v>174</v>
      </c>
      <c r="AH104">
        <v>45</v>
      </c>
      <c r="AI104">
        <v>47</v>
      </c>
      <c r="AJ104">
        <v>10</v>
      </c>
      <c r="AK104">
        <v>124</v>
      </c>
      <c r="AL104" t="s">
        <v>2288</v>
      </c>
      <c r="AM104" t="s">
        <v>2289</v>
      </c>
      <c r="AN104" t="s">
        <v>2290</v>
      </c>
      <c r="AO104" t="s">
        <v>2291</v>
      </c>
      <c r="AP104" t="s">
        <v>2292</v>
      </c>
      <c r="AQ104" t="s">
        <v>74</v>
      </c>
      <c r="AR104" t="s">
        <v>2293</v>
      </c>
      <c r="AS104" t="s">
        <v>2294</v>
      </c>
      <c r="AT104" t="s">
        <v>2269</v>
      </c>
      <c r="AU104">
        <v>2019</v>
      </c>
      <c r="AV104">
        <v>49</v>
      </c>
      <c r="AW104">
        <v>7</v>
      </c>
      <c r="AX104" t="s">
        <v>74</v>
      </c>
      <c r="AY104" t="s">
        <v>74</v>
      </c>
      <c r="AZ104" t="s">
        <v>74</v>
      </c>
      <c r="BA104" t="s">
        <v>74</v>
      </c>
      <c r="BB104">
        <v>553</v>
      </c>
      <c r="BC104">
        <v>586</v>
      </c>
      <c r="BD104" t="s">
        <v>74</v>
      </c>
      <c r="BE104" t="s">
        <v>2295</v>
      </c>
      <c r="BF104" t="str">
        <f>HYPERLINK("http://dx.doi.org/10.1080/10643389.2018.1552070","http://dx.doi.org/10.1080/10643389.2018.1552070")</f>
        <v>http://dx.doi.org/10.1080/10643389.2018.1552070</v>
      </c>
      <c r="BG104" t="s">
        <v>74</v>
      </c>
      <c r="BH104" t="s">
        <v>74</v>
      </c>
      <c r="BI104">
        <v>34</v>
      </c>
      <c r="BJ104" t="s">
        <v>2296</v>
      </c>
      <c r="BK104" t="s">
        <v>102</v>
      </c>
      <c r="BL104" t="s">
        <v>2297</v>
      </c>
      <c r="BM104" t="s">
        <v>2298</v>
      </c>
      <c r="BN104" t="s">
        <v>74</v>
      </c>
      <c r="BO104" t="s">
        <v>74</v>
      </c>
      <c r="BP104" t="s">
        <v>74</v>
      </c>
      <c r="BQ104" t="s">
        <v>74</v>
      </c>
      <c r="BR104" t="s">
        <v>107</v>
      </c>
      <c r="BS104" t="s">
        <v>2299</v>
      </c>
      <c r="BT104" t="str">
        <f>HYPERLINK("https%3A%2F%2Fwww.webofscience.com%2Fwos%2Fwoscc%2Ffull-record%2FWOS:000467836200001","View Full Record in Web of Science")</f>
        <v>View Full Record in Web of Science</v>
      </c>
    </row>
    <row r="105" spans="1:72" x14ac:dyDescent="0.15">
      <c r="A105" t="s">
        <v>72</v>
      </c>
      <c r="B105" t="s">
        <v>2300</v>
      </c>
      <c r="C105" t="s">
        <v>74</v>
      </c>
      <c r="D105" t="s">
        <v>74</v>
      </c>
      <c r="E105" t="s">
        <v>74</v>
      </c>
      <c r="F105" t="s">
        <v>2301</v>
      </c>
      <c r="G105" t="s">
        <v>74</v>
      </c>
      <c r="H105" t="s">
        <v>74</v>
      </c>
      <c r="I105" t="s">
        <v>2302</v>
      </c>
      <c r="J105" t="s">
        <v>2303</v>
      </c>
      <c r="K105" t="s">
        <v>74</v>
      </c>
      <c r="L105" t="s">
        <v>74</v>
      </c>
      <c r="M105" t="s">
        <v>78</v>
      </c>
      <c r="N105" t="s">
        <v>79</v>
      </c>
      <c r="O105" t="s">
        <v>74</v>
      </c>
      <c r="P105" t="s">
        <v>74</v>
      </c>
      <c r="Q105" t="s">
        <v>74</v>
      </c>
      <c r="R105" t="s">
        <v>74</v>
      </c>
      <c r="S105" t="s">
        <v>74</v>
      </c>
      <c r="T105" t="s">
        <v>2304</v>
      </c>
      <c r="U105" t="s">
        <v>2305</v>
      </c>
      <c r="V105" t="s">
        <v>2306</v>
      </c>
      <c r="W105" t="s">
        <v>2307</v>
      </c>
      <c r="X105" t="s">
        <v>2308</v>
      </c>
      <c r="Y105" t="s">
        <v>2309</v>
      </c>
      <c r="Z105" t="s">
        <v>2310</v>
      </c>
      <c r="AA105" t="s">
        <v>2311</v>
      </c>
      <c r="AB105" t="s">
        <v>2312</v>
      </c>
      <c r="AC105" t="s">
        <v>2313</v>
      </c>
      <c r="AD105" t="s">
        <v>1898</v>
      </c>
      <c r="AE105" t="s">
        <v>2314</v>
      </c>
      <c r="AF105" t="s">
        <v>74</v>
      </c>
      <c r="AG105">
        <v>56</v>
      </c>
      <c r="AH105">
        <v>9</v>
      </c>
      <c r="AI105">
        <v>10</v>
      </c>
      <c r="AJ105">
        <v>1</v>
      </c>
      <c r="AK105">
        <v>21</v>
      </c>
      <c r="AL105" t="s">
        <v>2315</v>
      </c>
      <c r="AM105" t="s">
        <v>329</v>
      </c>
      <c r="AN105" t="s">
        <v>2316</v>
      </c>
      <c r="AO105" t="s">
        <v>2317</v>
      </c>
      <c r="AP105" t="s">
        <v>2318</v>
      </c>
      <c r="AQ105" t="s">
        <v>74</v>
      </c>
      <c r="AR105" t="s">
        <v>2319</v>
      </c>
      <c r="AS105" t="s">
        <v>2320</v>
      </c>
      <c r="AT105" t="s">
        <v>2269</v>
      </c>
      <c r="AU105">
        <v>2019</v>
      </c>
      <c r="AV105">
        <v>286</v>
      </c>
      <c r="AW105">
        <v>1900</v>
      </c>
      <c r="AX105" t="s">
        <v>74</v>
      </c>
      <c r="AY105" t="s">
        <v>74</v>
      </c>
      <c r="AZ105" t="s">
        <v>74</v>
      </c>
      <c r="BA105" t="s">
        <v>74</v>
      </c>
      <c r="BB105" t="s">
        <v>74</v>
      </c>
      <c r="BC105" t="s">
        <v>74</v>
      </c>
      <c r="BD105">
        <v>20190124</v>
      </c>
      <c r="BE105" t="s">
        <v>2321</v>
      </c>
      <c r="BF105" t="str">
        <f>HYPERLINK("http://dx.doi.org/10.1098/rspb.2019.0124","http://dx.doi.org/10.1098/rspb.2019.0124")</f>
        <v>http://dx.doi.org/10.1098/rspb.2019.0124</v>
      </c>
      <c r="BG105" t="s">
        <v>74</v>
      </c>
      <c r="BH105" t="s">
        <v>74</v>
      </c>
      <c r="BI105">
        <v>8</v>
      </c>
      <c r="BJ105" t="s">
        <v>2322</v>
      </c>
      <c r="BK105" t="s">
        <v>102</v>
      </c>
      <c r="BL105" t="s">
        <v>2323</v>
      </c>
      <c r="BM105" t="s">
        <v>2324</v>
      </c>
      <c r="BN105">
        <v>30966982</v>
      </c>
      <c r="BO105" t="s">
        <v>2325</v>
      </c>
      <c r="BP105" t="s">
        <v>74</v>
      </c>
      <c r="BQ105" t="s">
        <v>74</v>
      </c>
      <c r="BR105" t="s">
        <v>107</v>
      </c>
      <c r="BS105" t="s">
        <v>2326</v>
      </c>
      <c r="BT105" t="str">
        <f>HYPERLINK("https%3A%2F%2Fwww.webofscience.com%2Fwos%2Fwoscc%2Ffull-record%2FWOS:000465482600016","View Full Record in Web of Science")</f>
        <v>View Full Record in Web of Science</v>
      </c>
    </row>
    <row r="106" spans="1:72" x14ac:dyDescent="0.15">
      <c r="A106" t="s">
        <v>72</v>
      </c>
      <c r="B106" t="s">
        <v>2327</v>
      </c>
      <c r="C106" t="s">
        <v>74</v>
      </c>
      <c r="D106" t="s">
        <v>74</v>
      </c>
      <c r="E106" t="s">
        <v>74</v>
      </c>
      <c r="F106" t="s">
        <v>2328</v>
      </c>
      <c r="G106" t="s">
        <v>74</v>
      </c>
      <c r="H106" t="s">
        <v>74</v>
      </c>
      <c r="I106" t="s">
        <v>2329</v>
      </c>
      <c r="J106" t="s">
        <v>1720</v>
      </c>
      <c r="K106" t="s">
        <v>74</v>
      </c>
      <c r="L106" t="s">
        <v>74</v>
      </c>
      <c r="M106" t="s">
        <v>78</v>
      </c>
      <c r="N106" t="s">
        <v>79</v>
      </c>
      <c r="O106" t="s">
        <v>74</v>
      </c>
      <c r="P106" t="s">
        <v>74</v>
      </c>
      <c r="Q106" t="s">
        <v>74</v>
      </c>
      <c r="R106" t="s">
        <v>74</v>
      </c>
      <c r="S106" t="s">
        <v>74</v>
      </c>
      <c r="T106" t="s">
        <v>74</v>
      </c>
      <c r="U106" t="s">
        <v>2330</v>
      </c>
      <c r="V106" t="s">
        <v>2331</v>
      </c>
      <c r="W106" t="s">
        <v>2332</v>
      </c>
      <c r="X106" t="s">
        <v>2333</v>
      </c>
      <c r="Y106" t="s">
        <v>2334</v>
      </c>
      <c r="Z106" t="s">
        <v>2335</v>
      </c>
      <c r="AA106" t="s">
        <v>2336</v>
      </c>
      <c r="AB106" t="s">
        <v>2337</v>
      </c>
      <c r="AC106" t="s">
        <v>2338</v>
      </c>
      <c r="AD106" t="s">
        <v>2339</v>
      </c>
      <c r="AE106" t="s">
        <v>2340</v>
      </c>
      <c r="AF106" t="s">
        <v>74</v>
      </c>
      <c r="AG106">
        <v>69</v>
      </c>
      <c r="AH106">
        <v>34</v>
      </c>
      <c r="AI106">
        <v>39</v>
      </c>
      <c r="AJ106">
        <v>1</v>
      </c>
      <c r="AK106">
        <v>8</v>
      </c>
      <c r="AL106" t="s">
        <v>1393</v>
      </c>
      <c r="AM106" t="s">
        <v>1371</v>
      </c>
      <c r="AN106" t="s">
        <v>1372</v>
      </c>
      <c r="AO106" t="s">
        <v>1731</v>
      </c>
      <c r="AP106" t="s">
        <v>74</v>
      </c>
      <c r="AQ106" t="s">
        <v>74</v>
      </c>
      <c r="AR106" t="s">
        <v>1732</v>
      </c>
      <c r="AS106" t="s">
        <v>1733</v>
      </c>
      <c r="AT106" t="s">
        <v>2269</v>
      </c>
      <c r="AU106">
        <v>2019</v>
      </c>
      <c r="AV106">
        <v>9</v>
      </c>
      <c r="AW106" t="s">
        <v>74</v>
      </c>
      <c r="AX106" t="s">
        <v>74</v>
      </c>
      <c r="AY106" t="s">
        <v>74</v>
      </c>
      <c r="AZ106" t="s">
        <v>74</v>
      </c>
      <c r="BA106" t="s">
        <v>74</v>
      </c>
      <c r="BB106" t="s">
        <v>74</v>
      </c>
      <c r="BC106" t="s">
        <v>74</v>
      </c>
      <c r="BD106">
        <v>5588</v>
      </c>
      <c r="BE106" t="s">
        <v>2341</v>
      </c>
      <c r="BF106" t="str">
        <f>HYPERLINK("http://dx.doi.org/10.1038/s41598-019-42117-w","http://dx.doi.org/10.1038/s41598-019-42117-w")</f>
        <v>http://dx.doi.org/10.1038/s41598-019-42117-w</v>
      </c>
      <c r="BG106" t="s">
        <v>74</v>
      </c>
      <c r="BH106" t="s">
        <v>74</v>
      </c>
      <c r="BI106">
        <v>13</v>
      </c>
      <c r="BJ106" t="s">
        <v>460</v>
      </c>
      <c r="BK106" t="s">
        <v>102</v>
      </c>
      <c r="BL106" t="s">
        <v>461</v>
      </c>
      <c r="BM106" t="s">
        <v>2342</v>
      </c>
      <c r="BN106">
        <v>30944405</v>
      </c>
      <c r="BO106" t="s">
        <v>2343</v>
      </c>
      <c r="BP106" t="s">
        <v>74</v>
      </c>
      <c r="BQ106" t="s">
        <v>74</v>
      </c>
      <c r="BR106" t="s">
        <v>107</v>
      </c>
      <c r="BS106" t="s">
        <v>2344</v>
      </c>
      <c r="BT106" t="str">
        <f>HYPERLINK("https%3A%2F%2Fwww.webofscience.com%2Fwos%2Fwoscc%2Ffull-record%2FWOS:000463178500049","View Full Record in Web of Science")</f>
        <v>View Full Record in Web of Science</v>
      </c>
    </row>
    <row r="107" spans="1:72" x14ac:dyDescent="0.15">
      <c r="A107" t="s">
        <v>72</v>
      </c>
      <c r="B107" t="s">
        <v>2345</v>
      </c>
      <c r="C107" t="s">
        <v>74</v>
      </c>
      <c r="D107" t="s">
        <v>74</v>
      </c>
      <c r="E107" t="s">
        <v>74</v>
      </c>
      <c r="F107" t="s">
        <v>2346</v>
      </c>
      <c r="G107" t="s">
        <v>74</v>
      </c>
      <c r="H107" t="s">
        <v>74</v>
      </c>
      <c r="I107" t="s">
        <v>2347</v>
      </c>
      <c r="J107" t="s">
        <v>808</v>
      </c>
      <c r="K107" t="s">
        <v>74</v>
      </c>
      <c r="L107" t="s">
        <v>74</v>
      </c>
      <c r="M107" t="s">
        <v>78</v>
      </c>
      <c r="N107" t="s">
        <v>469</v>
      </c>
      <c r="O107" t="s">
        <v>74</v>
      </c>
      <c r="P107" t="s">
        <v>74</v>
      </c>
      <c r="Q107" t="s">
        <v>74</v>
      </c>
      <c r="R107" t="s">
        <v>74</v>
      </c>
      <c r="S107" t="s">
        <v>74</v>
      </c>
      <c r="T107" t="s">
        <v>2348</v>
      </c>
      <c r="U107" t="s">
        <v>2349</v>
      </c>
      <c r="V107" t="s">
        <v>2350</v>
      </c>
      <c r="W107" t="s">
        <v>2351</v>
      </c>
      <c r="X107" t="s">
        <v>2352</v>
      </c>
      <c r="Y107" t="s">
        <v>2353</v>
      </c>
      <c r="Z107" t="s">
        <v>2354</v>
      </c>
      <c r="AA107" t="s">
        <v>2355</v>
      </c>
      <c r="AB107" t="s">
        <v>2356</v>
      </c>
      <c r="AC107" t="s">
        <v>2357</v>
      </c>
      <c r="AD107" t="s">
        <v>2358</v>
      </c>
      <c r="AE107" t="s">
        <v>2359</v>
      </c>
      <c r="AF107" t="s">
        <v>74</v>
      </c>
      <c r="AG107">
        <v>121</v>
      </c>
      <c r="AH107">
        <v>60</v>
      </c>
      <c r="AI107">
        <v>61</v>
      </c>
      <c r="AJ107">
        <v>5</v>
      </c>
      <c r="AK107">
        <v>43</v>
      </c>
      <c r="AL107" t="s">
        <v>821</v>
      </c>
      <c r="AM107" t="s">
        <v>822</v>
      </c>
      <c r="AN107" t="s">
        <v>823</v>
      </c>
      <c r="AO107" t="s">
        <v>74</v>
      </c>
      <c r="AP107" t="s">
        <v>824</v>
      </c>
      <c r="AQ107" t="s">
        <v>74</v>
      </c>
      <c r="AR107" t="s">
        <v>825</v>
      </c>
      <c r="AS107" t="s">
        <v>826</v>
      </c>
      <c r="AT107" t="s">
        <v>2269</v>
      </c>
      <c r="AU107">
        <v>2019</v>
      </c>
      <c r="AV107">
        <v>6</v>
      </c>
      <c r="AW107" t="s">
        <v>74</v>
      </c>
      <c r="AX107" t="s">
        <v>74</v>
      </c>
      <c r="AY107" t="s">
        <v>74</v>
      </c>
      <c r="AZ107" t="s">
        <v>74</v>
      </c>
      <c r="BA107" t="s">
        <v>74</v>
      </c>
      <c r="BB107" t="s">
        <v>74</v>
      </c>
      <c r="BC107" t="s">
        <v>74</v>
      </c>
      <c r="BD107">
        <v>134</v>
      </c>
      <c r="BE107" t="s">
        <v>2360</v>
      </c>
      <c r="BF107" t="str">
        <f>HYPERLINK("http://dx.doi.org/10.3389/fmars.2019.00134","http://dx.doi.org/10.3389/fmars.2019.00134")</f>
        <v>http://dx.doi.org/10.3389/fmars.2019.00134</v>
      </c>
      <c r="BG107" t="s">
        <v>74</v>
      </c>
      <c r="BH107" t="s">
        <v>74</v>
      </c>
      <c r="BI107">
        <v>19</v>
      </c>
      <c r="BJ107" t="s">
        <v>829</v>
      </c>
      <c r="BK107" t="s">
        <v>102</v>
      </c>
      <c r="BL107" t="s">
        <v>830</v>
      </c>
      <c r="BM107" t="s">
        <v>2361</v>
      </c>
      <c r="BN107" t="s">
        <v>74</v>
      </c>
      <c r="BO107" t="s">
        <v>463</v>
      </c>
      <c r="BP107" t="s">
        <v>74</v>
      </c>
      <c r="BQ107" t="s">
        <v>74</v>
      </c>
      <c r="BR107" t="s">
        <v>107</v>
      </c>
      <c r="BS107" t="s">
        <v>2362</v>
      </c>
      <c r="BT107" t="str">
        <f>HYPERLINK("https%3A%2F%2Fwww.webofscience.com%2Fwos%2Fwoscc%2Ffull-record%2FWOS:000463166600001","View Full Record in Web of Science")</f>
        <v>View Full Record in Web of Science</v>
      </c>
    </row>
    <row r="108" spans="1:72" x14ac:dyDescent="0.15">
      <c r="A108" t="s">
        <v>72</v>
      </c>
      <c r="B108" t="s">
        <v>2363</v>
      </c>
      <c r="C108" t="s">
        <v>74</v>
      </c>
      <c r="D108" t="s">
        <v>74</v>
      </c>
      <c r="E108" t="s">
        <v>74</v>
      </c>
      <c r="F108" t="s">
        <v>2364</v>
      </c>
      <c r="G108" t="s">
        <v>74</v>
      </c>
      <c r="H108" t="s">
        <v>74</v>
      </c>
      <c r="I108" t="s">
        <v>2365</v>
      </c>
      <c r="J108" t="s">
        <v>1654</v>
      </c>
      <c r="K108" t="s">
        <v>74</v>
      </c>
      <c r="L108" t="s">
        <v>74</v>
      </c>
      <c r="M108" t="s">
        <v>78</v>
      </c>
      <c r="N108" t="s">
        <v>79</v>
      </c>
      <c r="O108" t="s">
        <v>74</v>
      </c>
      <c r="P108" t="s">
        <v>74</v>
      </c>
      <c r="Q108" t="s">
        <v>74</v>
      </c>
      <c r="R108" t="s">
        <v>74</v>
      </c>
      <c r="S108" t="s">
        <v>74</v>
      </c>
      <c r="T108" t="s">
        <v>2366</v>
      </c>
      <c r="U108" t="s">
        <v>74</v>
      </c>
      <c r="V108" t="s">
        <v>2367</v>
      </c>
      <c r="W108" t="s">
        <v>2368</v>
      </c>
      <c r="X108" t="s">
        <v>2369</v>
      </c>
      <c r="Y108" t="s">
        <v>2370</v>
      </c>
      <c r="Z108" t="s">
        <v>2371</v>
      </c>
      <c r="AA108" t="s">
        <v>74</v>
      </c>
      <c r="AB108" t="s">
        <v>74</v>
      </c>
      <c r="AC108" t="s">
        <v>2372</v>
      </c>
      <c r="AD108" t="s">
        <v>2373</v>
      </c>
      <c r="AE108" t="s">
        <v>2374</v>
      </c>
      <c r="AF108" t="s">
        <v>74</v>
      </c>
      <c r="AG108">
        <v>19</v>
      </c>
      <c r="AH108">
        <v>2</v>
      </c>
      <c r="AI108">
        <v>2</v>
      </c>
      <c r="AJ108">
        <v>0</v>
      </c>
      <c r="AK108">
        <v>3</v>
      </c>
      <c r="AL108" t="s">
        <v>1667</v>
      </c>
      <c r="AM108" t="s">
        <v>1668</v>
      </c>
      <c r="AN108" t="s">
        <v>1669</v>
      </c>
      <c r="AO108" t="s">
        <v>1670</v>
      </c>
      <c r="AP108" t="s">
        <v>1671</v>
      </c>
      <c r="AQ108" t="s">
        <v>74</v>
      </c>
      <c r="AR108" t="s">
        <v>1654</v>
      </c>
      <c r="AS108" t="s">
        <v>1672</v>
      </c>
      <c r="AT108" t="s">
        <v>2269</v>
      </c>
      <c r="AU108">
        <v>2019</v>
      </c>
      <c r="AV108">
        <v>4576</v>
      </c>
      <c r="AW108">
        <v>3</v>
      </c>
      <c r="AX108" t="s">
        <v>74</v>
      </c>
      <c r="AY108" t="s">
        <v>74</v>
      </c>
      <c r="AZ108" t="s">
        <v>74</v>
      </c>
      <c r="BA108" t="s">
        <v>74</v>
      </c>
      <c r="BB108">
        <v>510</v>
      </c>
      <c r="BC108">
        <v>520</v>
      </c>
      <c r="BD108" t="s">
        <v>74</v>
      </c>
      <c r="BE108" t="s">
        <v>2375</v>
      </c>
      <c r="BF108" t="str">
        <f>HYPERLINK("http://dx.doi.org/10.11646/zootaxa.4576.3.5","http://dx.doi.org/10.11646/zootaxa.4576.3.5")</f>
        <v>http://dx.doi.org/10.11646/zootaxa.4576.3.5</v>
      </c>
      <c r="BG108" t="s">
        <v>74</v>
      </c>
      <c r="BH108" t="s">
        <v>74</v>
      </c>
      <c r="BI108">
        <v>11</v>
      </c>
      <c r="BJ108" t="s">
        <v>1674</v>
      </c>
      <c r="BK108" t="s">
        <v>102</v>
      </c>
      <c r="BL108" t="s">
        <v>1674</v>
      </c>
      <c r="BM108" t="s">
        <v>2376</v>
      </c>
      <c r="BN108">
        <v>31715750</v>
      </c>
      <c r="BO108" t="s">
        <v>74</v>
      </c>
      <c r="BP108" t="s">
        <v>74</v>
      </c>
      <c r="BQ108" t="s">
        <v>74</v>
      </c>
      <c r="BR108" t="s">
        <v>107</v>
      </c>
      <c r="BS108" t="s">
        <v>2377</v>
      </c>
      <c r="BT108" t="str">
        <f>HYPERLINK("https%3A%2F%2Fwww.webofscience.com%2Fwos%2Fwoscc%2Ffull-record%2FWOS:000463107300005","View Full Record in Web of Science")</f>
        <v>View Full Record in Web of Science</v>
      </c>
    </row>
    <row r="109" spans="1:72" x14ac:dyDescent="0.15">
      <c r="A109" t="s">
        <v>72</v>
      </c>
      <c r="B109" t="s">
        <v>2378</v>
      </c>
      <c r="C109" t="s">
        <v>74</v>
      </c>
      <c r="D109" t="s">
        <v>74</v>
      </c>
      <c r="E109" t="s">
        <v>74</v>
      </c>
      <c r="F109" t="s">
        <v>2379</v>
      </c>
      <c r="G109" t="s">
        <v>74</v>
      </c>
      <c r="H109" t="s">
        <v>74</v>
      </c>
      <c r="I109" t="s">
        <v>2380</v>
      </c>
      <c r="J109" t="s">
        <v>2381</v>
      </c>
      <c r="K109" t="s">
        <v>74</v>
      </c>
      <c r="L109" t="s">
        <v>74</v>
      </c>
      <c r="M109" t="s">
        <v>78</v>
      </c>
      <c r="N109" t="s">
        <v>79</v>
      </c>
      <c r="O109" t="s">
        <v>74</v>
      </c>
      <c r="P109" t="s">
        <v>74</v>
      </c>
      <c r="Q109" t="s">
        <v>74</v>
      </c>
      <c r="R109" t="s">
        <v>74</v>
      </c>
      <c r="S109" t="s">
        <v>74</v>
      </c>
      <c r="T109" t="s">
        <v>74</v>
      </c>
      <c r="U109" t="s">
        <v>2382</v>
      </c>
      <c r="V109" t="s">
        <v>2383</v>
      </c>
      <c r="W109" t="s">
        <v>2384</v>
      </c>
      <c r="X109" t="s">
        <v>2385</v>
      </c>
      <c r="Y109" t="s">
        <v>2386</v>
      </c>
      <c r="Z109" t="s">
        <v>2387</v>
      </c>
      <c r="AA109" t="s">
        <v>2388</v>
      </c>
      <c r="AB109" t="s">
        <v>2389</v>
      </c>
      <c r="AC109" t="s">
        <v>2390</v>
      </c>
      <c r="AD109" t="s">
        <v>2391</v>
      </c>
      <c r="AE109" t="s">
        <v>2392</v>
      </c>
      <c r="AF109" t="s">
        <v>74</v>
      </c>
      <c r="AG109">
        <v>94</v>
      </c>
      <c r="AH109">
        <v>11</v>
      </c>
      <c r="AI109">
        <v>16</v>
      </c>
      <c r="AJ109">
        <v>2</v>
      </c>
      <c r="AK109">
        <v>51</v>
      </c>
      <c r="AL109" t="s">
        <v>2055</v>
      </c>
      <c r="AM109" t="s">
        <v>2056</v>
      </c>
      <c r="AN109" t="s">
        <v>2057</v>
      </c>
      <c r="AO109" t="s">
        <v>2393</v>
      </c>
      <c r="AP109" t="s">
        <v>2394</v>
      </c>
      <c r="AQ109" t="s">
        <v>74</v>
      </c>
      <c r="AR109" t="s">
        <v>2395</v>
      </c>
      <c r="AS109" t="s">
        <v>2396</v>
      </c>
      <c r="AT109" t="s">
        <v>2269</v>
      </c>
      <c r="AU109">
        <v>2019</v>
      </c>
      <c r="AV109">
        <v>40</v>
      </c>
      <c r="AW109">
        <v>7</v>
      </c>
      <c r="AX109" t="s">
        <v>74</v>
      </c>
      <c r="AY109" t="s">
        <v>74</v>
      </c>
      <c r="AZ109" t="s">
        <v>74</v>
      </c>
      <c r="BA109" t="s">
        <v>74</v>
      </c>
      <c r="BB109">
        <v>2517</v>
      </c>
      <c r="BC109">
        <v>2541</v>
      </c>
      <c r="BD109" t="s">
        <v>74</v>
      </c>
      <c r="BE109" t="s">
        <v>2397</v>
      </c>
      <c r="BF109" t="str">
        <f>HYPERLINK("http://dx.doi.org/10.1080/01431161.2019.1584926","http://dx.doi.org/10.1080/01431161.2019.1584926")</f>
        <v>http://dx.doi.org/10.1080/01431161.2019.1584926</v>
      </c>
      <c r="BG109" t="s">
        <v>74</v>
      </c>
      <c r="BH109" t="s">
        <v>74</v>
      </c>
      <c r="BI109">
        <v>25</v>
      </c>
      <c r="BJ109" t="s">
        <v>2398</v>
      </c>
      <c r="BK109" t="s">
        <v>102</v>
      </c>
      <c r="BL109" t="s">
        <v>2398</v>
      </c>
      <c r="BM109" t="s">
        <v>2399</v>
      </c>
      <c r="BN109" t="s">
        <v>74</v>
      </c>
      <c r="BO109" t="s">
        <v>74</v>
      </c>
      <c r="BP109" t="s">
        <v>74</v>
      </c>
      <c r="BQ109" t="s">
        <v>74</v>
      </c>
      <c r="BR109" t="s">
        <v>107</v>
      </c>
      <c r="BS109" t="s">
        <v>2400</v>
      </c>
      <c r="BT109" t="str">
        <f>HYPERLINK("https%3A%2F%2Fwww.webofscience.com%2Fwos%2Fwoscc%2Ffull-record%2FWOS:000462012300001","View Full Record in Web of Science")</f>
        <v>View Full Record in Web of Science</v>
      </c>
    </row>
    <row r="110" spans="1:72" x14ac:dyDescent="0.15">
      <c r="A110" t="s">
        <v>72</v>
      </c>
      <c r="B110" t="s">
        <v>2401</v>
      </c>
      <c r="C110" t="s">
        <v>74</v>
      </c>
      <c r="D110" t="s">
        <v>74</v>
      </c>
      <c r="E110" t="s">
        <v>74</v>
      </c>
      <c r="F110" t="s">
        <v>2402</v>
      </c>
      <c r="G110" t="s">
        <v>74</v>
      </c>
      <c r="H110" t="s">
        <v>74</v>
      </c>
      <c r="I110" t="s">
        <v>2403</v>
      </c>
      <c r="J110" t="s">
        <v>2404</v>
      </c>
      <c r="K110" t="s">
        <v>74</v>
      </c>
      <c r="L110" t="s">
        <v>74</v>
      </c>
      <c r="M110" t="s">
        <v>78</v>
      </c>
      <c r="N110" t="s">
        <v>79</v>
      </c>
      <c r="O110" t="s">
        <v>74</v>
      </c>
      <c r="P110" t="s">
        <v>74</v>
      </c>
      <c r="Q110" t="s">
        <v>74</v>
      </c>
      <c r="R110" t="s">
        <v>74</v>
      </c>
      <c r="S110" t="s">
        <v>74</v>
      </c>
      <c r="T110" t="s">
        <v>2405</v>
      </c>
      <c r="U110" t="s">
        <v>2406</v>
      </c>
      <c r="V110" t="s">
        <v>2407</v>
      </c>
      <c r="W110" t="s">
        <v>2408</v>
      </c>
      <c r="X110" t="s">
        <v>2409</v>
      </c>
      <c r="Y110" t="s">
        <v>2410</v>
      </c>
      <c r="Z110" t="s">
        <v>2411</v>
      </c>
      <c r="AA110" t="s">
        <v>2412</v>
      </c>
      <c r="AB110" t="s">
        <v>2413</v>
      </c>
      <c r="AC110" t="s">
        <v>2414</v>
      </c>
      <c r="AD110" t="s">
        <v>2414</v>
      </c>
      <c r="AE110" t="s">
        <v>2415</v>
      </c>
      <c r="AF110" t="s">
        <v>74</v>
      </c>
      <c r="AG110">
        <v>29</v>
      </c>
      <c r="AH110">
        <v>6</v>
      </c>
      <c r="AI110">
        <v>6</v>
      </c>
      <c r="AJ110">
        <v>1</v>
      </c>
      <c r="AK110">
        <v>18</v>
      </c>
      <c r="AL110" t="s">
        <v>2416</v>
      </c>
      <c r="AM110" t="s">
        <v>2056</v>
      </c>
      <c r="AN110" t="s">
        <v>2417</v>
      </c>
      <c r="AO110" t="s">
        <v>2418</v>
      </c>
      <c r="AP110" t="s">
        <v>2419</v>
      </c>
      <c r="AQ110" t="s">
        <v>74</v>
      </c>
      <c r="AR110" t="s">
        <v>2420</v>
      </c>
      <c r="AS110" t="s">
        <v>2421</v>
      </c>
      <c r="AT110" t="s">
        <v>2269</v>
      </c>
      <c r="AU110">
        <v>2019</v>
      </c>
      <c r="AV110">
        <v>44</v>
      </c>
      <c r="AW110">
        <v>4</v>
      </c>
      <c r="AX110" t="s">
        <v>74</v>
      </c>
      <c r="AY110" t="s">
        <v>74</v>
      </c>
      <c r="AZ110" t="s">
        <v>74</v>
      </c>
      <c r="BA110" t="s">
        <v>74</v>
      </c>
      <c r="BB110">
        <v>786</v>
      </c>
      <c r="BC110">
        <v>798</v>
      </c>
      <c r="BD110" t="s">
        <v>74</v>
      </c>
      <c r="BE110" t="s">
        <v>2422</v>
      </c>
      <c r="BF110" t="str">
        <f>HYPERLINK("http://dx.doi.org/10.1080/03075079.2017.1405256","http://dx.doi.org/10.1080/03075079.2017.1405256")</f>
        <v>http://dx.doi.org/10.1080/03075079.2017.1405256</v>
      </c>
      <c r="BG110" t="s">
        <v>74</v>
      </c>
      <c r="BH110" t="s">
        <v>74</v>
      </c>
      <c r="BI110">
        <v>13</v>
      </c>
      <c r="BJ110" t="s">
        <v>2423</v>
      </c>
      <c r="BK110" t="s">
        <v>314</v>
      </c>
      <c r="BL110" t="s">
        <v>2423</v>
      </c>
      <c r="BM110" t="s">
        <v>2424</v>
      </c>
      <c r="BN110" t="s">
        <v>74</v>
      </c>
      <c r="BO110" t="s">
        <v>74</v>
      </c>
      <c r="BP110" t="s">
        <v>74</v>
      </c>
      <c r="BQ110" t="s">
        <v>74</v>
      </c>
      <c r="BR110" t="s">
        <v>107</v>
      </c>
      <c r="BS110" t="s">
        <v>2425</v>
      </c>
      <c r="BT110" t="str">
        <f>HYPERLINK("https%3A%2F%2Fwww.webofscience.com%2Fwos%2Fwoscc%2Ffull-record%2FWOS:000461501000013","View Full Record in Web of Science")</f>
        <v>View Full Record in Web of Science</v>
      </c>
    </row>
    <row r="111" spans="1:72" x14ac:dyDescent="0.15">
      <c r="A111" t="s">
        <v>72</v>
      </c>
      <c r="B111" t="s">
        <v>2426</v>
      </c>
      <c r="C111" t="s">
        <v>74</v>
      </c>
      <c r="D111" t="s">
        <v>74</v>
      </c>
      <c r="E111" t="s">
        <v>74</v>
      </c>
      <c r="F111" t="s">
        <v>2427</v>
      </c>
      <c r="G111" t="s">
        <v>74</v>
      </c>
      <c r="H111" t="s">
        <v>74</v>
      </c>
      <c r="I111" t="s">
        <v>2428</v>
      </c>
      <c r="J111" t="s">
        <v>2429</v>
      </c>
      <c r="K111" t="s">
        <v>74</v>
      </c>
      <c r="L111" t="s">
        <v>74</v>
      </c>
      <c r="M111" t="s">
        <v>78</v>
      </c>
      <c r="N111" t="s">
        <v>79</v>
      </c>
      <c r="O111" t="s">
        <v>74</v>
      </c>
      <c r="P111" t="s">
        <v>74</v>
      </c>
      <c r="Q111" t="s">
        <v>74</v>
      </c>
      <c r="R111" t="s">
        <v>74</v>
      </c>
      <c r="S111" t="s">
        <v>74</v>
      </c>
      <c r="T111" t="s">
        <v>74</v>
      </c>
      <c r="U111" t="s">
        <v>74</v>
      </c>
      <c r="V111" t="s">
        <v>2430</v>
      </c>
      <c r="W111" t="s">
        <v>2431</v>
      </c>
      <c r="X111" t="s">
        <v>2432</v>
      </c>
      <c r="Y111" t="s">
        <v>2433</v>
      </c>
      <c r="Z111" t="s">
        <v>2387</v>
      </c>
      <c r="AA111" t="s">
        <v>2434</v>
      </c>
      <c r="AB111" t="s">
        <v>2435</v>
      </c>
      <c r="AC111" t="s">
        <v>2390</v>
      </c>
      <c r="AD111" t="s">
        <v>2391</v>
      </c>
      <c r="AE111" t="s">
        <v>2436</v>
      </c>
      <c r="AF111" t="s">
        <v>74</v>
      </c>
      <c r="AG111">
        <v>15</v>
      </c>
      <c r="AH111">
        <v>11</v>
      </c>
      <c r="AI111">
        <v>13</v>
      </c>
      <c r="AJ111">
        <v>2</v>
      </c>
      <c r="AK111">
        <v>28</v>
      </c>
      <c r="AL111" t="s">
        <v>2055</v>
      </c>
      <c r="AM111" t="s">
        <v>2056</v>
      </c>
      <c r="AN111" t="s">
        <v>2057</v>
      </c>
      <c r="AO111" t="s">
        <v>2437</v>
      </c>
      <c r="AP111" t="s">
        <v>2438</v>
      </c>
      <c r="AQ111" t="s">
        <v>74</v>
      </c>
      <c r="AR111" t="s">
        <v>2439</v>
      </c>
      <c r="AS111" t="s">
        <v>2440</v>
      </c>
      <c r="AT111" t="s">
        <v>2269</v>
      </c>
      <c r="AU111">
        <v>2019</v>
      </c>
      <c r="AV111">
        <v>10</v>
      </c>
      <c r="AW111">
        <v>4</v>
      </c>
      <c r="AX111" t="s">
        <v>74</v>
      </c>
      <c r="AY111" t="s">
        <v>74</v>
      </c>
      <c r="AZ111" t="s">
        <v>74</v>
      </c>
      <c r="BA111" t="s">
        <v>74</v>
      </c>
      <c r="BB111">
        <v>323</v>
      </c>
      <c r="BC111">
        <v>332</v>
      </c>
      <c r="BD111" t="s">
        <v>74</v>
      </c>
      <c r="BE111" t="s">
        <v>2441</v>
      </c>
      <c r="BF111" t="str">
        <f>HYPERLINK("http://dx.doi.org/10.1080/2150704X.2018.1552809","http://dx.doi.org/10.1080/2150704X.2018.1552809")</f>
        <v>http://dx.doi.org/10.1080/2150704X.2018.1552809</v>
      </c>
      <c r="BG111" t="s">
        <v>74</v>
      </c>
      <c r="BH111" t="s">
        <v>74</v>
      </c>
      <c r="BI111">
        <v>10</v>
      </c>
      <c r="BJ111" t="s">
        <v>2398</v>
      </c>
      <c r="BK111" t="s">
        <v>102</v>
      </c>
      <c r="BL111" t="s">
        <v>2398</v>
      </c>
      <c r="BM111" t="s">
        <v>2442</v>
      </c>
      <c r="BN111" t="s">
        <v>74</v>
      </c>
      <c r="BO111" t="s">
        <v>74</v>
      </c>
      <c r="BP111" t="s">
        <v>74</v>
      </c>
      <c r="BQ111" t="s">
        <v>74</v>
      </c>
      <c r="BR111" t="s">
        <v>107</v>
      </c>
      <c r="BS111" t="s">
        <v>2443</v>
      </c>
      <c r="BT111" t="str">
        <f>HYPERLINK("https%3A%2F%2Fwww.webofscience.com%2Fwos%2Fwoscc%2Ffull-record%2FWOS:000454765000001","View Full Record in Web of Science")</f>
        <v>View Full Record in Web of Science</v>
      </c>
    </row>
    <row r="112" spans="1:72" x14ac:dyDescent="0.15">
      <c r="A112" t="s">
        <v>72</v>
      </c>
      <c r="B112" t="s">
        <v>2444</v>
      </c>
      <c r="C112" t="s">
        <v>74</v>
      </c>
      <c r="D112" t="s">
        <v>74</v>
      </c>
      <c r="E112" t="s">
        <v>74</v>
      </c>
      <c r="F112" t="s">
        <v>2445</v>
      </c>
      <c r="G112" t="s">
        <v>74</v>
      </c>
      <c r="H112" t="s">
        <v>74</v>
      </c>
      <c r="I112" t="s">
        <v>2446</v>
      </c>
      <c r="J112" t="s">
        <v>2447</v>
      </c>
      <c r="K112" t="s">
        <v>74</v>
      </c>
      <c r="L112" t="s">
        <v>74</v>
      </c>
      <c r="M112" t="s">
        <v>78</v>
      </c>
      <c r="N112" t="s">
        <v>79</v>
      </c>
      <c r="O112" t="s">
        <v>74</v>
      </c>
      <c r="P112" t="s">
        <v>74</v>
      </c>
      <c r="Q112" t="s">
        <v>74</v>
      </c>
      <c r="R112" t="s">
        <v>74</v>
      </c>
      <c r="S112" t="s">
        <v>74</v>
      </c>
      <c r="T112" t="s">
        <v>2448</v>
      </c>
      <c r="U112" t="s">
        <v>2449</v>
      </c>
      <c r="V112" t="s">
        <v>2450</v>
      </c>
      <c r="W112" t="s">
        <v>2451</v>
      </c>
      <c r="X112" t="s">
        <v>2452</v>
      </c>
      <c r="Y112" t="s">
        <v>2453</v>
      </c>
      <c r="Z112" t="s">
        <v>2454</v>
      </c>
      <c r="AA112" t="s">
        <v>2455</v>
      </c>
      <c r="AB112" t="s">
        <v>2456</v>
      </c>
      <c r="AC112" t="s">
        <v>2457</v>
      </c>
      <c r="AD112" t="s">
        <v>2458</v>
      </c>
      <c r="AE112" t="s">
        <v>2459</v>
      </c>
      <c r="AF112" t="s">
        <v>74</v>
      </c>
      <c r="AG112">
        <v>70</v>
      </c>
      <c r="AH112">
        <v>17</v>
      </c>
      <c r="AI112">
        <v>17</v>
      </c>
      <c r="AJ112">
        <v>0</v>
      </c>
      <c r="AK112">
        <v>17</v>
      </c>
      <c r="AL112" t="s">
        <v>2011</v>
      </c>
      <c r="AM112" t="s">
        <v>2012</v>
      </c>
      <c r="AN112" t="s">
        <v>2013</v>
      </c>
      <c r="AO112" t="s">
        <v>2460</v>
      </c>
      <c r="AP112" t="s">
        <v>74</v>
      </c>
      <c r="AQ112" t="s">
        <v>74</v>
      </c>
      <c r="AR112" t="s">
        <v>2461</v>
      </c>
      <c r="AS112" t="s">
        <v>2462</v>
      </c>
      <c r="AT112" t="s">
        <v>2463</v>
      </c>
      <c r="AU112">
        <v>2019</v>
      </c>
      <c r="AV112">
        <v>11</v>
      </c>
      <c r="AW112">
        <v>8</v>
      </c>
      <c r="AX112" t="s">
        <v>74</v>
      </c>
      <c r="AY112" t="s">
        <v>74</v>
      </c>
      <c r="AZ112" t="s">
        <v>74</v>
      </c>
      <c r="BA112" t="s">
        <v>74</v>
      </c>
      <c r="BB112" t="s">
        <v>74</v>
      </c>
      <c r="BC112" t="s">
        <v>74</v>
      </c>
      <c r="BD112">
        <v>909</v>
      </c>
      <c r="BE112" t="s">
        <v>2464</v>
      </c>
      <c r="BF112" t="str">
        <f>HYPERLINK("http://dx.doi.org/10.3390/rs11080909","http://dx.doi.org/10.3390/rs11080909")</f>
        <v>http://dx.doi.org/10.3390/rs11080909</v>
      </c>
      <c r="BG112" t="s">
        <v>74</v>
      </c>
      <c r="BH112" t="s">
        <v>74</v>
      </c>
      <c r="BI112">
        <v>20</v>
      </c>
      <c r="BJ112" t="s">
        <v>2465</v>
      </c>
      <c r="BK112" t="s">
        <v>102</v>
      </c>
      <c r="BL112" t="s">
        <v>2466</v>
      </c>
      <c r="BM112" t="s">
        <v>2467</v>
      </c>
      <c r="BN112" t="s">
        <v>74</v>
      </c>
      <c r="BO112" t="s">
        <v>851</v>
      </c>
      <c r="BP112" t="s">
        <v>74</v>
      </c>
      <c r="BQ112" t="s">
        <v>74</v>
      </c>
      <c r="BR112" t="s">
        <v>107</v>
      </c>
      <c r="BS112" t="s">
        <v>2468</v>
      </c>
      <c r="BT112" t="str">
        <f>HYPERLINK("https%3A%2F%2Fwww.webofscience.com%2Fwos%2Fwoscc%2Ffull-record%2FWOS:000467646800019","View Full Record in Web of Science")</f>
        <v>View Full Record in Web of Science</v>
      </c>
    </row>
    <row r="113" spans="1:72" x14ac:dyDescent="0.15">
      <c r="A113" t="s">
        <v>72</v>
      </c>
      <c r="B113" t="s">
        <v>2469</v>
      </c>
      <c r="C113" t="s">
        <v>74</v>
      </c>
      <c r="D113" t="s">
        <v>74</v>
      </c>
      <c r="E113" t="s">
        <v>74</v>
      </c>
      <c r="F113" t="s">
        <v>2470</v>
      </c>
      <c r="G113" t="s">
        <v>74</v>
      </c>
      <c r="H113" t="s">
        <v>74</v>
      </c>
      <c r="I113" t="s">
        <v>2471</v>
      </c>
      <c r="J113" t="s">
        <v>2472</v>
      </c>
      <c r="K113" t="s">
        <v>74</v>
      </c>
      <c r="L113" t="s">
        <v>74</v>
      </c>
      <c r="M113" t="s">
        <v>78</v>
      </c>
      <c r="N113" t="s">
        <v>79</v>
      </c>
      <c r="O113" t="s">
        <v>74</v>
      </c>
      <c r="P113" t="s">
        <v>74</v>
      </c>
      <c r="Q113" t="s">
        <v>74</v>
      </c>
      <c r="R113" t="s">
        <v>74</v>
      </c>
      <c r="S113" t="s">
        <v>74</v>
      </c>
      <c r="T113" t="s">
        <v>2473</v>
      </c>
      <c r="U113" t="s">
        <v>2474</v>
      </c>
      <c r="V113" t="s">
        <v>2475</v>
      </c>
      <c r="W113" t="s">
        <v>2476</v>
      </c>
      <c r="X113" t="s">
        <v>2477</v>
      </c>
      <c r="Y113" t="s">
        <v>2478</v>
      </c>
      <c r="Z113" t="s">
        <v>2479</v>
      </c>
      <c r="AA113" t="s">
        <v>2480</v>
      </c>
      <c r="AB113" t="s">
        <v>2481</v>
      </c>
      <c r="AC113" t="s">
        <v>2482</v>
      </c>
      <c r="AD113" t="s">
        <v>2483</v>
      </c>
      <c r="AE113" t="s">
        <v>2484</v>
      </c>
      <c r="AF113" t="s">
        <v>74</v>
      </c>
      <c r="AG113">
        <v>36</v>
      </c>
      <c r="AH113">
        <v>19</v>
      </c>
      <c r="AI113">
        <v>22</v>
      </c>
      <c r="AJ113">
        <v>3</v>
      </c>
      <c r="AK113">
        <v>17</v>
      </c>
      <c r="AL113" t="s">
        <v>821</v>
      </c>
      <c r="AM113" t="s">
        <v>822</v>
      </c>
      <c r="AN113" t="s">
        <v>823</v>
      </c>
      <c r="AO113" t="s">
        <v>74</v>
      </c>
      <c r="AP113" t="s">
        <v>2485</v>
      </c>
      <c r="AQ113" t="s">
        <v>74</v>
      </c>
      <c r="AR113" t="s">
        <v>2486</v>
      </c>
      <c r="AS113" t="s">
        <v>2487</v>
      </c>
      <c r="AT113" t="s">
        <v>2463</v>
      </c>
      <c r="AU113">
        <v>2019</v>
      </c>
      <c r="AV113">
        <v>7</v>
      </c>
      <c r="AW113" t="s">
        <v>74</v>
      </c>
      <c r="AX113" t="s">
        <v>74</v>
      </c>
      <c r="AY113" t="s">
        <v>74</v>
      </c>
      <c r="AZ113" t="s">
        <v>74</v>
      </c>
      <c r="BA113" t="s">
        <v>74</v>
      </c>
      <c r="BB113" t="s">
        <v>74</v>
      </c>
      <c r="BC113" t="s">
        <v>74</v>
      </c>
      <c r="BD113">
        <v>49</v>
      </c>
      <c r="BE113" t="s">
        <v>2488</v>
      </c>
      <c r="BF113" t="str">
        <f>HYPERLINK("http://dx.doi.org/10.3389/feart.2019.00049","http://dx.doi.org/10.3389/feart.2019.00049")</f>
        <v>http://dx.doi.org/10.3389/feart.2019.00049</v>
      </c>
      <c r="BG113" t="s">
        <v>74</v>
      </c>
      <c r="BH113" t="s">
        <v>74</v>
      </c>
      <c r="BI113">
        <v>8</v>
      </c>
      <c r="BJ113" t="s">
        <v>922</v>
      </c>
      <c r="BK113" t="s">
        <v>102</v>
      </c>
      <c r="BL113" t="s">
        <v>923</v>
      </c>
      <c r="BM113" t="s">
        <v>2489</v>
      </c>
      <c r="BN113" t="s">
        <v>74</v>
      </c>
      <c r="BO113" t="s">
        <v>463</v>
      </c>
      <c r="BP113" t="s">
        <v>74</v>
      </c>
      <c r="BQ113" t="s">
        <v>74</v>
      </c>
      <c r="BR113" t="s">
        <v>107</v>
      </c>
      <c r="BS113" t="s">
        <v>2490</v>
      </c>
      <c r="BT113" t="str">
        <f>HYPERLINK("https%3A%2F%2Fwww.webofscience.com%2Fwos%2Fwoscc%2Ffull-record%2FWOS:000467243200001","View Full Record in Web of Science")</f>
        <v>View Full Record in Web of Science</v>
      </c>
    </row>
    <row r="114" spans="1:72" x14ac:dyDescent="0.15">
      <c r="A114" t="s">
        <v>72</v>
      </c>
      <c r="B114" t="s">
        <v>2491</v>
      </c>
      <c r="C114" t="s">
        <v>74</v>
      </c>
      <c r="D114" t="s">
        <v>74</v>
      </c>
      <c r="E114" t="s">
        <v>74</v>
      </c>
      <c r="F114" t="s">
        <v>2492</v>
      </c>
      <c r="G114" t="s">
        <v>74</v>
      </c>
      <c r="H114" t="s">
        <v>74</v>
      </c>
      <c r="I114" t="s">
        <v>2493</v>
      </c>
      <c r="J114" t="s">
        <v>1720</v>
      </c>
      <c r="K114" t="s">
        <v>74</v>
      </c>
      <c r="L114" t="s">
        <v>74</v>
      </c>
      <c r="M114" t="s">
        <v>78</v>
      </c>
      <c r="N114" t="s">
        <v>79</v>
      </c>
      <c r="O114" t="s">
        <v>74</v>
      </c>
      <c r="P114" t="s">
        <v>74</v>
      </c>
      <c r="Q114" t="s">
        <v>74</v>
      </c>
      <c r="R114" t="s">
        <v>74</v>
      </c>
      <c r="S114" t="s">
        <v>74</v>
      </c>
      <c r="T114" t="s">
        <v>74</v>
      </c>
      <c r="U114" t="s">
        <v>2494</v>
      </c>
      <c r="V114" t="s">
        <v>2495</v>
      </c>
      <c r="W114" t="s">
        <v>2496</v>
      </c>
      <c r="X114" t="s">
        <v>2497</v>
      </c>
      <c r="Y114" t="s">
        <v>2498</v>
      </c>
      <c r="Z114" t="s">
        <v>2499</v>
      </c>
      <c r="AA114" t="s">
        <v>2500</v>
      </c>
      <c r="AB114" t="s">
        <v>2501</v>
      </c>
      <c r="AC114" t="s">
        <v>2502</v>
      </c>
      <c r="AD114" t="s">
        <v>2503</v>
      </c>
      <c r="AE114" t="s">
        <v>2504</v>
      </c>
      <c r="AF114" t="s">
        <v>74</v>
      </c>
      <c r="AG114">
        <v>69</v>
      </c>
      <c r="AH114">
        <v>5</v>
      </c>
      <c r="AI114">
        <v>6</v>
      </c>
      <c r="AJ114">
        <v>2</v>
      </c>
      <c r="AK114">
        <v>11</v>
      </c>
      <c r="AL114" t="s">
        <v>1370</v>
      </c>
      <c r="AM114" t="s">
        <v>1371</v>
      </c>
      <c r="AN114" t="s">
        <v>1372</v>
      </c>
      <c r="AO114" t="s">
        <v>1731</v>
      </c>
      <c r="AP114" t="s">
        <v>74</v>
      </c>
      <c r="AQ114" t="s">
        <v>74</v>
      </c>
      <c r="AR114" t="s">
        <v>1732</v>
      </c>
      <c r="AS114" t="s">
        <v>1733</v>
      </c>
      <c r="AT114" t="s">
        <v>2463</v>
      </c>
      <c r="AU114">
        <v>2019</v>
      </c>
      <c r="AV114">
        <v>9</v>
      </c>
      <c r="AW114" t="s">
        <v>74</v>
      </c>
      <c r="AX114" t="s">
        <v>74</v>
      </c>
      <c r="AY114" t="s">
        <v>74</v>
      </c>
      <c r="AZ114" t="s">
        <v>74</v>
      </c>
      <c r="BA114" t="s">
        <v>74</v>
      </c>
      <c r="BB114" t="s">
        <v>74</v>
      </c>
      <c r="BC114" t="s">
        <v>74</v>
      </c>
      <c r="BD114">
        <v>5523</v>
      </c>
      <c r="BE114" t="s">
        <v>2505</v>
      </c>
      <c r="BF114" t="str">
        <f>HYPERLINK("http://dx.doi.org/10.1038/s41598-019-42003-5","http://dx.doi.org/10.1038/s41598-019-42003-5")</f>
        <v>http://dx.doi.org/10.1038/s41598-019-42003-5</v>
      </c>
      <c r="BG114" t="s">
        <v>74</v>
      </c>
      <c r="BH114" t="s">
        <v>74</v>
      </c>
      <c r="BI114">
        <v>14</v>
      </c>
      <c r="BJ114" t="s">
        <v>460</v>
      </c>
      <c r="BK114" t="s">
        <v>102</v>
      </c>
      <c r="BL114" t="s">
        <v>461</v>
      </c>
      <c r="BM114" t="s">
        <v>2506</v>
      </c>
      <c r="BN114">
        <v>30940855</v>
      </c>
      <c r="BO114" t="s">
        <v>851</v>
      </c>
      <c r="BP114" t="s">
        <v>74</v>
      </c>
      <c r="BQ114" t="s">
        <v>74</v>
      </c>
      <c r="BR114" t="s">
        <v>107</v>
      </c>
      <c r="BS114" t="s">
        <v>2507</v>
      </c>
      <c r="BT114" t="str">
        <f>HYPERLINK("https%3A%2F%2Fwww.webofscience.com%2Fwos%2Fwoscc%2Ffull-record%2FWOS:000462990000065","View Full Record in Web of Science")</f>
        <v>View Full Record in Web of Science</v>
      </c>
    </row>
    <row r="115" spans="1:72" x14ac:dyDescent="0.15">
      <c r="A115" t="s">
        <v>72</v>
      </c>
      <c r="B115" t="s">
        <v>2508</v>
      </c>
      <c r="C115" t="s">
        <v>74</v>
      </c>
      <c r="D115" t="s">
        <v>74</v>
      </c>
      <c r="E115" t="s">
        <v>74</v>
      </c>
      <c r="F115" t="s">
        <v>2509</v>
      </c>
      <c r="G115" t="s">
        <v>74</v>
      </c>
      <c r="H115" t="s">
        <v>74</v>
      </c>
      <c r="I115" t="s">
        <v>2510</v>
      </c>
      <c r="J115" t="s">
        <v>2511</v>
      </c>
      <c r="K115" t="s">
        <v>74</v>
      </c>
      <c r="L115" t="s">
        <v>74</v>
      </c>
      <c r="M115" t="s">
        <v>78</v>
      </c>
      <c r="N115" t="s">
        <v>79</v>
      </c>
      <c r="O115" t="s">
        <v>74</v>
      </c>
      <c r="P115" t="s">
        <v>74</v>
      </c>
      <c r="Q115" t="s">
        <v>74</v>
      </c>
      <c r="R115" t="s">
        <v>74</v>
      </c>
      <c r="S115" t="s">
        <v>74</v>
      </c>
      <c r="T115" t="s">
        <v>74</v>
      </c>
      <c r="U115" t="s">
        <v>2512</v>
      </c>
      <c r="V115" t="s">
        <v>2513</v>
      </c>
      <c r="W115" t="s">
        <v>2514</v>
      </c>
      <c r="X115" t="s">
        <v>2515</v>
      </c>
      <c r="Y115" t="s">
        <v>2516</v>
      </c>
      <c r="Z115" t="s">
        <v>2517</v>
      </c>
      <c r="AA115" t="s">
        <v>2518</v>
      </c>
      <c r="AB115" t="s">
        <v>2519</v>
      </c>
      <c r="AC115" t="s">
        <v>2520</v>
      </c>
      <c r="AD115" t="s">
        <v>2521</v>
      </c>
      <c r="AE115" t="s">
        <v>2522</v>
      </c>
      <c r="AF115" t="s">
        <v>74</v>
      </c>
      <c r="AG115">
        <v>85</v>
      </c>
      <c r="AH115">
        <v>19</v>
      </c>
      <c r="AI115">
        <v>21</v>
      </c>
      <c r="AJ115">
        <v>2</v>
      </c>
      <c r="AK115">
        <v>26</v>
      </c>
      <c r="AL115" t="s">
        <v>2523</v>
      </c>
      <c r="AM115" t="s">
        <v>2524</v>
      </c>
      <c r="AN115" t="s">
        <v>2525</v>
      </c>
      <c r="AO115" t="s">
        <v>2526</v>
      </c>
      <c r="AP115" t="s">
        <v>74</v>
      </c>
      <c r="AQ115" t="s">
        <v>74</v>
      </c>
      <c r="AR115" t="s">
        <v>2511</v>
      </c>
      <c r="AS115" t="s">
        <v>2527</v>
      </c>
      <c r="AT115" t="s">
        <v>2463</v>
      </c>
      <c r="AU115">
        <v>2019</v>
      </c>
      <c r="AV115">
        <v>14</v>
      </c>
      <c r="AW115">
        <v>4</v>
      </c>
      <c r="AX115" t="s">
        <v>74</v>
      </c>
      <c r="AY115" t="s">
        <v>74</v>
      </c>
      <c r="AZ115" t="s">
        <v>74</v>
      </c>
      <c r="BA115" t="s">
        <v>74</v>
      </c>
      <c r="BB115" t="s">
        <v>74</v>
      </c>
      <c r="BC115" t="s">
        <v>74</v>
      </c>
      <c r="BD115" t="s">
        <v>2528</v>
      </c>
      <c r="BE115" t="s">
        <v>2529</v>
      </c>
      <c r="BF115" t="str">
        <f>HYPERLINK("http://dx.doi.org/10.1371/journal.pone.0214814","http://dx.doi.org/10.1371/journal.pone.0214814")</f>
        <v>http://dx.doi.org/10.1371/journal.pone.0214814</v>
      </c>
      <c r="BG115" t="s">
        <v>74</v>
      </c>
      <c r="BH115" t="s">
        <v>74</v>
      </c>
      <c r="BI115">
        <v>28</v>
      </c>
      <c r="BJ115" t="s">
        <v>460</v>
      </c>
      <c r="BK115" t="s">
        <v>102</v>
      </c>
      <c r="BL115" t="s">
        <v>461</v>
      </c>
      <c r="BM115" t="s">
        <v>2530</v>
      </c>
      <c r="BN115">
        <v>30939156</v>
      </c>
      <c r="BO115" t="s">
        <v>2531</v>
      </c>
      <c r="BP115" t="s">
        <v>74</v>
      </c>
      <c r="BQ115" t="s">
        <v>74</v>
      </c>
      <c r="BR115" t="s">
        <v>107</v>
      </c>
      <c r="BS115" t="s">
        <v>2532</v>
      </c>
      <c r="BT115" t="str">
        <f>HYPERLINK("https%3A%2F%2Fwww.webofscience.com%2Fwos%2Fwoscc%2Ffull-record%2FWOS:000462993900041","View Full Record in Web of Science")</f>
        <v>View Full Record in Web of Science</v>
      </c>
    </row>
    <row r="116" spans="1:72" x14ac:dyDescent="0.15">
      <c r="A116" t="s">
        <v>72</v>
      </c>
      <c r="B116" t="s">
        <v>2533</v>
      </c>
      <c r="C116" t="s">
        <v>74</v>
      </c>
      <c r="D116" t="s">
        <v>74</v>
      </c>
      <c r="E116" t="s">
        <v>74</v>
      </c>
      <c r="F116" t="s">
        <v>2534</v>
      </c>
      <c r="G116" t="s">
        <v>74</v>
      </c>
      <c r="H116" t="s">
        <v>74</v>
      </c>
      <c r="I116" t="s">
        <v>2535</v>
      </c>
      <c r="J116" t="s">
        <v>2536</v>
      </c>
      <c r="K116" t="s">
        <v>74</v>
      </c>
      <c r="L116" t="s">
        <v>74</v>
      </c>
      <c r="M116" t="s">
        <v>78</v>
      </c>
      <c r="N116" t="s">
        <v>52</v>
      </c>
      <c r="O116" t="s">
        <v>2537</v>
      </c>
      <c r="P116" t="s">
        <v>2538</v>
      </c>
      <c r="Q116" t="s">
        <v>2539</v>
      </c>
      <c r="R116" t="s">
        <v>74</v>
      </c>
      <c r="S116" t="s">
        <v>74</v>
      </c>
      <c r="T116" t="s">
        <v>74</v>
      </c>
      <c r="U116" t="s">
        <v>74</v>
      </c>
      <c r="V116" t="s">
        <v>74</v>
      </c>
      <c r="W116" t="s">
        <v>74</v>
      </c>
      <c r="X116" t="s">
        <v>74</v>
      </c>
      <c r="Y116" t="s">
        <v>74</v>
      </c>
      <c r="Z116" t="s">
        <v>74</v>
      </c>
      <c r="AA116" t="s">
        <v>74</v>
      </c>
      <c r="AB116" t="s">
        <v>74</v>
      </c>
      <c r="AC116" t="s">
        <v>2540</v>
      </c>
      <c r="AD116" t="s">
        <v>2541</v>
      </c>
      <c r="AE116" t="s">
        <v>2542</v>
      </c>
      <c r="AF116" t="s">
        <v>74</v>
      </c>
      <c r="AG116">
        <v>0</v>
      </c>
      <c r="AH116">
        <v>0</v>
      </c>
      <c r="AI116">
        <v>0</v>
      </c>
      <c r="AJ116">
        <v>0</v>
      </c>
      <c r="AK116">
        <v>0</v>
      </c>
      <c r="AL116" t="s">
        <v>153</v>
      </c>
      <c r="AM116" t="s">
        <v>154</v>
      </c>
      <c r="AN116" t="s">
        <v>155</v>
      </c>
      <c r="AO116" t="s">
        <v>2543</v>
      </c>
      <c r="AP116" t="s">
        <v>2544</v>
      </c>
      <c r="AQ116" t="s">
        <v>74</v>
      </c>
      <c r="AR116" t="s">
        <v>2545</v>
      </c>
      <c r="AS116" t="s">
        <v>2546</v>
      </c>
      <c r="AT116" t="s">
        <v>2547</v>
      </c>
      <c r="AU116">
        <v>2019</v>
      </c>
      <c r="AV116">
        <v>33</v>
      </c>
      <c r="AW116" t="s">
        <v>74</v>
      </c>
      <c r="AX116" t="s">
        <v>74</v>
      </c>
      <c r="AY116">
        <v>1</v>
      </c>
      <c r="AZ116" t="s">
        <v>74</v>
      </c>
      <c r="BA116">
        <v>728.3</v>
      </c>
      <c r="BB116" t="s">
        <v>74</v>
      </c>
      <c r="BC116" t="s">
        <v>74</v>
      </c>
      <c r="BD116" t="s">
        <v>74</v>
      </c>
      <c r="BE116" t="s">
        <v>74</v>
      </c>
      <c r="BF116" t="s">
        <v>74</v>
      </c>
      <c r="BG116" t="s">
        <v>74</v>
      </c>
      <c r="BH116" t="s">
        <v>74</v>
      </c>
      <c r="BI116">
        <v>1</v>
      </c>
      <c r="BJ116" t="s">
        <v>2548</v>
      </c>
      <c r="BK116" t="s">
        <v>615</v>
      </c>
      <c r="BL116" t="s">
        <v>2549</v>
      </c>
      <c r="BM116" t="s">
        <v>2550</v>
      </c>
      <c r="BN116" t="s">
        <v>74</v>
      </c>
      <c r="BO116" t="s">
        <v>74</v>
      </c>
      <c r="BP116" t="s">
        <v>74</v>
      </c>
      <c r="BQ116" t="s">
        <v>74</v>
      </c>
      <c r="BR116" t="s">
        <v>107</v>
      </c>
      <c r="BS116" t="s">
        <v>2551</v>
      </c>
      <c r="BT116" t="str">
        <f>HYPERLINK("https%3A%2F%2Fwww.webofscience.com%2Fwos%2Fwoscc%2Ffull-record%2FWOS:000496555201435","View Full Record in Web of Science")</f>
        <v>View Full Record in Web of Science</v>
      </c>
    </row>
    <row r="117" spans="1:72" x14ac:dyDescent="0.15">
      <c r="A117" t="s">
        <v>72</v>
      </c>
      <c r="B117" t="s">
        <v>2552</v>
      </c>
      <c r="C117" t="s">
        <v>74</v>
      </c>
      <c r="D117" t="s">
        <v>74</v>
      </c>
      <c r="E117" t="s">
        <v>74</v>
      </c>
      <c r="F117" t="s">
        <v>2553</v>
      </c>
      <c r="G117" t="s">
        <v>74</v>
      </c>
      <c r="H117" t="s">
        <v>74</v>
      </c>
      <c r="I117" t="s">
        <v>2554</v>
      </c>
      <c r="J117" t="s">
        <v>2536</v>
      </c>
      <c r="K117" t="s">
        <v>74</v>
      </c>
      <c r="L117" t="s">
        <v>74</v>
      </c>
      <c r="M117" t="s">
        <v>78</v>
      </c>
      <c r="N117" t="s">
        <v>52</v>
      </c>
      <c r="O117" t="s">
        <v>2537</v>
      </c>
      <c r="P117" t="s">
        <v>2538</v>
      </c>
      <c r="Q117" t="s">
        <v>2539</v>
      </c>
      <c r="R117" t="s">
        <v>74</v>
      </c>
      <c r="S117" t="s">
        <v>74</v>
      </c>
      <c r="T117" t="s">
        <v>74</v>
      </c>
      <c r="U117" t="s">
        <v>74</v>
      </c>
      <c r="V117" t="s">
        <v>74</v>
      </c>
      <c r="W117" t="s">
        <v>74</v>
      </c>
      <c r="X117" t="s">
        <v>74</v>
      </c>
      <c r="Y117" t="s">
        <v>74</v>
      </c>
      <c r="Z117" t="s">
        <v>74</v>
      </c>
      <c r="AA117" t="s">
        <v>74</v>
      </c>
      <c r="AB117" t="s">
        <v>74</v>
      </c>
      <c r="AC117" t="s">
        <v>2555</v>
      </c>
      <c r="AD117" t="s">
        <v>1898</v>
      </c>
      <c r="AE117" t="s">
        <v>2556</v>
      </c>
      <c r="AF117" t="s">
        <v>74</v>
      </c>
      <c r="AG117">
        <v>0</v>
      </c>
      <c r="AH117">
        <v>0</v>
      </c>
      <c r="AI117">
        <v>0</v>
      </c>
      <c r="AJ117">
        <v>0</v>
      </c>
      <c r="AK117">
        <v>0</v>
      </c>
      <c r="AL117" t="s">
        <v>153</v>
      </c>
      <c r="AM117" t="s">
        <v>154</v>
      </c>
      <c r="AN117" t="s">
        <v>155</v>
      </c>
      <c r="AO117" t="s">
        <v>2543</v>
      </c>
      <c r="AP117" t="s">
        <v>2544</v>
      </c>
      <c r="AQ117" t="s">
        <v>74</v>
      </c>
      <c r="AR117" t="s">
        <v>2545</v>
      </c>
      <c r="AS117" t="s">
        <v>2546</v>
      </c>
      <c r="AT117" t="s">
        <v>2547</v>
      </c>
      <c r="AU117">
        <v>2019</v>
      </c>
      <c r="AV117">
        <v>33</v>
      </c>
      <c r="AW117" t="s">
        <v>74</v>
      </c>
      <c r="AX117" t="s">
        <v>74</v>
      </c>
      <c r="AY117">
        <v>1</v>
      </c>
      <c r="AZ117" t="s">
        <v>74</v>
      </c>
      <c r="BA117" t="s">
        <v>2557</v>
      </c>
      <c r="BB117" t="s">
        <v>74</v>
      </c>
      <c r="BC117" t="s">
        <v>74</v>
      </c>
      <c r="BD117" t="s">
        <v>74</v>
      </c>
      <c r="BE117" t="s">
        <v>74</v>
      </c>
      <c r="BF117" t="s">
        <v>74</v>
      </c>
      <c r="BG117" t="s">
        <v>74</v>
      </c>
      <c r="BH117" t="s">
        <v>74</v>
      </c>
      <c r="BI117">
        <v>2</v>
      </c>
      <c r="BJ117" t="s">
        <v>2548</v>
      </c>
      <c r="BK117" t="s">
        <v>615</v>
      </c>
      <c r="BL117" t="s">
        <v>2549</v>
      </c>
      <c r="BM117" t="s">
        <v>2550</v>
      </c>
      <c r="BN117" t="s">
        <v>74</v>
      </c>
      <c r="BO117" t="s">
        <v>74</v>
      </c>
      <c r="BP117" t="s">
        <v>74</v>
      </c>
      <c r="BQ117" t="s">
        <v>74</v>
      </c>
      <c r="BR117" t="s">
        <v>107</v>
      </c>
      <c r="BS117" t="s">
        <v>2558</v>
      </c>
      <c r="BT117" t="str">
        <f>HYPERLINK("https%3A%2F%2Fwww.webofscience.com%2Fwos%2Fwoscc%2Ffull-record%2FWOS:000496555200068","View Full Record in Web of Science")</f>
        <v>View Full Record in Web of Science</v>
      </c>
    </row>
    <row r="118" spans="1:72" x14ac:dyDescent="0.15">
      <c r="A118" t="s">
        <v>72</v>
      </c>
      <c r="B118" t="s">
        <v>2559</v>
      </c>
      <c r="C118" t="s">
        <v>74</v>
      </c>
      <c r="D118" t="s">
        <v>74</v>
      </c>
      <c r="E118" t="s">
        <v>74</v>
      </c>
      <c r="F118" t="s">
        <v>2560</v>
      </c>
      <c r="G118" t="s">
        <v>74</v>
      </c>
      <c r="H118" t="s">
        <v>74</v>
      </c>
      <c r="I118" t="s">
        <v>2561</v>
      </c>
      <c r="J118" t="s">
        <v>2562</v>
      </c>
      <c r="K118" t="s">
        <v>74</v>
      </c>
      <c r="L118" t="s">
        <v>74</v>
      </c>
      <c r="M118" t="s">
        <v>78</v>
      </c>
      <c r="N118" t="s">
        <v>79</v>
      </c>
      <c r="O118" t="s">
        <v>74</v>
      </c>
      <c r="P118" t="s">
        <v>74</v>
      </c>
      <c r="Q118" t="s">
        <v>74</v>
      </c>
      <c r="R118" t="s">
        <v>74</v>
      </c>
      <c r="S118" t="s">
        <v>74</v>
      </c>
      <c r="T118" t="s">
        <v>74</v>
      </c>
      <c r="U118" t="s">
        <v>2563</v>
      </c>
      <c r="V118" t="s">
        <v>2564</v>
      </c>
      <c r="W118" t="s">
        <v>2565</v>
      </c>
      <c r="X118" t="s">
        <v>2566</v>
      </c>
      <c r="Y118" t="s">
        <v>2567</v>
      </c>
      <c r="Z118" t="s">
        <v>2568</v>
      </c>
      <c r="AA118" t="s">
        <v>2569</v>
      </c>
      <c r="AB118" t="s">
        <v>2570</v>
      </c>
      <c r="AC118" t="s">
        <v>2571</v>
      </c>
      <c r="AD118" t="s">
        <v>2572</v>
      </c>
      <c r="AE118" t="s">
        <v>2573</v>
      </c>
      <c r="AF118" t="s">
        <v>74</v>
      </c>
      <c r="AG118">
        <v>80</v>
      </c>
      <c r="AH118">
        <v>50</v>
      </c>
      <c r="AI118">
        <v>54</v>
      </c>
      <c r="AJ118">
        <v>1</v>
      </c>
      <c r="AK118">
        <v>6</v>
      </c>
      <c r="AL118" t="s">
        <v>125</v>
      </c>
      <c r="AM118" t="s">
        <v>126</v>
      </c>
      <c r="AN118" t="s">
        <v>127</v>
      </c>
      <c r="AO118" t="s">
        <v>2574</v>
      </c>
      <c r="AP118" t="s">
        <v>2575</v>
      </c>
      <c r="AQ118" t="s">
        <v>74</v>
      </c>
      <c r="AR118" t="s">
        <v>2576</v>
      </c>
      <c r="AS118" t="s">
        <v>2577</v>
      </c>
      <c r="AT118" t="s">
        <v>2547</v>
      </c>
      <c r="AU118">
        <v>2019</v>
      </c>
      <c r="AV118">
        <v>124</v>
      </c>
      <c r="AW118">
        <v>4</v>
      </c>
      <c r="AX118" t="s">
        <v>74</v>
      </c>
      <c r="AY118" t="s">
        <v>74</v>
      </c>
      <c r="AZ118" t="s">
        <v>74</v>
      </c>
      <c r="BA118" t="s">
        <v>74</v>
      </c>
      <c r="BB118">
        <v>2466</v>
      </c>
      <c r="BC118">
        <v>2483</v>
      </c>
      <c r="BD118" t="s">
        <v>74</v>
      </c>
      <c r="BE118" t="s">
        <v>2578</v>
      </c>
      <c r="BF118" t="str">
        <f>HYPERLINK("http://dx.doi.org/10.1029/2018JA026291","http://dx.doi.org/10.1029/2018JA026291")</f>
        <v>http://dx.doi.org/10.1029/2018JA026291</v>
      </c>
      <c r="BG118" t="s">
        <v>74</v>
      </c>
      <c r="BH118" t="s">
        <v>74</v>
      </c>
      <c r="BI118">
        <v>18</v>
      </c>
      <c r="BJ118" t="s">
        <v>2579</v>
      </c>
      <c r="BK118" t="s">
        <v>102</v>
      </c>
      <c r="BL118" t="s">
        <v>2579</v>
      </c>
      <c r="BM118" t="s">
        <v>2580</v>
      </c>
      <c r="BN118" t="s">
        <v>74</v>
      </c>
      <c r="BO118" t="s">
        <v>2581</v>
      </c>
      <c r="BP118" t="s">
        <v>74</v>
      </c>
      <c r="BQ118" t="s">
        <v>74</v>
      </c>
      <c r="BR118" t="s">
        <v>107</v>
      </c>
      <c r="BS118" t="s">
        <v>2582</v>
      </c>
      <c r="BT118" t="str">
        <f>HYPERLINK("https%3A%2F%2Fwww.webofscience.com%2Fwos%2Fwoscc%2Ffull-record%2FWOS:000477707800008","View Full Record in Web of Science")</f>
        <v>View Full Record in Web of Science</v>
      </c>
    </row>
    <row r="119" spans="1:72" x14ac:dyDescent="0.15">
      <c r="A119" t="s">
        <v>72</v>
      </c>
      <c r="B119" t="s">
        <v>2583</v>
      </c>
      <c r="C119" t="s">
        <v>74</v>
      </c>
      <c r="D119" t="s">
        <v>74</v>
      </c>
      <c r="E119" t="s">
        <v>74</v>
      </c>
      <c r="F119" t="s">
        <v>2584</v>
      </c>
      <c r="G119" t="s">
        <v>74</v>
      </c>
      <c r="H119" t="s">
        <v>74</v>
      </c>
      <c r="I119" t="s">
        <v>2585</v>
      </c>
      <c r="J119" t="s">
        <v>2562</v>
      </c>
      <c r="K119" t="s">
        <v>74</v>
      </c>
      <c r="L119" t="s">
        <v>74</v>
      </c>
      <c r="M119" t="s">
        <v>78</v>
      </c>
      <c r="N119" t="s">
        <v>79</v>
      </c>
      <c r="O119" t="s">
        <v>74</v>
      </c>
      <c r="P119" t="s">
        <v>74</v>
      </c>
      <c r="Q119" t="s">
        <v>74</v>
      </c>
      <c r="R119" t="s">
        <v>74</v>
      </c>
      <c r="S119" t="s">
        <v>74</v>
      </c>
      <c r="T119" t="s">
        <v>74</v>
      </c>
      <c r="U119" t="s">
        <v>2586</v>
      </c>
      <c r="V119" t="s">
        <v>2587</v>
      </c>
      <c r="W119" t="s">
        <v>2588</v>
      </c>
      <c r="X119" t="s">
        <v>2589</v>
      </c>
      <c r="Y119" t="s">
        <v>2590</v>
      </c>
      <c r="Z119" t="s">
        <v>2591</v>
      </c>
      <c r="AA119" t="s">
        <v>2592</v>
      </c>
      <c r="AB119" t="s">
        <v>2593</v>
      </c>
      <c r="AC119" t="s">
        <v>2594</v>
      </c>
      <c r="AD119" t="s">
        <v>2595</v>
      </c>
      <c r="AE119" t="s">
        <v>2596</v>
      </c>
      <c r="AF119" t="s">
        <v>74</v>
      </c>
      <c r="AG119">
        <v>62</v>
      </c>
      <c r="AH119">
        <v>15</v>
      </c>
      <c r="AI119">
        <v>16</v>
      </c>
      <c r="AJ119">
        <v>0</v>
      </c>
      <c r="AK119">
        <v>9</v>
      </c>
      <c r="AL119" t="s">
        <v>125</v>
      </c>
      <c r="AM119" t="s">
        <v>126</v>
      </c>
      <c r="AN119" t="s">
        <v>127</v>
      </c>
      <c r="AO119" t="s">
        <v>2574</v>
      </c>
      <c r="AP119" t="s">
        <v>2575</v>
      </c>
      <c r="AQ119" t="s">
        <v>74</v>
      </c>
      <c r="AR119" t="s">
        <v>2576</v>
      </c>
      <c r="AS119" t="s">
        <v>2577</v>
      </c>
      <c r="AT119" t="s">
        <v>2547</v>
      </c>
      <c r="AU119">
        <v>2019</v>
      </c>
      <c r="AV119">
        <v>124</v>
      </c>
      <c r="AW119">
        <v>4</v>
      </c>
      <c r="AX119" t="s">
        <v>74</v>
      </c>
      <c r="AY119" t="s">
        <v>74</v>
      </c>
      <c r="AZ119" t="s">
        <v>74</v>
      </c>
      <c r="BA119" t="s">
        <v>74</v>
      </c>
      <c r="BB119">
        <v>2628</v>
      </c>
      <c r="BC119">
        <v>2642</v>
      </c>
      <c r="BD119" t="s">
        <v>74</v>
      </c>
      <c r="BE119" t="s">
        <v>2597</v>
      </c>
      <c r="BF119" t="str">
        <f>HYPERLINK("http://dx.doi.org/10.1029/2019JA026516","http://dx.doi.org/10.1029/2019JA026516")</f>
        <v>http://dx.doi.org/10.1029/2019JA026516</v>
      </c>
      <c r="BG119" t="s">
        <v>74</v>
      </c>
      <c r="BH119" t="s">
        <v>74</v>
      </c>
      <c r="BI119">
        <v>15</v>
      </c>
      <c r="BJ119" t="s">
        <v>2579</v>
      </c>
      <c r="BK119" t="s">
        <v>102</v>
      </c>
      <c r="BL119" t="s">
        <v>2579</v>
      </c>
      <c r="BM119" t="s">
        <v>2580</v>
      </c>
      <c r="BN119" t="s">
        <v>74</v>
      </c>
      <c r="BO119" t="s">
        <v>925</v>
      </c>
      <c r="BP119" t="s">
        <v>74</v>
      </c>
      <c r="BQ119" t="s">
        <v>74</v>
      </c>
      <c r="BR119" t="s">
        <v>107</v>
      </c>
      <c r="BS119" t="s">
        <v>2598</v>
      </c>
      <c r="BT119" t="str">
        <f>HYPERLINK("https%3A%2F%2Fwww.webofscience.com%2Fwos%2Fwoscc%2Ffull-record%2FWOS:000477707800019","View Full Record in Web of Science")</f>
        <v>View Full Record in Web of Science</v>
      </c>
    </row>
    <row r="120" spans="1:72" x14ac:dyDescent="0.15">
      <c r="A120" t="s">
        <v>72</v>
      </c>
      <c r="B120" t="s">
        <v>2599</v>
      </c>
      <c r="C120" t="s">
        <v>74</v>
      </c>
      <c r="D120" t="s">
        <v>74</v>
      </c>
      <c r="E120" t="s">
        <v>74</v>
      </c>
      <c r="F120" t="s">
        <v>2600</v>
      </c>
      <c r="G120" t="s">
        <v>74</v>
      </c>
      <c r="H120" t="s">
        <v>74</v>
      </c>
      <c r="I120" t="s">
        <v>2601</v>
      </c>
      <c r="J120" t="s">
        <v>2562</v>
      </c>
      <c r="K120" t="s">
        <v>74</v>
      </c>
      <c r="L120" t="s">
        <v>74</v>
      </c>
      <c r="M120" t="s">
        <v>78</v>
      </c>
      <c r="N120" t="s">
        <v>79</v>
      </c>
      <c r="O120" t="s">
        <v>74</v>
      </c>
      <c r="P120" t="s">
        <v>74</v>
      </c>
      <c r="Q120" t="s">
        <v>74</v>
      </c>
      <c r="R120" t="s">
        <v>74</v>
      </c>
      <c r="S120" t="s">
        <v>74</v>
      </c>
      <c r="T120" t="s">
        <v>74</v>
      </c>
      <c r="U120" t="s">
        <v>2602</v>
      </c>
      <c r="V120" t="s">
        <v>2603</v>
      </c>
      <c r="W120" t="s">
        <v>2604</v>
      </c>
      <c r="X120" t="s">
        <v>2605</v>
      </c>
      <c r="Y120" t="s">
        <v>2606</v>
      </c>
      <c r="Z120" t="s">
        <v>2607</v>
      </c>
      <c r="AA120" t="s">
        <v>2608</v>
      </c>
      <c r="AB120" t="s">
        <v>2609</v>
      </c>
      <c r="AC120" t="s">
        <v>2610</v>
      </c>
      <c r="AD120" t="s">
        <v>2611</v>
      </c>
      <c r="AE120" t="s">
        <v>2612</v>
      </c>
      <c r="AF120" t="s">
        <v>74</v>
      </c>
      <c r="AG120">
        <v>43</v>
      </c>
      <c r="AH120">
        <v>5</v>
      </c>
      <c r="AI120">
        <v>6</v>
      </c>
      <c r="AJ120">
        <v>2</v>
      </c>
      <c r="AK120">
        <v>5</v>
      </c>
      <c r="AL120" t="s">
        <v>125</v>
      </c>
      <c r="AM120" t="s">
        <v>126</v>
      </c>
      <c r="AN120" t="s">
        <v>127</v>
      </c>
      <c r="AO120" t="s">
        <v>2574</v>
      </c>
      <c r="AP120" t="s">
        <v>2575</v>
      </c>
      <c r="AQ120" t="s">
        <v>74</v>
      </c>
      <c r="AR120" t="s">
        <v>2576</v>
      </c>
      <c r="AS120" t="s">
        <v>2577</v>
      </c>
      <c r="AT120" t="s">
        <v>2547</v>
      </c>
      <c r="AU120">
        <v>2019</v>
      </c>
      <c r="AV120">
        <v>124</v>
      </c>
      <c r="AW120">
        <v>4</v>
      </c>
      <c r="AX120" t="s">
        <v>74</v>
      </c>
      <c r="AY120" t="s">
        <v>74</v>
      </c>
      <c r="AZ120" t="s">
        <v>74</v>
      </c>
      <c r="BA120" t="s">
        <v>74</v>
      </c>
      <c r="BB120">
        <v>2682</v>
      </c>
      <c r="BC120">
        <v>2696</v>
      </c>
      <c r="BD120" t="s">
        <v>74</v>
      </c>
      <c r="BE120" t="s">
        <v>2613</v>
      </c>
      <c r="BF120" t="str">
        <f>HYPERLINK("http://dx.doi.org/10.1029/2018JA026407","http://dx.doi.org/10.1029/2018JA026407")</f>
        <v>http://dx.doi.org/10.1029/2018JA026407</v>
      </c>
      <c r="BG120" t="s">
        <v>74</v>
      </c>
      <c r="BH120" t="s">
        <v>74</v>
      </c>
      <c r="BI120">
        <v>15</v>
      </c>
      <c r="BJ120" t="s">
        <v>2579</v>
      </c>
      <c r="BK120" t="s">
        <v>102</v>
      </c>
      <c r="BL120" t="s">
        <v>2579</v>
      </c>
      <c r="BM120" t="s">
        <v>2580</v>
      </c>
      <c r="BN120" t="s">
        <v>74</v>
      </c>
      <c r="BO120" t="s">
        <v>2614</v>
      </c>
      <c r="BP120" t="s">
        <v>74</v>
      </c>
      <c r="BQ120" t="s">
        <v>74</v>
      </c>
      <c r="BR120" t="s">
        <v>107</v>
      </c>
      <c r="BS120" t="s">
        <v>2615</v>
      </c>
      <c r="BT120" t="str">
        <f>HYPERLINK("https%3A%2F%2Fwww.webofscience.com%2Fwos%2Fwoscc%2Ffull-record%2FWOS:000477707800023","View Full Record in Web of Science")</f>
        <v>View Full Record in Web of Science</v>
      </c>
    </row>
    <row r="121" spans="1:72" x14ac:dyDescent="0.15">
      <c r="A121" t="s">
        <v>72</v>
      </c>
      <c r="B121" t="s">
        <v>2616</v>
      </c>
      <c r="C121" t="s">
        <v>74</v>
      </c>
      <c r="D121" t="s">
        <v>74</v>
      </c>
      <c r="E121" t="s">
        <v>74</v>
      </c>
      <c r="F121" t="s">
        <v>2617</v>
      </c>
      <c r="G121" t="s">
        <v>74</v>
      </c>
      <c r="H121" t="s">
        <v>74</v>
      </c>
      <c r="I121" t="s">
        <v>2618</v>
      </c>
      <c r="J121" t="s">
        <v>2562</v>
      </c>
      <c r="K121" t="s">
        <v>74</v>
      </c>
      <c r="L121" t="s">
        <v>74</v>
      </c>
      <c r="M121" t="s">
        <v>78</v>
      </c>
      <c r="N121" t="s">
        <v>79</v>
      </c>
      <c r="O121" t="s">
        <v>74</v>
      </c>
      <c r="P121" t="s">
        <v>74</v>
      </c>
      <c r="Q121" t="s">
        <v>74</v>
      </c>
      <c r="R121" t="s">
        <v>74</v>
      </c>
      <c r="S121" t="s">
        <v>74</v>
      </c>
      <c r="T121" t="s">
        <v>74</v>
      </c>
      <c r="U121" t="s">
        <v>2619</v>
      </c>
      <c r="V121" t="s">
        <v>2620</v>
      </c>
      <c r="W121" t="s">
        <v>2621</v>
      </c>
      <c r="X121" t="s">
        <v>2622</v>
      </c>
      <c r="Y121" t="s">
        <v>2623</v>
      </c>
      <c r="Z121" t="s">
        <v>2624</v>
      </c>
      <c r="AA121" t="s">
        <v>2625</v>
      </c>
      <c r="AB121" t="s">
        <v>2626</v>
      </c>
      <c r="AC121" t="s">
        <v>2627</v>
      </c>
      <c r="AD121" t="s">
        <v>2628</v>
      </c>
      <c r="AE121" t="s">
        <v>2629</v>
      </c>
      <c r="AF121" t="s">
        <v>74</v>
      </c>
      <c r="AG121">
        <v>37</v>
      </c>
      <c r="AH121">
        <v>9</v>
      </c>
      <c r="AI121">
        <v>10</v>
      </c>
      <c r="AJ121">
        <v>0</v>
      </c>
      <c r="AK121">
        <v>3</v>
      </c>
      <c r="AL121" t="s">
        <v>125</v>
      </c>
      <c r="AM121" t="s">
        <v>126</v>
      </c>
      <c r="AN121" t="s">
        <v>127</v>
      </c>
      <c r="AO121" t="s">
        <v>2574</v>
      </c>
      <c r="AP121" t="s">
        <v>2575</v>
      </c>
      <c r="AQ121" t="s">
        <v>74</v>
      </c>
      <c r="AR121" t="s">
        <v>2576</v>
      </c>
      <c r="AS121" t="s">
        <v>2577</v>
      </c>
      <c r="AT121" t="s">
        <v>2547</v>
      </c>
      <c r="AU121">
        <v>2019</v>
      </c>
      <c r="AV121">
        <v>124</v>
      </c>
      <c r="AW121">
        <v>4</v>
      </c>
      <c r="AX121" t="s">
        <v>74</v>
      </c>
      <c r="AY121" t="s">
        <v>74</v>
      </c>
      <c r="AZ121" t="s">
        <v>74</v>
      </c>
      <c r="BA121" t="s">
        <v>74</v>
      </c>
      <c r="BB121">
        <v>2920</v>
      </c>
      <c r="BC121">
        <v>2934</v>
      </c>
      <c r="BD121" t="s">
        <v>74</v>
      </c>
      <c r="BE121" t="s">
        <v>2630</v>
      </c>
      <c r="BF121" t="str">
        <f>HYPERLINK("http://dx.doi.org/10.1029/2018JA026067","http://dx.doi.org/10.1029/2018JA026067")</f>
        <v>http://dx.doi.org/10.1029/2018JA026067</v>
      </c>
      <c r="BG121" t="s">
        <v>74</v>
      </c>
      <c r="BH121" t="s">
        <v>74</v>
      </c>
      <c r="BI121">
        <v>15</v>
      </c>
      <c r="BJ121" t="s">
        <v>2579</v>
      </c>
      <c r="BK121" t="s">
        <v>102</v>
      </c>
      <c r="BL121" t="s">
        <v>2579</v>
      </c>
      <c r="BM121" t="s">
        <v>2580</v>
      </c>
      <c r="BN121" t="s">
        <v>74</v>
      </c>
      <c r="BO121" t="s">
        <v>2631</v>
      </c>
      <c r="BP121" t="s">
        <v>74</v>
      </c>
      <c r="BQ121" t="s">
        <v>74</v>
      </c>
      <c r="BR121" t="s">
        <v>107</v>
      </c>
      <c r="BS121" t="s">
        <v>2632</v>
      </c>
      <c r="BT121" t="str">
        <f>HYPERLINK("https%3A%2F%2Fwww.webofscience.com%2Fwos%2Fwoscc%2Ffull-record%2FWOS:000477707800042","View Full Record in Web of Science")</f>
        <v>View Full Record in Web of Science</v>
      </c>
    </row>
    <row r="122" spans="1:72" x14ac:dyDescent="0.15">
      <c r="A122" t="s">
        <v>72</v>
      </c>
      <c r="B122" t="s">
        <v>2633</v>
      </c>
      <c r="C122" t="s">
        <v>74</v>
      </c>
      <c r="D122" t="s">
        <v>74</v>
      </c>
      <c r="E122" t="s">
        <v>74</v>
      </c>
      <c r="F122" t="s">
        <v>2634</v>
      </c>
      <c r="G122" t="s">
        <v>74</v>
      </c>
      <c r="H122" t="s">
        <v>74</v>
      </c>
      <c r="I122" t="s">
        <v>2635</v>
      </c>
      <c r="J122" t="s">
        <v>2562</v>
      </c>
      <c r="K122" t="s">
        <v>74</v>
      </c>
      <c r="L122" t="s">
        <v>74</v>
      </c>
      <c r="M122" t="s">
        <v>78</v>
      </c>
      <c r="N122" t="s">
        <v>79</v>
      </c>
      <c r="O122" t="s">
        <v>74</v>
      </c>
      <c r="P122" t="s">
        <v>74</v>
      </c>
      <c r="Q122" t="s">
        <v>74</v>
      </c>
      <c r="R122" t="s">
        <v>74</v>
      </c>
      <c r="S122" t="s">
        <v>74</v>
      </c>
      <c r="T122" t="s">
        <v>74</v>
      </c>
      <c r="U122" t="s">
        <v>2636</v>
      </c>
      <c r="V122" t="s">
        <v>2637</v>
      </c>
      <c r="W122" t="s">
        <v>2638</v>
      </c>
      <c r="X122" t="s">
        <v>2639</v>
      </c>
      <c r="Y122" t="s">
        <v>2640</v>
      </c>
      <c r="Z122" t="s">
        <v>2641</v>
      </c>
      <c r="AA122" t="s">
        <v>2642</v>
      </c>
      <c r="AB122" t="s">
        <v>2643</v>
      </c>
      <c r="AC122" t="s">
        <v>2644</v>
      </c>
      <c r="AD122" t="s">
        <v>2645</v>
      </c>
      <c r="AE122" t="s">
        <v>2646</v>
      </c>
      <c r="AF122" t="s">
        <v>74</v>
      </c>
      <c r="AG122">
        <v>30</v>
      </c>
      <c r="AH122">
        <v>5</v>
      </c>
      <c r="AI122">
        <v>6</v>
      </c>
      <c r="AJ122">
        <v>0</v>
      </c>
      <c r="AK122">
        <v>19</v>
      </c>
      <c r="AL122" t="s">
        <v>125</v>
      </c>
      <c r="AM122" t="s">
        <v>126</v>
      </c>
      <c r="AN122" t="s">
        <v>127</v>
      </c>
      <c r="AO122" t="s">
        <v>2574</v>
      </c>
      <c r="AP122" t="s">
        <v>2575</v>
      </c>
      <c r="AQ122" t="s">
        <v>74</v>
      </c>
      <c r="AR122" t="s">
        <v>2576</v>
      </c>
      <c r="AS122" t="s">
        <v>2577</v>
      </c>
      <c r="AT122" t="s">
        <v>2547</v>
      </c>
      <c r="AU122">
        <v>2019</v>
      </c>
      <c r="AV122">
        <v>124</v>
      </c>
      <c r="AW122">
        <v>4</v>
      </c>
      <c r="AX122" t="s">
        <v>74</v>
      </c>
      <c r="AY122" t="s">
        <v>74</v>
      </c>
      <c r="AZ122" t="s">
        <v>74</v>
      </c>
      <c r="BA122" t="s">
        <v>74</v>
      </c>
      <c r="BB122">
        <v>3139</v>
      </c>
      <c r="BC122">
        <v>3148</v>
      </c>
      <c r="BD122" t="s">
        <v>74</v>
      </c>
      <c r="BE122" t="s">
        <v>2647</v>
      </c>
      <c r="BF122" t="str">
        <f>HYPERLINK("http://dx.doi.org/10.1029/2018JA026106","http://dx.doi.org/10.1029/2018JA026106")</f>
        <v>http://dx.doi.org/10.1029/2018JA026106</v>
      </c>
      <c r="BG122" t="s">
        <v>74</v>
      </c>
      <c r="BH122" t="s">
        <v>74</v>
      </c>
      <c r="BI122">
        <v>10</v>
      </c>
      <c r="BJ122" t="s">
        <v>2579</v>
      </c>
      <c r="BK122" t="s">
        <v>102</v>
      </c>
      <c r="BL122" t="s">
        <v>2579</v>
      </c>
      <c r="BM122" t="s">
        <v>2580</v>
      </c>
      <c r="BN122" t="s">
        <v>74</v>
      </c>
      <c r="BO122" t="s">
        <v>74</v>
      </c>
      <c r="BP122" t="s">
        <v>74</v>
      </c>
      <c r="BQ122" t="s">
        <v>74</v>
      </c>
      <c r="BR122" t="s">
        <v>107</v>
      </c>
      <c r="BS122" t="s">
        <v>2648</v>
      </c>
      <c r="BT122" t="str">
        <f>HYPERLINK("https%3A%2F%2Fwww.webofscience.com%2Fwos%2Fwoscc%2Ffull-record%2FWOS:000477707800057","View Full Record in Web of Science")</f>
        <v>View Full Record in Web of Science</v>
      </c>
    </row>
    <row r="123" spans="1:72" x14ac:dyDescent="0.15">
      <c r="A123" t="s">
        <v>72</v>
      </c>
      <c r="B123" t="s">
        <v>2649</v>
      </c>
      <c r="C123" t="s">
        <v>74</v>
      </c>
      <c r="D123" t="s">
        <v>74</v>
      </c>
      <c r="E123" t="s">
        <v>74</v>
      </c>
      <c r="F123" t="s">
        <v>2650</v>
      </c>
      <c r="G123" t="s">
        <v>74</v>
      </c>
      <c r="H123" t="s">
        <v>74</v>
      </c>
      <c r="I123" t="s">
        <v>2651</v>
      </c>
      <c r="J123" t="s">
        <v>2652</v>
      </c>
      <c r="K123" t="s">
        <v>74</v>
      </c>
      <c r="L123" t="s">
        <v>74</v>
      </c>
      <c r="M123" t="s">
        <v>78</v>
      </c>
      <c r="N123" t="s">
        <v>79</v>
      </c>
      <c r="O123" t="s">
        <v>74</v>
      </c>
      <c r="P123" t="s">
        <v>74</v>
      </c>
      <c r="Q123" t="s">
        <v>74</v>
      </c>
      <c r="R123" t="s">
        <v>74</v>
      </c>
      <c r="S123" t="s">
        <v>74</v>
      </c>
      <c r="T123" t="s">
        <v>2653</v>
      </c>
      <c r="U123" t="s">
        <v>2654</v>
      </c>
      <c r="V123" t="s">
        <v>2655</v>
      </c>
      <c r="W123" t="s">
        <v>2656</v>
      </c>
      <c r="X123" t="s">
        <v>2657</v>
      </c>
      <c r="Y123" t="s">
        <v>2658</v>
      </c>
      <c r="Z123" t="s">
        <v>2659</v>
      </c>
      <c r="AA123" t="s">
        <v>2660</v>
      </c>
      <c r="AB123" t="s">
        <v>2661</v>
      </c>
      <c r="AC123" t="s">
        <v>2662</v>
      </c>
      <c r="AD123" t="s">
        <v>2663</v>
      </c>
      <c r="AE123" t="s">
        <v>2664</v>
      </c>
      <c r="AF123" t="s">
        <v>74</v>
      </c>
      <c r="AG123">
        <v>66</v>
      </c>
      <c r="AH123">
        <v>22</v>
      </c>
      <c r="AI123">
        <v>22</v>
      </c>
      <c r="AJ123">
        <v>1</v>
      </c>
      <c r="AK123">
        <v>17</v>
      </c>
      <c r="AL123" t="s">
        <v>92</v>
      </c>
      <c r="AM123" t="s">
        <v>93</v>
      </c>
      <c r="AN123" t="s">
        <v>94</v>
      </c>
      <c r="AO123" t="s">
        <v>2665</v>
      </c>
      <c r="AP123" t="s">
        <v>2666</v>
      </c>
      <c r="AQ123" t="s">
        <v>74</v>
      </c>
      <c r="AR123" t="s">
        <v>2667</v>
      </c>
      <c r="AS123" t="s">
        <v>2668</v>
      </c>
      <c r="AT123" t="s">
        <v>2547</v>
      </c>
      <c r="AU123">
        <v>2019</v>
      </c>
      <c r="AV123">
        <v>95</v>
      </c>
      <c r="AW123">
        <v>4</v>
      </c>
      <c r="AX123" t="s">
        <v>74</v>
      </c>
      <c r="AY123" t="s">
        <v>74</v>
      </c>
      <c r="AZ123" t="s">
        <v>74</v>
      </c>
      <c r="BA123" t="s">
        <v>74</v>
      </c>
      <c r="BB123" t="s">
        <v>74</v>
      </c>
      <c r="BC123" t="s">
        <v>74</v>
      </c>
      <c r="BD123" t="s">
        <v>2669</v>
      </c>
      <c r="BE123" t="s">
        <v>2670</v>
      </c>
      <c r="BF123" t="str">
        <f>HYPERLINK("http://dx.doi.org/10.1093/femsec/fiz031","http://dx.doi.org/10.1093/femsec/fiz031")</f>
        <v>http://dx.doi.org/10.1093/femsec/fiz031</v>
      </c>
      <c r="BG123" t="s">
        <v>74</v>
      </c>
      <c r="BH123" t="s">
        <v>74</v>
      </c>
      <c r="BI123">
        <v>12</v>
      </c>
      <c r="BJ123" t="s">
        <v>901</v>
      </c>
      <c r="BK123" t="s">
        <v>102</v>
      </c>
      <c r="BL123" t="s">
        <v>901</v>
      </c>
      <c r="BM123" t="s">
        <v>2671</v>
      </c>
      <c r="BN123">
        <v>30848780</v>
      </c>
      <c r="BO123" t="s">
        <v>74</v>
      </c>
      <c r="BP123" t="s">
        <v>74</v>
      </c>
      <c r="BQ123" t="s">
        <v>74</v>
      </c>
      <c r="BR123" t="s">
        <v>107</v>
      </c>
      <c r="BS123" t="s">
        <v>2672</v>
      </c>
      <c r="BT123" t="str">
        <f>HYPERLINK("https%3A%2F%2Fwww.webofscience.com%2Fwos%2Fwoscc%2Ffull-record%2FWOS:000474761500006","View Full Record in Web of Science")</f>
        <v>View Full Record in Web of Science</v>
      </c>
    </row>
    <row r="124" spans="1:72" x14ac:dyDescent="0.15">
      <c r="A124" t="s">
        <v>72</v>
      </c>
      <c r="B124" t="s">
        <v>2673</v>
      </c>
      <c r="C124" t="s">
        <v>74</v>
      </c>
      <c r="D124" t="s">
        <v>74</v>
      </c>
      <c r="E124" t="s">
        <v>74</v>
      </c>
      <c r="F124" t="s">
        <v>2674</v>
      </c>
      <c r="G124" t="s">
        <v>74</v>
      </c>
      <c r="H124" t="s">
        <v>74</v>
      </c>
      <c r="I124" t="s">
        <v>2675</v>
      </c>
      <c r="J124" t="s">
        <v>2676</v>
      </c>
      <c r="K124" t="s">
        <v>74</v>
      </c>
      <c r="L124" t="s">
        <v>74</v>
      </c>
      <c r="M124" t="s">
        <v>78</v>
      </c>
      <c r="N124" t="s">
        <v>79</v>
      </c>
      <c r="O124" t="s">
        <v>74</v>
      </c>
      <c r="P124" t="s">
        <v>74</v>
      </c>
      <c r="Q124" t="s">
        <v>74</v>
      </c>
      <c r="R124" t="s">
        <v>74</v>
      </c>
      <c r="S124" t="s">
        <v>74</v>
      </c>
      <c r="T124" t="s">
        <v>74</v>
      </c>
      <c r="U124" t="s">
        <v>2677</v>
      </c>
      <c r="V124" t="s">
        <v>2678</v>
      </c>
      <c r="W124" t="s">
        <v>2679</v>
      </c>
      <c r="X124" t="s">
        <v>2680</v>
      </c>
      <c r="Y124" t="s">
        <v>2681</v>
      </c>
      <c r="Z124" t="s">
        <v>2682</v>
      </c>
      <c r="AA124" t="s">
        <v>2683</v>
      </c>
      <c r="AB124" t="s">
        <v>2684</v>
      </c>
      <c r="AC124" t="s">
        <v>2685</v>
      </c>
      <c r="AD124" t="s">
        <v>2686</v>
      </c>
      <c r="AE124" t="s">
        <v>2687</v>
      </c>
      <c r="AF124" t="s">
        <v>74</v>
      </c>
      <c r="AG124">
        <v>59</v>
      </c>
      <c r="AH124">
        <v>210</v>
      </c>
      <c r="AI124">
        <v>232</v>
      </c>
      <c r="AJ124">
        <v>2</v>
      </c>
      <c r="AK124">
        <v>25</v>
      </c>
      <c r="AL124" t="s">
        <v>125</v>
      </c>
      <c r="AM124" t="s">
        <v>126</v>
      </c>
      <c r="AN124" t="s">
        <v>127</v>
      </c>
      <c r="AO124" t="s">
        <v>74</v>
      </c>
      <c r="AP124" t="s">
        <v>2688</v>
      </c>
      <c r="AQ124" t="s">
        <v>74</v>
      </c>
      <c r="AR124" t="s">
        <v>2689</v>
      </c>
      <c r="AS124" t="s">
        <v>2690</v>
      </c>
      <c r="AT124" t="s">
        <v>2547</v>
      </c>
      <c r="AU124">
        <v>2019</v>
      </c>
      <c r="AV124">
        <v>20</v>
      </c>
      <c r="AW124">
        <v>4</v>
      </c>
      <c r="AX124" t="s">
        <v>74</v>
      </c>
      <c r="AY124" t="s">
        <v>74</v>
      </c>
      <c r="AZ124" t="s">
        <v>74</v>
      </c>
      <c r="BA124" t="s">
        <v>74</v>
      </c>
      <c r="BB124">
        <v>1756</v>
      </c>
      <c r="BC124">
        <v>1772</v>
      </c>
      <c r="BD124" t="s">
        <v>74</v>
      </c>
      <c r="BE124" t="s">
        <v>2691</v>
      </c>
      <c r="BF124" t="str">
        <f>HYPERLINK("http://dx.doi.org/10.1029/2018GC008115","http://dx.doi.org/10.1029/2018GC008115")</f>
        <v>http://dx.doi.org/10.1029/2018GC008115</v>
      </c>
      <c r="BG124" t="s">
        <v>74</v>
      </c>
      <c r="BH124" t="s">
        <v>74</v>
      </c>
      <c r="BI124">
        <v>17</v>
      </c>
      <c r="BJ124" t="s">
        <v>643</v>
      </c>
      <c r="BK124" t="s">
        <v>102</v>
      </c>
      <c r="BL124" t="s">
        <v>643</v>
      </c>
      <c r="BM124" t="s">
        <v>2692</v>
      </c>
      <c r="BN124" t="s">
        <v>74</v>
      </c>
      <c r="BO124" t="s">
        <v>2693</v>
      </c>
      <c r="BP124" t="s">
        <v>105</v>
      </c>
      <c r="BQ124" t="s">
        <v>106</v>
      </c>
      <c r="BR124" t="s">
        <v>107</v>
      </c>
      <c r="BS124" t="s">
        <v>2694</v>
      </c>
      <c r="BT124" t="str">
        <f>HYPERLINK("https%3A%2F%2Fwww.webofscience.com%2Fwos%2Fwoscc%2Ffull-record%2FWOS:000473674300005","View Full Record in Web of Science")</f>
        <v>View Full Record in Web of Science</v>
      </c>
    </row>
    <row r="125" spans="1:72" x14ac:dyDescent="0.15">
      <c r="A125" t="s">
        <v>72</v>
      </c>
      <c r="B125" t="s">
        <v>2695</v>
      </c>
      <c r="C125" t="s">
        <v>74</v>
      </c>
      <c r="D125" t="s">
        <v>74</v>
      </c>
      <c r="E125" t="s">
        <v>74</v>
      </c>
      <c r="F125" t="s">
        <v>2696</v>
      </c>
      <c r="G125" t="s">
        <v>74</v>
      </c>
      <c r="H125" t="s">
        <v>74</v>
      </c>
      <c r="I125" t="s">
        <v>2697</v>
      </c>
      <c r="J125" t="s">
        <v>2698</v>
      </c>
      <c r="K125" t="s">
        <v>74</v>
      </c>
      <c r="L125" t="s">
        <v>74</v>
      </c>
      <c r="M125" t="s">
        <v>78</v>
      </c>
      <c r="N125" t="s">
        <v>2699</v>
      </c>
      <c r="O125" t="s">
        <v>74</v>
      </c>
      <c r="P125" t="s">
        <v>74</v>
      </c>
      <c r="Q125" t="s">
        <v>74</v>
      </c>
      <c r="R125" t="s">
        <v>74</v>
      </c>
      <c r="S125" t="s">
        <v>74</v>
      </c>
      <c r="T125" t="s">
        <v>74</v>
      </c>
      <c r="U125" t="s">
        <v>74</v>
      </c>
      <c r="V125" t="s">
        <v>74</v>
      </c>
      <c r="W125" t="s">
        <v>2700</v>
      </c>
      <c r="X125" t="s">
        <v>2701</v>
      </c>
      <c r="Y125" t="s">
        <v>2702</v>
      </c>
      <c r="Z125" t="s">
        <v>2703</v>
      </c>
      <c r="AA125" t="s">
        <v>74</v>
      </c>
      <c r="AB125" t="s">
        <v>74</v>
      </c>
      <c r="AC125" t="s">
        <v>74</v>
      </c>
      <c r="AD125" t="s">
        <v>74</v>
      </c>
      <c r="AE125" t="s">
        <v>74</v>
      </c>
      <c r="AF125" t="s">
        <v>74</v>
      </c>
      <c r="AG125">
        <v>7</v>
      </c>
      <c r="AH125">
        <v>0</v>
      </c>
      <c r="AI125">
        <v>0</v>
      </c>
      <c r="AJ125">
        <v>0</v>
      </c>
      <c r="AK125">
        <v>0</v>
      </c>
      <c r="AL125" t="s">
        <v>2704</v>
      </c>
      <c r="AM125" t="s">
        <v>794</v>
      </c>
      <c r="AN125" t="s">
        <v>2705</v>
      </c>
      <c r="AO125" t="s">
        <v>2706</v>
      </c>
      <c r="AP125" t="s">
        <v>2707</v>
      </c>
      <c r="AQ125" t="s">
        <v>74</v>
      </c>
      <c r="AR125" t="s">
        <v>2708</v>
      </c>
      <c r="AS125" t="s">
        <v>2709</v>
      </c>
      <c r="AT125" t="s">
        <v>2710</v>
      </c>
      <c r="AU125">
        <v>2019</v>
      </c>
      <c r="AV125">
        <v>8</v>
      </c>
      <c r="AW125">
        <v>1</v>
      </c>
      <c r="AX125" t="s">
        <v>74</v>
      </c>
      <c r="AY125" t="s">
        <v>74</v>
      </c>
      <c r="AZ125" t="s">
        <v>74</v>
      </c>
      <c r="BA125" t="s">
        <v>74</v>
      </c>
      <c r="BB125">
        <v>142</v>
      </c>
      <c r="BC125">
        <v>147</v>
      </c>
      <c r="BD125" t="s">
        <v>74</v>
      </c>
      <c r="BE125" t="s">
        <v>74</v>
      </c>
      <c r="BF125" t="s">
        <v>74</v>
      </c>
      <c r="BG125" t="s">
        <v>74</v>
      </c>
      <c r="BH125" t="s">
        <v>74</v>
      </c>
      <c r="BI125">
        <v>6</v>
      </c>
      <c r="BJ125" t="s">
        <v>2711</v>
      </c>
      <c r="BK125" t="s">
        <v>2712</v>
      </c>
      <c r="BL125" t="s">
        <v>2713</v>
      </c>
      <c r="BM125" t="s">
        <v>2714</v>
      </c>
      <c r="BN125" t="s">
        <v>74</v>
      </c>
      <c r="BO125" t="s">
        <v>74</v>
      </c>
      <c r="BP125" t="s">
        <v>74</v>
      </c>
      <c r="BQ125" t="s">
        <v>74</v>
      </c>
      <c r="BR125" t="s">
        <v>107</v>
      </c>
      <c r="BS125" t="s">
        <v>2715</v>
      </c>
      <c r="BT125" t="str">
        <f>HYPERLINK("https%3A%2F%2Fwww.webofscience.com%2Fwos%2Fwoscc%2Ffull-record%2FWOS:000474638100017","View Full Record in Web of Science")</f>
        <v>View Full Record in Web of Science</v>
      </c>
    </row>
    <row r="126" spans="1:72" x14ac:dyDescent="0.15">
      <c r="A126" t="s">
        <v>72</v>
      </c>
      <c r="B126" t="s">
        <v>2716</v>
      </c>
      <c r="C126" t="s">
        <v>74</v>
      </c>
      <c r="D126" t="s">
        <v>74</v>
      </c>
      <c r="E126" t="s">
        <v>74</v>
      </c>
      <c r="F126" t="s">
        <v>2717</v>
      </c>
      <c r="G126" t="s">
        <v>74</v>
      </c>
      <c r="H126" t="s">
        <v>74</v>
      </c>
      <c r="I126" t="s">
        <v>2718</v>
      </c>
      <c r="J126" t="s">
        <v>2719</v>
      </c>
      <c r="K126" t="s">
        <v>74</v>
      </c>
      <c r="L126" t="s">
        <v>74</v>
      </c>
      <c r="M126" t="s">
        <v>78</v>
      </c>
      <c r="N126" t="s">
        <v>79</v>
      </c>
      <c r="O126" t="s">
        <v>74</v>
      </c>
      <c r="P126" t="s">
        <v>74</v>
      </c>
      <c r="Q126" t="s">
        <v>74</v>
      </c>
      <c r="R126" t="s">
        <v>74</v>
      </c>
      <c r="S126" t="s">
        <v>74</v>
      </c>
      <c r="T126" t="s">
        <v>2720</v>
      </c>
      <c r="U126" t="s">
        <v>2721</v>
      </c>
      <c r="V126" t="s">
        <v>2722</v>
      </c>
      <c r="W126" t="s">
        <v>2723</v>
      </c>
      <c r="X126" t="s">
        <v>2724</v>
      </c>
      <c r="Y126" t="s">
        <v>2725</v>
      </c>
      <c r="Z126" t="s">
        <v>2726</v>
      </c>
      <c r="AA126" t="s">
        <v>2727</v>
      </c>
      <c r="AB126" t="s">
        <v>2728</v>
      </c>
      <c r="AC126" t="s">
        <v>2729</v>
      </c>
      <c r="AD126" t="s">
        <v>2730</v>
      </c>
      <c r="AE126" t="s">
        <v>2731</v>
      </c>
      <c r="AF126" t="s">
        <v>74</v>
      </c>
      <c r="AG126">
        <v>65</v>
      </c>
      <c r="AH126">
        <v>6</v>
      </c>
      <c r="AI126">
        <v>6</v>
      </c>
      <c r="AJ126">
        <v>0</v>
      </c>
      <c r="AK126">
        <v>8</v>
      </c>
      <c r="AL126" t="s">
        <v>2011</v>
      </c>
      <c r="AM126" t="s">
        <v>2012</v>
      </c>
      <c r="AN126" t="s">
        <v>2013</v>
      </c>
      <c r="AO126" t="s">
        <v>2732</v>
      </c>
      <c r="AP126" t="s">
        <v>74</v>
      </c>
      <c r="AQ126" t="s">
        <v>74</v>
      </c>
      <c r="AR126" t="s">
        <v>2733</v>
      </c>
      <c r="AS126" t="s">
        <v>2734</v>
      </c>
      <c r="AT126" t="s">
        <v>2547</v>
      </c>
      <c r="AU126">
        <v>2019</v>
      </c>
      <c r="AV126">
        <v>11</v>
      </c>
      <c r="AW126">
        <v>4</v>
      </c>
      <c r="AX126" t="s">
        <v>74</v>
      </c>
      <c r="AY126" t="s">
        <v>74</v>
      </c>
      <c r="AZ126" t="s">
        <v>74</v>
      </c>
      <c r="BA126" t="s">
        <v>74</v>
      </c>
      <c r="BB126" t="s">
        <v>74</v>
      </c>
      <c r="BC126" t="s">
        <v>74</v>
      </c>
      <c r="BD126">
        <v>683</v>
      </c>
      <c r="BE126" t="s">
        <v>2735</v>
      </c>
      <c r="BF126" t="str">
        <f>HYPERLINK("http://dx.doi.org/10.3390/w11040683","http://dx.doi.org/10.3390/w11040683")</f>
        <v>http://dx.doi.org/10.3390/w11040683</v>
      </c>
      <c r="BG126" t="s">
        <v>74</v>
      </c>
      <c r="BH126" t="s">
        <v>74</v>
      </c>
      <c r="BI126">
        <v>20</v>
      </c>
      <c r="BJ126" t="s">
        <v>2736</v>
      </c>
      <c r="BK126" t="s">
        <v>102</v>
      </c>
      <c r="BL126" t="s">
        <v>2737</v>
      </c>
      <c r="BM126" t="s">
        <v>2738</v>
      </c>
      <c r="BN126" t="s">
        <v>74</v>
      </c>
      <c r="BO126" t="s">
        <v>2739</v>
      </c>
      <c r="BP126" t="s">
        <v>74</v>
      </c>
      <c r="BQ126" t="s">
        <v>74</v>
      </c>
      <c r="BR126" t="s">
        <v>107</v>
      </c>
      <c r="BS126" t="s">
        <v>2740</v>
      </c>
      <c r="BT126" t="str">
        <f>HYPERLINK("https%3A%2F%2Fwww.webofscience.com%2Fwos%2Fwoscc%2Ffull-record%2FWOS:000473105700053","View Full Record in Web of Science")</f>
        <v>View Full Record in Web of Science</v>
      </c>
    </row>
    <row r="127" spans="1:72" x14ac:dyDescent="0.15">
      <c r="A127" t="s">
        <v>72</v>
      </c>
      <c r="B127" t="s">
        <v>2741</v>
      </c>
      <c r="C127" t="s">
        <v>74</v>
      </c>
      <c r="D127" t="s">
        <v>74</v>
      </c>
      <c r="E127" t="s">
        <v>74</v>
      </c>
      <c r="F127" t="s">
        <v>2742</v>
      </c>
      <c r="G127" t="s">
        <v>74</v>
      </c>
      <c r="H127" t="s">
        <v>74</v>
      </c>
      <c r="I127" t="s">
        <v>2743</v>
      </c>
      <c r="J127" t="s">
        <v>2744</v>
      </c>
      <c r="K127" t="s">
        <v>74</v>
      </c>
      <c r="L127" t="s">
        <v>74</v>
      </c>
      <c r="M127" t="s">
        <v>78</v>
      </c>
      <c r="N127" t="s">
        <v>79</v>
      </c>
      <c r="O127" t="s">
        <v>74</v>
      </c>
      <c r="P127" t="s">
        <v>74</v>
      </c>
      <c r="Q127" t="s">
        <v>74</v>
      </c>
      <c r="R127" t="s">
        <v>74</v>
      </c>
      <c r="S127" t="s">
        <v>74</v>
      </c>
      <c r="T127" t="s">
        <v>2745</v>
      </c>
      <c r="U127" t="s">
        <v>2746</v>
      </c>
      <c r="V127" t="s">
        <v>2747</v>
      </c>
      <c r="W127" t="s">
        <v>2748</v>
      </c>
      <c r="X127" t="s">
        <v>2749</v>
      </c>
      <c r="Y127" t="s">
        <v>2750</v>
      </c>
      <c r="Z127" t="s">
        <v>2751</v>
      </c>
      <c r="AA127" t="s">
        <v>2752</v>
      </c>
      <c r="AB127" t="s">
        <v>2753</v>
      </c>
      <c r="AC127" t="s">
        <v>2754</v>
      </c>
      <c r="AD127" t="s">
        <v>2755</v>
      </c>
      <c r="AE127" t="s">
        <v>2756</v>
      </c>
      <c r="AF127" t="s">
        <v>74</v>
      </c>
      <c r="AG127">
        <v>118</v>
      </c>
      <c r="AH127">
        <v>35</v>
      </c>
      <c r="AI127">
        <v>37</v>
      </c>
      <c r="AJ127">
        <v>4</v>
      </c>
      <c r="AK127">
        <v>48</v>
      </c>
      <c r="AL127" t="s">
        <v>92</v>
      </c>
      <c r="AM127" t="s">
        <v>93</v>
      </c>
      <c r="AN127" t="s">
        <v>94</v>
      </c>
      <c r="AO127" t="s">
        <v>2757</v>
      </c>
      <c r="AP127" t="s">
        <v>2758</v>
      </c>
      <c r="AQ127" t="s">
        <v>74</v>
      </c>
      <c r="AR127" t="s">
        <v>2759</v>
      </c>
      <c r="AS127" t="s">
        <v>2760</v>
      </c>
      <c r="AT127" t="s">
        <v>2547</v>
      </c>
      <c r="AU127">
        <v>2019</v>
      </c>
      <c r="AV127">
        <v>36</v>
      </c>
      <c r="AW127">
        <v>4</v>
      </c>
      <c r="AX127" t="s">
        <v>74</v>
      </c>
      <c r="AY127" t="s">
        <v>74</v>
      </c>
      <c r="AZ127" t="s">
        <v>74</v>
      </c>
      <c r="BA127" t="s">
        <v>74</v>
      </c>
      <c r="BB127">
        <v>784</v>
      </c>
      <c r="BC127">
        <v>797</v>
      </c>
      <c r="BD127" t="s">
        <v>74</v>
      </c>
      <c r="BE127" t="s">
        <v>2761</v>
      </c>
      <c r="BF127" t="str">
        <f>HYPERLINK("http://dx.doi.org/10.1093/molbev/msz017","http://dx.doi.org/10.1093/molbev/msz017")</f>
        <v>http://dx.doi.org/10.1093/molbev/msz017</v>
      </c>
      <c r="BG127" t="s">
        <v>74</v>
      </c>
      <c r="BH127" t="s">
        <v>74</v>
      </c>
      <c r="BI127">
        <v>14</v>
      </c>
      <c r="BJ127" t="s">
        <v>2762</v>
      </c>
      <c r="BK127" t="s">
        <v>102</v>
      </c>
      <c r="BL127" t="s">
        <v>2762</v>
      </c>
      <c r="BM127" t="s">
        <v>2763</v>
      </c>
      <c r="BN127">
        <v>30722030</v>
      </c>
      <c r="BO127" t="s">
        <v>2764</v>
      </c>
      <c r="BP127" t="s">
        <v>74</v>
      </c>
      <c r="BQ127" t="s">
        <v>74</v>
      </c>
      <c r="BR127" t="s">
        <v>107</v>
      </c>
      <c r="BS127" t="s">
        <v>2765</v>
      </c>
      <c r="BT127" t="str">
        <f>HYPERLINK("https%3A%2F%2Fwww.webofscience.com%2Fwos%2Fwoscc%2Ffull-record%2FWOS:000473583700011","View Full Record in Web of Science")</f>
        <v>View Full Record in Web of Science</v>
      </c>
    </row>
    <row r="128" spans="1:72" x14ac:dyDescent="0.15">
      <c r="A128" t="s">
        <v>72</v>
      </c>
      <c r="B128" t="s">
        <v>2766</v>
      </c>
      <c r="C128" t="s">
        <v>74</v>
      </c>
      <c r="D128" t="s">
        <v>74</v>
      </c>
      <c r="E128" t="s">
        <v>74</v>
      </c>
      <c r="F128" t="s">
        <v>2767</v>
      </c>
      <c r="G128" t="s">
        <v>74</v>
      </c>
      <c r="H128" t="s">
        <v>74</v>
      </c>
      <c r="I128" t="s">
        <v>2768</v>
      </c>
      <c r="J128" t="s">
        <v>368</v>
      </c>
      <c r="K128" t="s">
        <v>74</v>
      </c>
      <c r="L128" t="s">
        <v>74</v>
      </c>
      <c r="M128" t="s">
        <v>78</v>
      </c>
      <c r="N128" t="s">
        <v>79</v>
      </c>
      <c r="O128" t="s">
        <v>74</v>
      </c>
      <c r="P128" t="s">
        <v>74</v>
      </c>
      <c r="Q128" t="s">
        <v>74</v>
      </c>
      <c r="R128" t="s">
        <v>74</v>
      </c>
      <c r="S128" t="s">
        <v>74</v>
      </c>
      <c r="T128" t="s">
        <v>2769</v>
      </c>
      <c r="U128" t="s">
        <v>2770</v>
      </c>
      <c r="V128" t="s">
        <v>2771</v>
      </c>
      <c r="W128" t="s">
        <v>2772</v>
      </c>
      <c r="X128" t="s">
        <v>2773</v>
      </c>
      <c r="Y128" t="s">
        <v>2774</v>
      </c>
      <c r="Z128" t="s">
        <v>2775</v>
      </c>
      <c r="AA128" t="s">
        <v>2776</v>
      </c>
      <c r="AB128" t="s">
        <v>2777</v>
      </c>
      <c r="AC128" t="s">
        <v>2778</v>
      </c>
      <c r="AD128" t="s">
        <v>2779</v>
      </c>
      <c r="AE128" t="s">
        <v>2780</v>
      </c>
      <c r="AF128" t="s">
        <v>74</v>
      </c>
      <c r="AG128">
        <v>109</v>
      </c>
      <c r="AH128">
        <v>16</v>
      </c>
      <c r="AI128">
        <v>18</v>
      </c>
      <c r="AJ128">
        <v>0</v>
      </c>
      <c r="AK128">
        <v>9</v>
      </c>
      <c r="AL128" t="s">
        <v>378</v>
      </c>
      <c r="AM128" t="s">
        <v>93</v>
      </c>
      <c r="AN128" t="s">
        <v>379</v>
      </c>
      <c r="AO128" t="s">
        <v>380</v>
      </c>
      <c r="AP128" t="s">
        <v>74</v>
      </c>
      <c r="AQ128" t="s">
        <v>74</v>
      </c>
      <c r="AR128" t="s">
        <v>381</v>
      </c>
      <c r="AS128" t="s">
        <v>382</v>
      </c>
      <c r="AT128" t="s">
        <v>2547</v>
      </c>
      <c r="AU128">
        <v>2019</v>
      </c>
      <c r="AV128">
        <v>173</v>
      </c>
      <c r="AW128" t="s">
        <v>74</v>
      </c>
      <c r="AX128" t="s">
        <v>74</v>
      </c>
      <c r="AY128" t="s">
        <v>74</v>
      </c>
      <c r="AZ128" t="s">
        <v>74</v>
      </c>
      <c r="BA128" t="s">
        <v>74</v>
      </c>
      <c r="BB128">
        <v>165</v>
      </c>
      <c r="BC128">
        <v>179</v>
      </c>
      <c r="BD128" t="s">
        <v>74</v>
      </c>
      <c r="BE128" t="s">
        <v>2781</v>
      </c>
      <c r="BF128" t="str">
        <f>HYPERLINK("http://dx.doi.org/10.1016/j.pocean.2019.02.013","http://dx.doi.org/10.1016/j.pocean.2019.02.013")</f>
        <v>http://dx.doi.org/10.1016/j.pocean.2019.02.013</v>
      </c>
      <c r="BG128" t="s">
        <v>74</v>
      </c>
      <c r="BH128" t="s">
        <v>74</v>
      </c>
      <c r="BI128">
        <v>15</v>
      </c>
      <c r="BJ128" t="s">
        <v>277</v>
      </c>
      <c r="BK128" t="s">
        <v>102</v>
      </c>
      <c r="BL128" t="s">
        <v>277</v>
      </c>
      <c r="BM128" t="s">
        <v>2782</v>
      </c>
      <c r="BN128" t="s">
        <v>74</v>
      </c>
      <c r="BO128" t="s">
        <v>2783</v>
      </c>
      <c r="BP128" t="s">
        <v>74</v>
      </c>
      <c r="BQ128" t="s">
        <v>74</v>
      </c>
      <c r="BR128" t="s">
        <v>107</v>
      </c>
      <c r="BS128" t="s">
        <v>2784</v>
      </c>
      <c r="BT128" t="str">
        <f>HYPERLINK("https%3A%2F%2Fwww.webofscience.com%2Fwos%2Fwoscc%2Ffull-record%2FWOS:000471739000012","View Full Record in Web of Science")</f>
        <v>View Full Record in Web of Science</v>
      </c>
    </row>
    <row r="129" spans="1:72" x14ac:dyDescent="0.15">
      <c r="A129" t="s">
        <v>72</v>
      </c>
      <c r="B129" t="s">
        <v>2785</v>
      </c>
      <c r="C129" t="s">
        <v>74</v>
      </c>
      <c r="D129" t="s">
        <v>74</v>
      </c>
      <c r="E129" t="s">
        <v>74</v>
      </c>
      <c r="F129" t="s">
        <v>2786</v>
      </c>
      <c r="G129" t="s">
        <v>74</v>
      </c>
      <c r="H129" t="s">
        <v>74</v>
      </c>
      <c r="I129" t="s">
        <v>2787</v>
      </c>
      <c r="J129" t="s">
        <v>2788</v>
      </c>
      <c r="K129" t="s">
        <v>74</v>
      </c>
      <c r="L129" t="s">
        <v>74</v>
      </c>
      <c r="M129" t="s">
        <v>78</v>
      </c>
      <c r="N129" t="s">
        <v>79</v>
      </c>
      <c r="O129" t="s">
        <v>74</v>
      </c>
      <c r="P129" t="s">
        <v>74</v>
      </c>
      <c r="Q129" t="s">
        <v>74</v>
      </c>
      <c r="R129" t="s">
        <v>74</v>
      </c>
      <c r="S129" t="s">
        <v>74</v>
      </c>
      <c r="T129" t="s">
        <v>74</v>
      </c>
      <c r="U129" t="s">
        <v>2789</v>
      </c>
      <c r="V129" t="s">
        <v>2790</v>
      </c>
      <c r="W129" t="s">
        <v>2791</v>
      </c>
      <c r="X129" t="s">
        <v>2792</v>
      </c>
      <c r="Y129" t="s">
        <v>2793</v>
      </c>
      <c r="Z129" t="s">
        <v>2794</v>
      </c>
      <c r="AA129" t="s">
        <v>2795</v>
      </c>
      <c r="AB129" t="s">
        <v>2796</v>
      </c>
      <c r="AC129" t="s">
        <v>2797</v>
      </c>
      <c r="AD129" t="s">
        <v>2798</v>
      </c>
      <c r="AE129" t="s">
        <v>2799</v>
      </c>
      <c r="AF129" t="s">
        <v>74</v>
      </c>
      <c r="AG129">
        <v>72</v>
      </c>
      <c r="AH129">
        <v>12</v>
      </c>
      <c r="AI129">
        <v>13</v>
      </c>
      <c r="AJ129">
        <v>1</v>
      </c>
      <c r="AK129">
        <v>11</v>
      </c>
      <c r="AL129" t="s">
        <v>125</v>
      </c>
      <c r="AM129" t="s">
        <v>126</v>
      </c>
      <c r="AN129" t="s">
        <v>127</v>
      </c>
      <c r="AO129" t="s">
        <v>2800</v>
      </c>
      <c r="AP129" t="s">
        <v>2801</v>
      </c>
      <c r="AQ129" t="s">
        <v>74</v>
      </c>
      <c r="AR129" t="s">
        <v>2802</v>
      </c>
      <c r="AS129" t="s">
        <v>2803</v>
      </c>
      <c r="AT129" t="s">
        <v>2547</v>
      </c>
      <c r="AU129">
        <v>2019</v>
      </c>
      <c r="AV129">
        <v>34</v>
      </c>
      <c r="AW129">
        <v>4</v>
      </c>
      <c r="AX129" t="s">
        <v>74</v>
      </c>
      <c r="AY129" t="s">
        <v>74</v>
      </c>
      <c r="AZ129" t="s">
        <v>74</v>
      </c>
      <c r="BA129" t="s">
        <v>74</v>
      </c>
      <c r="BB129">
        <v>511</v>
      </c>
      <c r="BC129">
        <v>523</v>
      </c>
      <c r="BD129" t="s">
        <v>74</v>
      </c>
      <c r="BE129" t="s">
        <v>2804</v>
      </c>
      <c r="BF129" t="str">
        <f>HYPERLINK("http://dx.doi.org/10.1029/2018PA003481","http://dx.doi.org/10.1029/2018PA003481")</f>
        <v>http://dx.doi.org/10.1029/2018PA003481</v>
      </c>
      <c r="BG129" t="s">
        <v>74</v>
      </c>
      <c r="BH129" t="s">
        <v>74</v>
      </c>
      <c r="BI129">
        <v>13</v>
      </c>
      <c r="BJ129" t="s">
        <v>2805</v>
      </c>
      <c r="BK129" t="s">
        <v>102</v>
      </c>
      <c r="BL129" t="s">
        <v>2806</v>
      </c>
      <c r="BM129" t="s">
        <v>2807</v>
      </c>
      <c r="BN129" t="s">
        <v>74</v>
      </c>
      <c r="BO129" t="s">
        <v>2808</v>
      </c>
      <c r="BP129" t="s">
        <v>74</v>
      </c>
      <c r="BQ129" t="s">
        <v>74</v>
      </c>
      <c r="BR129" t="s">
        <v>107</v>
      </c>
      <c r="BS129" t="s">
        <v>2809</v>
      </c>
      <c r="BT129" t="str">
        <f>HYPERLINK("https%3A%2F%2Fwww.webofscience.com%2Fwos%2Fwoscc%2Ffull-record%2FWOS:000467950300006","View Full Record in Web of Science")</f>
        <v>View Full Record in Web of Science</v>
      </c>
    </row>
    <row r="130" spans="1:72" x14ac:dyDescent="0.15">
      <c r="A130" t="s">
        <v>72</v>
      </c>
      <c r="B130" t="s">
        <v>2810</v>
      </c>
      <c r="C130" t="s">
        <v>74</v>
      </c>
      <c r="D130" t="s">
        <v>74</v>
      </c>
      <c r="E130" t="s">
        <v>74</v>
      </c>
      <c r="F130" t="s">
        <v>2811</v>
      </c>
      <c r="G130" t="s">
        <v>74</v>
      </c>
      <c r="H130" t="s">
        <v>74</v>
      </c>
      <c r="I130" t="s">
        <v>2812</v>
      </c>
      <c r="J130" t="s">
        <v>2788</v>
      </c>
      <c r="K130" t="s">
        <v>74</v>
      </c>
      <c r="L130" t="s">
        <v>74</v>
      </c>
      <c r="M130" t="s">
        <v>78</v>
      </c>
      <c r="N130" t="s">
        <v>79</v>
      </c>
      <c r="O130" t="s">
        <v>74</v>
      </c>
      <c r="P130" t="s">
        <v>74</v>
      </c>
      <c r="Q130" t="s">
        <v>74</v>
      </c>
      <c r="R130" t="s">
        <v>74</v>
      </c>
      <c r="S130" t="s">
        <v>74</v>
      </c>
      <c r="T130" t="s">
        <v>74</v>
      </c>
      <c r="U130" t="s">
        <v>2813</v>
      </c>
      <c r="V130" t="s">
        <v>2814</v>
      </c>
      <c r="W130" t="s">
        <v>2815</v>
      </c>
      <c r="X130" t="s">
        <v>2816</v>
      </c>
      <c r="Y130" t="s">
        <v>2817</v>
      </c>
      <c r="Z130" t="s">
        <v>2818</v>
      </c>
      <c r="AA130" t="s">
        <v>74</v>
      </c>
      <c r="AB130" t="s">
        <v>2819</v>
      </c>
      <c r="AC130" t="s">
        <v>2820</v>
      </c>
      <c r="AD130" t="s">
        <v>2821</v>
      </c>
      <c r="AE130" t="s">
        <v>2822</v>
      </c>
      <c r="AF130" t="s">
        <v>74</v>
      </c>
      <c r="AG130">
        <v>116</v>
      </c>
      <c r="AH130">
        <v>17</v>
      </c>
      <c r="AI130">
        <v>23</v>
      </c>
      <c r="AJ130">
        <v>0</v>
      </c>
      <c r="AK130">
        <v>18</v>
      </c>
      <c r="AL130" t="s">
        <v>125</v>
      </c>
      <c r="AM130" t="s">
        <v>126</v>
      </c>
      <c r="AN130" t="s">
        <v>127</v>
      </c>
      <c r="AO130" t="s">
        <v>2800</v>
      </c>
      <c r="AP130" t="s">
        <v>2801</v>
      </c>
      <c r="AQ130" t="s">
        <v>74</v>
      </c>
      <c r="AR130" t="s">
        <v>2802</v>
      </c>
      <c r="AS130" t="s">
        <v>2803</v>
      </c>
      <c r="AT130" t="s">
        <v>2547</v>
      </c>
      <c r="AU130">
        <v>2019</v>
      </c>
      <c r="AV130">
        <v>34</v>
      </c>
      <c r="AW130">
        <v>4</v>
      </c>
      <c r="AX130" t="s">
        <v>74</v>
      </c>
      <c r="AY130" t="s">
        <v>74</v>
      </c>
      <c r="AZ130" t="s">
        <v>74</v>
      </c>
      <c r="BA130" t="s">
        <v>74</v>
      </c>
      <c r="BB130">
        <v>524</v>
      </c>
      <c r="BC130">
        <v>545</v>
      </c>
      <c r="BD130" t="s">
        <v>74</v>
      </c>
      <c r="BE130" t="s">
        <v>2823</v>
      </c>
      <c r="BF130" t="str">
        <f>HYPERLINK("http://dx.doi.org/10.1029/2018PA003496","http://dx.doi.org/10.1029/2018PA003496")</f>
        <v>http://dx.doi.org/10.1029/2018PA003496</v>
      </c>
      <c r="BG130" t="s">
        <v>74</v>
      </c>
      <c r="BH130" t="s">
        <v>74</v>
      </c>
      <c r="BI130">
        <v>22</v>
      </c>
      <c r="BJ130" t="s">
        <v>2805</v>
      </c>
      <c r="BK130" t="s">
        <v>102</v>
      </c>
      <c r="BL130" t="s">
        <v>2806</v>
      </c>
      <c r="BM130" t="s">
        <v>2807</v>
      </c>
      <c r="BN130" t="s">
        <v>74</v>
      </c>
      <c r="BO130" t="s">
        <v>198</v>
      </c>
      <c r="BP130" t="s">
        <v>74</v>
      </c>
      <c r="BQ130" t="s">
        <v>74</v>
      </c>
      <c r="BR130" t="s">
        <v>107</v>
      </c>
      <c r="BS130" t="s">
        <v>2824</v>
      </c>
      <c r="BT130" t="str">
        <f>HYPERLINK("https%3A%2F%2Fwww.webofscience.com%2Fwos%2Fwoscc%2Ffull-record%2FWOS:000467950300007","View Full Record in Web of Science")</f>
        <v>View Full Record in Web of Science</v>
      </c>
    </row>
    <row r="131" spans="1:72" x14ac:dyDescent="0.15">
      <c r="A131" t="s">
        <v>72</v>
      </c>
      <c r="B131" t="s">
        <v>2825</v>
      </c>
      <c r="C131" t="s">
        <v>74</v>
      </c>
      <c r="D131" t="s">
        <v>74</v>
      </c>
      <c r="E131" t="s">
        <v>74</v>
      </c>
      <c r="F131" t="s">
        <v>2826</v>
      </c>
      <c r="G131" t="s">
        <v>74</v>
      </c>
      <c r="H131" t="s">
        <v>74</v>
      </c>
      <c r="I131" t="s">
        <v>2827</v>
      </c>
      <c r="J131" t="s">
        <v>2788</v>
      </c>
      <c r="K131" t="s">
        <v>74</v>
      </c>
      <c r="L131" t="s">
        <v>74</v>
      </c>
      <c r="M131" t="s">
        <v>78</v>
      </c>
      <c r="N131" t="s">
        <v>79</v>
      </c>
      <c r="O131" t="s">
        <v>74</v>
      </c>
      <c r="P131" t="s">
        <v>74</v>
      </c>
      <c r="Q131" t="s">
        <v>74</v>
      </c>
      <c r="R131" t="s">
        <v>74</v>
      </c>
      <c r="S131" t="s">
        <v>74</v>
      </c>
      <c r="T131" t="s">
        <v>74</v>
      </c>
      <c r="U131" t="s">
        <v>2828</v>
      </c>
      <c r="V131" t="s">
        <v>2829</v>
      </c>
      <c r="W131" t="s">
        <v>2830</v>
      </c>
      <c r="X131" t="s">
        <v>2831</v>
      </c>
      <c r="Y131" t="s">
        <v>2832</v>
      </c>
      <c r="Z131" t="s">
        <v>2833</v>
      </c>
      <c r="AA131" t="s">
        <v>2834</v>
      </c>
      <c r="AB131" t="s">
        <v>2835</v>
      </c>
      <c r="AC131" t="s">
        <v>2836</v>
      </c>
      <c r="AD131" t="s">
        <v>2837</v>
      </c>
      <c r="AE131" t="s">
        <v>2838</v>
      </c>
      <c r="AF131" t="s">
        <v>74</v>
      </c>
      <c r="AG131">
        <v>85</v>
      </c>
      <c r="AH131">
        <v>6</v>
      </c>
      <c r="AI131">
        <v>6</v>
      </c>
      <c r="AJ131">
        <v>1</v>
      </c>
      <c r="AK131">
        <v>19</v>
      </c>
      <c r="AL131" t="s">
        <v>125</v>
      </c>
      <c r="AM131" t="s">
        <v>126</v>
      </c>
      <c r="AN131" t="s">
        <v>127</v>
      </c>
      <c r="AO131" t="s">
        <v>2800</v>
      </c>
      <c r="AP131" t="s">
        <v>2801</v>
      </c>
      <c r="AQ131" t="s">
        <v>74</v>
      </c>
      <c r="AR131" t="s">
        <v>2802</v>
      </c>
      <c r="AS131" t="s">
        <v>2803</v>
      </c>
      <c r="AT131" t="s">
        <v>2547</v>
      </c>
      <c r="AU131">
        <v>2019</v>
      </c>
      <c r="AV131">
        <v>34</v>
      </c>
      <c r="AW131">
        <v>4</v>
      </c>
      <c r="AX131" t="s">
        <v>74</v>
      </c>
      <c r="AY131" t="s">
        <v>74</v>
      </c>
      <c r="AZ131" t="s">
        <v>74</v>
      </c>
      <c r="BA131" t="s">
        <v>74</v>
      </c>
      <c r="BB131">
        <v>580</v>
      </c>
      <c r="BC131">
        <v>599</v>
      </c>
      <c r="BD131" t="s">
        <v>74</v>
      </c>
      <c r="BE131" t="s">
        <v>2839</v>
      </c>
      <c r="BF131" t="str">
        <f>HYPERLINK("http://dx.doi.org/10.1029/2019PA003574","http://dx.doi.org/10.1029/2019PA003574")</f>
        <v>http://dx.doi.org/10.1029/2019PA003574</v>
      </c>
      <c r="BG131" t="s">
        <v>74</v>
      </c>
      <c r="BH131" t="s">
        <v>74</v>
      </c>
      <c r="BI131">
        <v>20</v>
      </c>
      <c r="BJ131" t="s">
        <v>2805</v>
      </c>
      <c r="BK131" t="s">
        <v>102</v>
      </c>
      <c r="BL131" t="s">
        <v>2806</v>
      </c>
      <c r="BM131" t="s">
        <v>2807</v>
      </c>
      <c r="BN131" t="s">
        <v>74</v>
      </c>
      <c r="BO131" t="s">
        <v>925</v>
      </c>
      <c r="BP131" t="s">
        <v>74</v>
      </c>
      <c r="BQ131" t="s">
        <v>74</v>
      </c>
      <c r="BR131" t="s">
        <v>107</v>
      </c>
      <c r="BS131" t="s">
        <v>2840</v>
      </c>
      <c r="BT131" t="str">
        <f>HYPERLINK("https%3A%2F%2Fwww.webofscience.com%2Fwos%2Fwoscc%2Ffull-record%2FWOS:000467950300010","View Full Record in Web of Science")</f>
        <v>View Full Record in Web of Science</v>
      </c>
    </row>
    <row r="132" spans="1:72" x14ac:dyDescent="0.15">
      <c r="A132" t="s">
        <v>72</v>
      </c>
      <c r="B132" t="s">
        <v>2841</v>
      </c>
      <c r="C132" t="s">
        <v>74</v>
      </c>
      <c r="D132" t="s">
        <v>74</v>
      </c>
      <c r="E132" t="s">
        <v>74</v>
      </c>
      <c r="F132" t="s">
        <v>2842</v>
      </c>
      <c r="G132" t="s">
        <v>74</v>
      </c>
      <c r="H132" t="s">
        <v>74</v>
      </c>
      <c r="I132" t="s">
        <v>2843</v>
      </c>
      <c r="J132" t="s">
        <v>2788</v>
      </c>
      <c r="K132" t="s">
        <v>74</v>
      </c>
      <c r="L132" t="s">
        <v>74</v>
      </c>
      <c r="M132" t="s">
        <v>78</v>
      </c>
      <c r="N132" t="s">
        <v>79</v>
      </c>
      <c r="O132" t="s">
        <v>74</v>
      </c>
      <c r="P132" t="s">
        <v>74</v>
      </c>
      <c r="Q132" t="s">
        <v>74</v>
      </c>
      <c r="R132" t="s">
        <v>74</v>
      </c>
      <c r="S132" t="s">
        <v>74</v>
      </c>
      <c r="T132" t="s">
        <v>74</v>
      </c>
      <c r="U132" t="s">
        <v>2844</v>
      </c>
      <c r="V132" t="s">
        <v>2845</v>
      </c>
      <c r="W132" t="s">
        <v>2846</v>
      </c>
      <c r="X132" t="s">
        <v>2847</v>
      </c>
      <c r="Y132" t="s">
        <v>2848</v>
      </c>
      <c r="Z132" t="s">
        <v>2849</v>
      </c>
      <c r="AA132" t="s">
        <v>2850</v>
      </c>
      <c r="AB132" t="s">
        <v>2851</v>
      </c>
      <c r="AC132" t="s">
        <v>2852</v>
      </c>
      <c r="AD132" t="s">
        <v>2853</v>
      </c>
      <c r="AE132" t="s">
        <v>2854</v>
      </c>
      <c r="AF132" t="s">
        <v>74</v>
      </c>
      <c r="AG132">
        <v>141</v>
      </c>
      <c r="AH132">
        <v>48</v>
      </c>
      <c r="AI132">
        <v>52</v>
      </c>
      <c r="AJ132">
        <v>2</v>
      </c>
      <c r="AK132">
        <v>18</v>
      </c>
      <c r="AL132" t="s">
        <v>125</v>
      </c>
      <c r="AM132" t="s">
        <v>126</v>
      </c>
      <c r="AN132" t="s">
        <v>127</v>
      </c>
      <c r="AO132" t="s">
        <v>2800</v>
      </c>
      <c r="AP132" t="s">
        <v>2801</v>
      </c>
      <c r="AQ132" t="s">
        <v>74</v>
      </c>
      <c r="AR132" t="s">
        <v>2802</v>
      </c>
      <c r="AS132" t="s">
        <v>2803</v>
      </c>
      <c r="AT132" t="s">
        <v>2547</v>
      </c>
      <c r="AU132">
        <v>2019</v>
      </c>
      <c r="AV132">
        <v>34</v>
      </c>
      <c r="AW132">
        <v>4</v>
      </c>
      <c r="AX132" t="s">
        <v>74</v>
      </c>
      <c r="AY132" t="s">
        <v>74</v>
      </c>
      <c r="AZ132" t="s">
        <v>74</v>
      </c>
      <c r="BA132" t="s">
        <v>74</v>
      </c>
      <c r="BB132">
        <v>635</v>
      </c>
      <c r="BC132">
        <v>657</v>
      </c>
      <c r="BD132" t="s">
        <v>74</v>
      </c>
      <c r="BE132" t="s">
        <v>2855</v>
      </c>
      <c r="BF132" t="str">
        <f>HYPERLINK("http://dx.doi.org/10.1029/2018PA003512","http://dx.doi.org/10.1029/2018PA003512")</f>
        <v>http://dx.doi.org/10.1029/2018PA003512</v>
      </c>
      <c r="BG132" t="s">
        <v>74</v>
      </c>
      <c r="BH132" t="s">
        <v>74</v>
      </c>
      <c r="BI132">
        <v>23</v>
      </c>
      <c r="BJ132" t="s">
        <v>2805</v>
      </c>
      <c r="BK132" t="s">
        <v>102</v>
      </c>
      <c r="BL132" t="s">
        <v>2806</v>
      </c>
      <c r="BM132" t="s">
        <v>2807</v>
      </c>
      <c r="BN132" t="s">
        <v>74</v>
      </c>
      <c r="BO132" t="s">
        <v>2808</v>
      </c>
      <c r="BP132" t="s">
        <v>74</v>
      </c>
      <c r="BQ132" t="s">
        <v>74</v>
      </c>
      <c r="BR132" t="s">
        <v>107</v>
      </c>
      <c r="BS132" t="s">
        <v>2856</v>
      </c>
      <c r="BT132" t="str">
        <f>HYPERLINK("https%3A%2F%2Fwww.webofscience.com%2Fwos%2Fwoscc%2Ffull-record%2FWOS:000467950300013","View Full Record in Web of Science")</f>
        <v>View Full Record in Web of Science</v>
      </c>
    </row>
    <row r="133" spans="1:72" x14ac:dyDescent="0.15">
      <c r="A133" t="s">
        <v>72</v>
      </c>
      <c r="B133" t="s">
        <v>2857</v>
      </c>
      <c r="C133" t="s">
        <v>74</v>
      </c>
      <c r="D133" t="s">
        <v>74</v>
      </c>
      <c r="E133" t="s">
        <v>74</v>
      </c>
      <c r="F133" t="s">
        <v>2858</v>
      </c>
      <c r="G133" t="s">
        <v>74</v>
      </c>
      <c r="H133" t="s">
        <v>74</v>
      </c>
      <c r="I133" t="s">
        <v>2859</v>
      </c>
      <c r="J133" t="s">
        <v>2788</v>
      </c>
      <c r="K133" t="s">
        <v>74</v>
      </c>
      <c r="L133" t="s">
        <v>74</v>
      </c>
      <c r="M133" t="s">
        <v>78</v>
      </c>
      <c r="N133" t="s">
        <v>79</v>
      </c>
      <c r="O133" t="s">
        <v>74</v>
      </c>
      <c r="P133" t="s">
        <v>74</v>
      </c>
      <c r="Q133" t="s">
        <v>74</v>
      </c>
      <c r="R133" t="s">
        <v>74</v>
      </c>
      <c r="S133" t="s">
        <v>74</v>
      </c>
      <c r="T133" t="s">
        <v>74</v>
      </c>
      <c r="U133" t="s">
        <v>2860</v>
      </c>
      <c r="V133" t="s">
        <v>2861</v>
      </c>
      <c r="W133" t="s">
        <v>2862</v>
      </c>
      <c r="X133" t="s">
        <v>2863</v>
      </c>
      <c r="Y133" t="s">
        <v>2832</v>
      </c>
      <c r="Z133" t="s">
        <v>2833</v>
      </c>
      <c r="AA133" t="s">
        <v>2864</v>
      </c>
      <c r="AB133" t="s">
        <v>2865</v>
      </c>
      <c r="AC133" t="s">
        <v>2866</v>
      </c>
      <c r="AD133" t="s">
        <v>2866</v>
      </c>
      <c r="AE133" t="s">
        <v>2867</v>
      </c>
      <c r="AF133" t="s">
        <v>74</v>
      </c>
      <c r="AG133">
        <v>98</v>
      </c>
      <c r="AH133">
        <v>3</v>
      </c>
      <c r="AI133">
        <v>4</v>
      </c>
      <c r="AJ133">
        <v>0</v>
      </c>
      <c r="AK133">
        <v>12</v>
      </c>
      <c r="AL133" t="s">
        <v>125</v>
      </c>
      <c r="AM133" t="s">
        <v>126</v>
      </c>
      <c r="AN133" t="s">
        <v>127</v>
      </c>
      <c r="AO133" t="s">
        <v>2800</v>
      </c>
      <c r="AP133" t="s">
        <v>2801</v>
      </c>
      <c r="AQ133" t="s">
        <v>74</v>
      </c>
      <c r="AR133" t="s">
        <v>2802</v>
      </c>
      <c r="AS133" t="s">
        <v>2803</v>
      </c>
      <c r="AT133" t="s">
        <v>2547</v>
      </c>
      <c r="AU133">
        <v>2019</v>
      </c>
      <c r="AV133">
        <v>34</v>
      </c>
      <c r="AW133">
        <v>4</v>
      </c>
      <c r="AX133" t="s">
        <v>74</v>
      </c>
      <c r="AY133" t="s">
        <v>74</v>
      </c>
      <c r="AZ133" t="s">
        <v>74</v>
      </c>
      <c r="BA133" t="s">
        <v>74</v>
      </c>
      <c r="BB133">
        <v>692</v>
      </c>
      <c r="BC133">
        <v>714</v>
      </c>
      <c r="BD133" t="s">
        <v>74</v>
      </c>
      <c r="BE133" t="s">
        <v>2868</v>
      </c>
      <c r="BF133" t="str">
        <f>HYPERLINK("http://dx.doi.org/10.1029/2018PA003441","http://dx.doi.org/10.1029/2018PA003441")</f>
        <v>http://dx.doi.org/10.1029/2018PA003441</v>
      </c>
      <c r="BG133" t="s">
        <v>74</v>
      </c>
      <c r="BH133" t="s">
        <v>74</v>
      </c>
      <c r="BI133">
        <v>23</v>
      </c>
      <c r="BJ133" t="s">
        <v>2805</v>
      </c>
      <c r="BK133" t="s">
        <v>102</v>
      </c>
      <c r="BL133" t="s">
        <v>2806</v>
      </c>
      <c r="BM133" t="s">
        <v>2807</v>
      </c>
      <c r="BN133" t="s">
        <v>74</v>
      </c>
      <c r="BO133" t="s">
        <v>491</v>
      </c>
      <c r="BP133" t="s">
        <v>74</v>
      </c>
      <c r="BQ133" t="s">
        <v>74</v>
      </c>
      <c r="BR133" t="s">
        <v>107</v>
      </c>
      <c r="BS133" t="s">
        <v>2869</v>
      </c>
      <c r="BT133" t="str">
        <f>HYPERLINK("https%3A%2F%2Fwww.webofscience.com%2Fwos%2Fwoscc%2Ffull-record%2FWOS:000467950300016","View Full Record in Web of Science")</f>
        <v>View Full Record in Web of Science</v>
      </c>
    </row>
    <row r="134" spans="1:72" x14ac:dyDescent="0.15">
      <c r="A134" t="s">
        <v>72</v>
      </c>
      <c r="B134" t="s">
        <v>2870</v>
      </c>
      <c r="C134" t="s">
        <v>74</v>
      </c>
      <c r="D134" t="s">
        <v>74</v>
      </c>
      <c r="E134" t="s">
        <v>74</v>
      </c>
      <c r="F134" t="s">
        <v>2871</v>
      </c>
      <c r="G134" t="s">
        <v>74</v>
      </c>
      <c r="H134" t="s">
        <v>74</v>
      </c>
      <c r="I134" t="s">
        <v>2872</v>
      </c>
      <c r="J134" t="s">
        <v>2873</v>
      </c>
      <c r="K134" t="s">
        <v>74</v>
      </c>
      <c r="L134" t="s">
        <v>74</v>
      </c>
      <c r="M134" t="s">
        <v>78</v>
      </c>
      <c r="N134" t="s">
        <v>79</v>
      </c>
      <c r="O134" t="s">
        <v>74</v>
      </c>
      <c r="P134" t="s">
        <v>74</v>
      </c>
      <c r="Q134" t="s">
        <v>74</v>
      </c>
      <c r="R134" t="s">
        <v>74</v>
      </c>
      <c r="S134" t="s">
        <v>74</v>
      </c>
      <c r="T134" t="s">
        <v>2874</v>
      </c>
      <c r="U134" t="s">
        <v>2875</v>
      </c>
      <c r="V134" t="s">
        <v>2876</v>
      </c>
      <c r="W134" t="s">
        <v>2877</v>
      </c>
      <c r="X134" t="s">
        <v>2878</v>
      </c>
      <c r="Y134" t="s">
        <v>2879</v>
      </c>
      <c r="Z134" t="s">
        <v>2880</v>
      </c>
      <c r="AA134" t="s">
        <v>74</v>
      </c>
      <c r="AB134" t="s">
        <v>2881</v>
      </c>
      <c r="AC134" t="s">
        <v>2882</v>
      </c>
      <c r="AD134" t="s">
        <v>2883</v>
      </c>
      <c r="AE134" t="s">
        <v>2884</v>
      </c>
      <c r="AF134" t="s">
        <v>74</v>
      </c>
      <c r="AG134">
        <v>43</v>
      </c>
      <c r="AH134">
        <v>8</v>
      </c>
      <c r="AI134">
        <v>9</v>
      </c>
      <c r="AJ134">
        <v>2</v>
      </c>
      <c r="AK134">
        <v>14</v>
      </c>
      <c r="AL134" t="s">
        <v>2885</v>
      </c>
      <c r="AM134" t="s">
        <v>2886</v>
      </c>
      <c r="AN134" t="s">
        <v>2887</v>
      </c>
      <c r="AO134" t="s">
        <v>2888</v>
      </c>
      <c r="AP134" t="s">
        <v>2889</v>
      </c>
      <c r="AQ134" t="s">
        <v>74</v>
      </c>
      <c r="AR134" t="s">
        <v>2890</v>
      </c>
      <c r="AS134" t="s">
        <v>2891</v>
      </c>
      <c r="AT134" t="s">
        <v>2547</v>
      </c>
      <c r="AU134">
        <v>2019</v>
      </c>
      <c r="AV134">
        <v>319</v>
      </c>
      <c r="AW134">
        <v>4</v>
      </c>
      <c r="AX134" t="s">
        <v>74</v>
      </c>
      <c r="AY134" t="s">
        <v>74</v>
      </c>
      <c r="AZ134" t="s">
        <v>74</v>
      </c>
      <c r="BA134" t="s">
        <v>74</v>
      </c>
      <c r="BB134">
        <v>255</v>
      </c>
      <c r="BC134">
        <v>286</v>
      </c>
      <c r="BD134" t="s">
        <v>74</v>
      </c>
      <c r="BE134" t="s">
        <v>2892</v>
      </c>
      <c r="BF134" t="str">
        <f>HYPERLINK("http://dx.doi.org/10.2475/04.2019.01","http://dx.doi.org/10.2475/04.2019.01")</f>
        <v>http://dx.doi.org/10.2475/04.2019.01</v>
      </c>
      <c r="BG134" t="s">
        <v>74</v>
      </c>
      <c r="BH134" t="s">
        <v>74</v>
      </c>
      <c r="BI134">
        <v>32</v>
      </c>
      <c r="BJ134" t="s">
        <v>922</v>
      </c>
      <c r="BK134" t="s">
        <v>102</v>
      </c>
      <c r="BL134" t="s">
        <v>923</v>
      </c>
      <c r="BM134" t="s">
        <v>2893</v>
      </c>
      <c r="BN134" t="s">
        <v>74</v>
      </c>
      <c r="BO134" t="s">
        <v>74</v>
      </c>
      <c r="BP134" t="s">
        <v>74</v>
      </c>
      <c r="BQ134" t="s">
        <v>74</v>
      </c>
      <c r="BR134" t="s">
        <v>107</v>
      </c>
      <c r="BS134" t="s">
        <v>2894</v>
      </c>
      <c r="BT134" t="str">
        <f>HYPERLINK("https%3A%2F%2Fwww.webofscience.com%2Fwos%2Fwoscc%2Ffull-record%2FWOS:000470830900001","View Full Record in Web of Science")</f>
        <v>View Full Record in Web of Science</v>
      </c>
    </row>
    <row r="135" spans="1:72" x14ac:dyDescent="0.15">
      <c r="A135" t="s">
        <v>72</v>
      </c>
      <c r="B135" t="s">
        <v>2895</v>
      </c>
      <c r="C135" t="s">
        <v>74</v>
      </c>
      <c r="D135" t="s">
        <v>74</v>
      </c>
      <c r="E135" t="s">
        <v>74</v>
      </c>
      <c r="F135" t="s">
        <v>2896</v>
      </c>
      <c r="G135" t="s">
        <v>74</v>
      </c>
      <c r="H135" t="s">
        <v>74</v>
      </c>
      <c r="I135" t="s">
        <v>2897</v>
      </c>
      <c r="J135" t="s">
        <v>2898</v>
      </c>
      <c r="K135" t="s">
        <v>74</v>
      </c>
      <c r="L135" t="s">
        <v>74</v>
      </c>
      <c r="M135" t="s">
        <v>78</v>
      </c>
      <c r="N135" t="s">
        <v>79</v>
      </c>
      <c r="O135" t="s">
        <v>74</v>
      </c>
      <c r="P135" t="s">
        <v>74</v>
      </c>
      <c r="Q135" t="s">
        <v>74</v>
      </c>
      <c r="R135" t="s">
        <v>74</v>
      </c>
      <c r="S135" t="s">
        <v>74</v>
      </c>
      <c r="T135" t="s">
        <v>2899</v>
      </c>
      <c r="U135" t="s">
        <v>2900</v>
      </c>
      <c r="V135" t="s">
        <v>2901</v>
      </c>
      <c r="W135" t="s">
        <v>2902</v>
      </c>
      <c r="X135" t="s">
        <v>2903</v>
      </c>
      <c r="Y135" t="s">
        <v>2904</v>
      </c>
      <c r="Z135" t="s">
        <v>2905</v>
      </c>
      <c r="AA135" t="s">
        <v>74</v>
      </c>
      <c r="AB135" t="s">
        <v>2906</v>
      </c>
      <c r="AC135" t="s">
        <v>2907</v>
      </c>
      <c r="AD135" t="s">
        <v>2908</v>
      </c>
      <c r="AE135" t="s">
        <v>2909</v>
      </c>
      <c r="AF135" t="s">
        <v>74</v>
      </c>
      <c r="AG135">
        <v>86</v>
      </c>
      <c r="AH135">
        <v>25</v>
      </c>
      <c r="AI135">
        <v>27</v>
      </c>
      <c r="AJ135">
        <v>4</v>
      </c>
      <c r="AK135">
        <v>33</v>
      </c>
      <c r="AL135" t="s">
        <v>662</v>
      </c>
      <c r="AM135" t="s">
        <v>635</v>
      </c>
      <c r="AN135" t="s">
        <v>663</v>
      </c>
      <c r="AO135" t="s">
        <v>2910</v>
      </c>
      <c r="AP135" t="s">
        <v>2911</v>
      </c>
      <c r="AQ135" t="s">
        <v>74</v>
      </c>
      <c r="AR135" t="s">
        <v>2912</v>
      </c>
      <c r="AS135" t="s">
        <v>2913</v>
      </c>
      <c r="AT135" t="s">
        <v>2547</v>
      </c>
      <c r="AU135">
        <v>2019</v>
      </c>
      <c r="AV135">
        <v>107</v>
      </c>
      <c r="AW135" t="s">
        <v>74</v>
      </c>
      <c r="AX135" t="s">
        <v>74</v>
      </c>
      <c r="AY135" t="s">
        <v>74</v>
      </c>
      <c r="AZ135" t="s">
        <v>74</v>
      </c>
      <c r="BA135" t="s">
        <v>74</v>
      </c>
      <c r="BB135">
        <v>1046</v>
      </c>
      <c r="BC135">
        <v>1067</v>
      </c>
      <c r="BD135" t="s">
        <v>74</v>
      </c>
      <c r="BE135" t="s">
        <v>2914</v>
      </c>
      <c r="BF135" t="str">
        <f>HYPERLINK("http://dx.doi.org/10.1016/j.oregeorev.2019.03.030","http://dx.doi.org/10.1016/j.oregeorev.2019.03.030")</f>
        <v>http://dx.doi.org/10.1016/j.oregeorev.2019.03.030</v>
      </c>
      <c r="BG135" t="s">
        <v>74</v>
      </c>
      <c r="BH135" t="s">
        <v>74</v>
      </c>
      <c r="BI135">
        <v>22</v>
      </c>
      <c r="BJ135" t="s">
        <v>2915</v>
      </c>
      <c r="BK135" t="s">
        <v>102</v>
      </c>
      <c r="BL135" t="s">
        <v>2915</v>
      </c>
      <c r="BM135" t="s">
        <v>2916</v>
      </c>
      <c r="BN135" t="s">
        <v>74</v>
      </c>
      <c r="BO135" t="s">
        <v>74</v>
      </c>
      <c r="BP135" t="s">
        <v>74</v>
      </c>
      <c r="BQ135" t="s">
        <v>74</v>
      </c>
      <c r="BR135" t="s">
        <v>107</v>
      </c>
      <c r="BS135" t="s">
        <v>2917</v>
      </c>
      <c r="BT135" t="str">
        <f>HYPERLINK("https%3A%2F%2Fwww.webofscience.com%2Fwos%2Fwoscc%2Ffull-record%2FWOS:000470194300060","View Full Record in Web of Science")</f>
        <v>View Full Record in Web of Science</v>
      </c>
    </row>
    <row r="136" spans="1:72" x14ac:dyDescent="0.15">
      <c r="A136" t="s">
        <v>72</v>
      </c>
      <c r="B136" t="s">
        <v>2918</v>
      </c>
      <c r="C136" t="s">
        <v>74</v>
      </c>
      <c r="D136" t="s">
        <v>74</v>
      </c>
      <c r="E136" t="s">
        <v>74</v>
      </c>
      <c r="F136" t="s">
        <v>2919</v>
      </c>
      <c r="G136" t="s">
        <v>74</v>
      </c>
      <c r="H136" t="s">
        <v>74</v>
      </c>
      <c r="I136" t="s">
        <v>2920</v>
      </c>
      <c r="J136" t="s">
        <v>2921</v>
      </c>
      <c r="K136" t="s">
        <v>74</v>
      </c>
      <c r="L136" t="s">
        <v>74</v>
      </c>
      <c r="M136" t="s">
        <v>78</v>
      </c>
      <c r="N136" t="s">
        <v>79</v>
      </c>
      <c r="O136" t="s">
        <v>74</v>
      </c>
      <c r="P136" t="s">
        <v>74</v>
      </c>
      <c r="Q136" t="s">
        <v>74</v>
      </c>
      <c r="R136" t="s">
        <v>74</v>
      </c>
      <c r="S136" t="s">
        <v>74</v>
      </c>
      <c r="T136" t="s">
        <v>74</v>
      </c>
      <c r="U136" t="s">
        <v>2922</v>
      </c>
      <c r="V136" t="s">
        <v>2923</v>
      </c>
      <c r="W136" t="s">
        <v>2924</v>
      </c>
      <c r="X136" t="s">
        <v>2925</v>
      </c>
      <c r="Y136" t="s">
        <v>2926</v>
      </c>
      <c r="Z136" t="s">
        <v>2927</v>
      </c>
      <c r="AA136" t="s">
        <v>2928</v>
      </c>
      <c r="AB136" t="s">
        <v>2929</v>
      </c>
      <c r="AC136" t="s">
        <v>2930</v>
      </c>
      <c r="AD136" t="s">
        <v>2391</v>
      </c>
      <c r="AE136" t="s">
        <v>2931</v>
      </c>
      <c r="AF136" t="s">
        <v>74</v>
      </c>
      <c r="AG136">
        <v>13</v>
      </c>
      <c r="AH136">
        <v>2</v>
      </c>
      <c r="AI136">
        <v>2</v>
      </c>
      <c r="AJ136">
        <v>0</v>
      </c>
      <c r="AK136">
        <v>4</v>
      </c>
      <c r="AL136" t="s">
        <v>2932</v>
      </c>
      <c r="AM136" t="s">
        <v>607</v>
      </c>
      <c r="AN136" t="s">
        <v>2933</v>
      </c>
      <c r="AO136" t="s">
        <v>2934</v>
      </c>
      <c r="AP136" t="s">
        <v>2935</v>
      </c>
      <c r="AQ136" t="s">
        <v>74</v>
      </c>
      <c r="AR136" t="s">
        <v>2936</v>
      </c>
      <c r="AS136" t="s">
        <v>2937</v>
      </c>
      <c r="AT136" t="s">
        <v>2547</v>
      </c>
      <c r="AU136">
        <v>2019</v>
      </c>
      <c r="AV136">
        <v>485</v>
      </c>
      <c r="AW136">
        <v>2</v>
      </c>
      <c r="AX136" t="s">
        <v>74</v>
      </c>
      <c r="AY136" t="s">
        <v>74</v>
      </c>
      <c r="AZ136" t="s">
        <v>74</v>
      </c>
      <c r="BA136" t="s">
        <v>74</v>
      </c>
      <c r="BB136">
        <v>444</v>
      </c>
      <c r="BC136">
        <v>449</v>
      </c>
      <c r="BD136" t="s">
        <v>74</v>
      </c>
      <c r="BE136" t="s">
        <v>2938</v>
      </c>
      <c r="BF136" t="str">
        <f>HYPERLINK("http://dx.doi.org/10.1134/S1028334X19040226","http://dx.doi.org/10.1134/S1028334X19040226")</f>
        <v>http://dx.doi.org/10.1134/S1028334X19040226</v>
      </c>
      <c r="BG136" t="s">
        <v>74</v>
      </c>
      <c r="BH136" t="s">
        <v>74</v>
      </c>
      <c r="BI136">
        <v>6</v>
      </c>
      <c r="BJ136" t="s">
        <v>922</v>
      </c>
      <c r="BK136" t="s">
        <v>102</v>
      </c>
      <c r="BL136" t="s">
        <v>923</v>
      </c>
      <c r="BM136" t="s">
        <v>2939</v>
      </c>
      <c r="BN136" t="s">
        <v>74</v>
      </c>
      <c r="BO136" t="s">
        <v>74</v>
      </c>
      <c r="BP136" t="s">
        <v>74</v>
      </c>
      <c r="BQ136" t="s">
        <v>74</v>
      </c>
      <c r="BR136" t="s">
        <v>107</v>
      </c>
      <c r="BS136" t="s">
        <v>2940</v>
      </c>
      <c r="BT136" t="str">
        <f>HYPERLINK("https%3A%2F%2Fwww.webofscience.com%2Fwos%2Fwoscc%2Ffull-record%2FWOS:000470314800022","View Full Record in Web of Science")</f>
        <v>View Full Record in Web of Science</v>
      </c>
    </row>
    <row r="137" spans="1:72" x14ac:dyDescent="0.15">
      <c r="A137" t="s">
        <v>72</v>
      </c>
      <c r="B137" t="s">
        <v>2941</v>
      </c>
      <c r="C137" t="s">
        <v>74</v>
      </c>
      <c r="D137" t="s">
        <v>74</v>
      </c>
      <c r="E137" t="s">
        <v>74</v>
      </c>
      <c r="F137" t="s">
        <v>2942</v>
      </c>
      <c r="G137" t="s">
        <v>74</v>
      </c>
      <c r="H137" t="s">
        <v>74</v>
      </c>
      <c r="I137" t="s">
        <v>2943</v>
      </c>
      <c r="J137" t="s">
        <v>2944</v>
      </c>
      <c r="K137" t="s">
        <v>74</v>
      </c>
      <c r="L137" t="s">
        <v>74</v>
      </c>
      <c r="M137" t="s">
        <v>78</v>
      </c>
      <c r="N137" t="s">
        <v>590</v>
      </c>
      <c r="O137" t="s">
        <v>2945</v>
      </c>
      <c r="P137" t="s">
        <v>2946</v>
      </c>
      <c r="Q137" t="s">
        <v>2947</v>
      </c>
      <c r="R137" t="s">
        <v>74</v>
      </c>
      <c r="S137" t="s">
        <v>74</v>
      </c>
      <c r="T137" t="s">
        <v>2948</v>
      </c>
      <c r="U137" t="s">
        <v>2949</v>
      </c>
      <c r="V137" t="s">
        <v>2950</v>
      </c>
      <c r="W137" t="s">
        <v>2951</v>
      </c>
      <c r="X137" t="s">
        <v>2952</v>
      </c>
      <c r="Y137" t="s">
        <v>2953</v>
      </c>
      <c r="Z137" t="s">
        <v>2954</v>
      </c>
      <c r="AA137" t="s">
        <v>2955</v>
      </c>
      <c r="AB137" t="s">
        <v>2956</v>
      </c>
      <c r="AC137" t="s">
        <v>2957</v>
      </c>
      <c r="AD137" t="s">
        <v>2958</v>
      </c>
      <c r="AE137" t="s">
        <v>2959</v>
      </c>
      <c r="AF137" t="s">
        <v>74</v>
      </c>
      <c r="AG137">
        <v>16</v>
      </c>
      <c r="AH137">
        <v>0</v>
      </c>
      <c r="AI137">
        <v>0</v>
      </c>
      <c r="AJ137">
        <v>0</v>
      </c>
      <c r="AK137">
        <v>21</v>
      </c>
      <c r="AL137" t="s">
        <v>2960</v>
      </c>
      <c r="AM137" t="s">
        <v>1004</v>
      </c>
      <c r="AN137" t="s">
        <v>2961</v>
      </c>
      <c r="AO137" t="s">
        <v>2962</v>
      </c>
      <c r="AP137" t="s">
        <v>2963</v>
      </c>
      <c r="AQ137" t="s">
        <v>74</v>
      </c>
      <c r="AR137" t="s">
        <v>2964</v>
      </c>
      <c r="AS137" t="s">
        <v>2965</v>
      </c>
      <c r="AT137" t="s">
        <v>2547</v>
      </c>
      <c r="AU137">
        <v>2019</v>
      </c>
      <c r="AV137">
        <v>60</v>
      </c>
      <c r="AW137">
        <v>78</v>
      </c>
      <c r="AX137" t="s">
        <v>74</v>
      </c>
      <c r="AY137" t="s">
        <v>74</v>
      </c>
      <c r="AZ137" t="s">
        <v>74</v>
      </c>
      <c r="BA137" t="s">
        <v>74</v>
      </c>
      <c r="BB137">
        <v>1</v>
      </c>
      <c r="BC137">
        <v>7</v>
      </c>
      <c r="BD137" t="s">
        <v>74</v>
      </c>
      <c r="BE137" t="s">
        <v>2966</v>
      </c>
      <c r="BF137" t="str">
        <f>HYPERLINK("http://dx.doi.org/10.1017/aog.2019.3","http://dx.doi.org/10.1017/aog.2019.3")</f>
        <v>http://dx.doi.org/10.1017/aog.2019.3</v>
      </c>
      <c r="BG137" t="s">
        <v>74</v>
      </c>
      <c r="BH137" t="s">
        <v>74</v>
      </c>
      <c r="BI137">
        <v>7</v>
      </c>
      <c r="BJ137" t="s">
        <v>1142</v>
      </c>
      <c r="BK137" t="s">
        <v>615</v>
      </c>
      <c r="BL137" t="s">
        <v>1143</v>
      </c>
      <c r="BM137" t="s">
        <v>2967</v>
      </c>
      <c r="BN137" t="s">
        <v>74</v>
      </c>
      <c r="BO137" t="s">
        <v>1415</v>
      </c>
      <c r="BP137" t="s">
        <v>74</v>
      </c>
      <c r="BQ137" t="s">
        <v>74</v>
      </c>
      <c r="BR137" t="s">
        <v>107</v>
      </c>
      <c r="BS137" t="s">
        <v>2968</v>
      </c>
      <c r="BT137" t="str">
        <f>HYPERLINK("https%3A%2F%2Fwww.webofscience.com%2Fwos%2Fwoscc%2Ffull-record%2FWOS:000469785700002","View Full Record in Web of Science")</f>
        <v>View Full Record in Web of Science</v>
      </c>
    </row>
    <row r="138" spans="1:72" x14ac:dyDescent="0.15">
      <c r="A138" t="s">
        <v>72</v>
      </c>
      <c r="B138" t="s">
        <v>2969</v>
      </c>
      <c r="C138" t="s">
        <v>74</v>
      </c>
      <c r="D138" t="s">
        <v>74</v>
      </c>
      <c r="E138" t="s">
        <v>74</v>
      </c>
      <c r="F138" t="s">
        <v>2970</v>
      </c>
      <c r="G138" t="s">
        <v>74</v>
      </c>
      <c r="H138" t="s">
        <v>74</v>
      </c>
      <c r="I138" t="s">
        <v>2971</v>
      </c>
      <c r="J138" t="s">
        <v>2944</v>
      </c>
      <c r="K138" t="s">
        <v>74</v>
      </c>
      <c r="L138" t="s">
        <v>74</v>
      </c>
      <c r="M138" t="s">
        <v>78</v>
      </c>
      <c r="N138" t="s">
        <v>590</v>
      </c>
      <c r="O138" t="s">
        <v>2945</v>
      </c>
      <c r="P138" t="s">
        <v>2946</v>
      </c>
      <c r="Q138" t="s">
        <v>2947</v>
      </c>
      <c r="R138" t="s">
        <v>74</v>
      </c>
      <c r="S138" t="s">
        <v>74</v>
      </c>
      <c r="T138" t="s">
        <v>2972</v>
      </c>
      <c r="U138" t="s">
        <v>2973</v>
      </c>
      <c r="V138" t="s">
        <v>2974</v>
      </c>
      <c r="W138" t="s">
        <v>2975</v>
      </c>
      <c r="X138" t="s">
        <v>2048</v>
      </c>
      <c r="Y138" t="s">
        <v>2976</v>
      </c>
      <c r="Z138" t="s">
        <v>2977</v>
      </c>
      <c r="AA138" t="s">
        <v>74</v>
      </c>
      <c r="AB138" t="s">
        <v>2978</v>
      </c>
      <c r="AC138" t="s">
        <v>2979</v>
      </c>
      <c r="AD138" t="s">
        <v>2979</v>
      </c>
      <c r="AE138" t="s">
        <v>2980</v>
      </c>
      <c r="AF138" t="s">
        <v>74</v>
      </c>
      <c r="AG138">
        <v>50</v>
      </c>
      <c r="AH138">
        <v>15</v>
      </c>
      <c r="AI138">
        <v>17</v>
      </c>
      <c r="AJ138">
        <v>1</v>
      </c>
      <c r="AK138">
        <v>10</v>
      </c>
      <c r="AL138" t="s">
        <v>2960</v>
      </c>
      <c r="AM138" t="s">
        <v>1004</v>
      </c>
      <c r="AN138" t="s">
        <v>2961</v>
      </c>
      <c r="AO138" t="s">
        <v>2962</v>
      </c>
      <c r="AP138" t="s">
        <v>2963</v>
      </c>
      <c r="AQ138" t="s">
        <v>74</v>
      </c>
      <c r="AR138" t="s">
        <v>2964</v>
      </c>
      <c r="AS138" t="s">
        <v>2965</v>
      </c>
      <c r="AT138" t="s">
        <v>2547</v>
      </c>
      <c r="AU138">
        <v>2019</v>
      </c>
      <c r="AV138">
        <v>60</v>
      </c>
      <c r="AW138">
        <v>78</v>
      </c>
      <c r="AX138" t="s">
        <v>74</v>
      </c>
      <c r="AY138" t="s">
        <v>74</v>
      </c>
      <c r="AZ138" t="s">
        <v>74</v>
      </c>
      <c r="BA138" t="s">
        <v>74</v>
      </c>
      <c r="BB138">
        <v>32</v>
      </c>
      <c r="BC138">
        <v>41</v>
      </c>
      <c r="BD138" t="s">
        <v>74</v>
      </c>
      <c r="BE138" t="s">
        <v>2981</v>
      </c>
      <c r="BF138" t="str">
        <f>HYPERLINK("http://dx.doi.org/10.1017/aog.2018.31","http://dx.doi.org/10.1017/aog.2018.31")</f>
        <v>http://dx.doi.org/10.1017/aog.2018.31</v>
      </c>
      <c r="BG138" t="s">
        <v>74</v>
      </c>
      <c r="BH138" t="s">
        <v>74</v>
      </c>
      <c r="BI138">
        <v>10</v>
      </c>
      <c r="BJ138" t="s">
        <v>1142</v>
      </c>
      <c r="BK138" t="s">
        <v>615</v>
      </c>
      <c r="BL138" t="s">
        <v>1143</v>
      </c>
      <c r="BM138" t="s">
        <v>2967</v>
      </c>
      <c r="BN138" t="s">
        <v>74</v>
      </c>
      <c r="BO138" t="s">
        <v>1415</v>
      </c>
      <c r="BP138" t="s">
        <v>74</v>
      </c>
      <c r="BQ138" t="s">
        <v>74</v>
      </c>
      <c r="BR138" t="s">
        <v>107</v>
      </c>
      <c r="BS138" t="s">
        <v>2982</v>
      </c>
      <c r="BT138" t="str">
        <f>HYPERLINK("https%3A%2F%2Fwww.webofscience.com%2Fwos%2Fwoscc%2Ffull-record%2FWOS:000469785700005","View Full Record in Web of Science")</f>
        <v>View Full Record in Web of Science</v>
      </c>
    </row>
    <row r="139" spans="1:72" x14ac:dyDescent="0.15">
      <c r="A139" t="s">
        <v>72</v>
      </c>
      <c r="B139" t="s">
        <v>2983</v>
      </c>
      <c r="C139" t="s">
        <v>74</v>
      </c>
      <c r="D139" t="s">
        <v>74</v>
      </c>
      <c r="E139" t="s">
        <v>74</v>
      </c>
      <c r="F139" t="s">
        <v>2984</v>
      </c>
      <c r="G139" t="s">
        <v>74</v>
      </c>
      <c r="H139" t="s">
        <v>74</v>
      </c>
      <c r="I139" t="s">
        <v>2985</v>
      </c>
      <c r="J139" t="s">
        <v>2986</v>
      </c>
      <c r="K139" t="s">
        <v>74</v>
      </c>
      <c r="L139" t="s">
        <v>74</v>
      </c>
      <c r="M139" t="s">
        <v>78</v>
      </c>
      <c r="N139" t="s">
        <v>79</v>
      </c>
      <c r="O139" t="s">
        <v>74</v>
      </c>
      <c r="P139" t="s">
        <v>74</v>
      </c>
      <c r="Q139" t="s">
        <v>74</v>
      </c>
      <c r="R139" t="s">
        <v>74</v>
      </c>
      <c r="S139" t="s">
        <v>74</v>
      </c>
      <c r="T139" t="s">
        <v>2987</v>
      </c>
      <c r="U139" t="s">
        <v>2988</v>
      </c>
      <c r="V139" t="s">
        <v>2989</v>
      </c>
      <c r="W139" t="s">
        <v>2990</v>
      </c>
      <c r="X139" t="s">
        <v>2991</v>
      </c>
      <c r="Y139" t="s">
        <v>2992</v>
      </c>
      <c r="Z139" t="s">
        <v>2993</v>
      </c>
      <c r="AA139" t="s">
        <v>74</v>
      </c>
      <c r="AB139" t="s">
        <v>2994</v>
      </c>
      <c r="AC139" t="s">
        <v>2995</v>
      </c>
      <c r="AD139" t="s">
        <v>2996</v>
      </c>
      <c r="AE139" t="s">
        <v>2997</v>
      </c>
      <c r="AF139" t="s">
        <v>74</v>
      </c>
      <c r="AG139">
        <v>46</v>
      </c>
      <c r="AH139">
        <v>0</v>
      </c>
      <c r="AI139">
        <v>0</v>
      </c>
      <c r="AJ139">
        <v>0</v>
      </c>
      <c r="AK139">
        <v>2</v>
      </c>
      <c r="AL139" t="s">
        <v>378</v>
      </c>
      <c r="AM139" t="s">
        <v>93</v>
      </c>
      <c r="AN139" t="s">
        <v>379</v>
      </c>
      <c r="AO139" t="s">
        <v>2998</v>
      </c>
      <c r="AP139" t="s">
        <v>74</v>
      </c>
      <c r="AQ139" t="s">
        <v>74</v>
      </c>
      <c r="AR139" t="s">
        <v>2999</v>
      </c>
      <c r="AS139" t="s">
        <v>3000</v>
      </c>
      <c r="AT139" t="s">
        <v>2547</v>
      </c>
      <c r="AU139">
        <v>2019</v>
      </c>
      <c r="AV139">
        <v>91</v>
      </c>
      <c r="AW139" t="s">
        <v>74</v>
      </c>
      <c r="AX139" t="s">
        <v>74</v>
      </c>
      <c r="AY139" t="s">
        <v>74</v>
      </c>
      <c r="AZ139" t="s">
        <v>74</v>
      </c>
      <c r="BA139" t="s">
        <v>74</v>
      </c>
      <c r="BB139">
        <v>8</v>
      </c>
      <c r="BC139">
        <v>26</v>
      </c>
      <c r="BD139" t="s">
        <v>74</v>
      </c>
      <c r="BE139" t="s">
        <v>3001</v>
      </c>
      <c r="BF139" t="str">
        <f>HYPERLINK("http://dx.doi.org/10.1016/j.jsames.2019.01.002","http://dx.doi.org/10.1016/j.jsames.2019.01.002")</f>
        <v>http://dx.doi.org/10.1016/j.jsames.2019.01.002</v>
      </c>
      <c r="BG139" t="s">
        <v>74</v>
      </c>
      <c r="BH139" t="s">
        <v>74</v>
      </c>
      <c r="BI139">
        <v>19</v>
      </c>
      <c r="BJ139" t="s">
        <v>922</v>
      </c>
      <c r="BK139" t="s">
        <v>102</v>
      </c>
      <c r="BL139" t="s">
        <v>923</v>
      </c>
      <c r="BM139" t="s">
        <v>3002</v>
      </c>
      <c r="BN139" t="s">
        <v>74</v>
      </c>
      <c r="BO139" t="s">
        <v>74</v>
      </c>
      <c r="BP139" t="s">
        <v>74</v>
      </c>
      <c r="BQ139" t="s">
        <v>74</v>
      </c>
      <c r="BR139" t="s">
        <v>107</v>
      </c>
      <c r="BS139" t="s">
        <v>3003</v>
      </c>
      <c r="BT139" t="str">
        <f>HYPERLINK("https%3A%2F%2Fwww.webofscience.com%2Fwos%2Fwoscc%2Ffull-record%2FWOS:000469896600002","View Full Record in Web of Science")</f>
        <v>View Full Record in Web of Science</v>
      </c>
    </row>
    <row r="140" spans="1:72" x14ac:dyDescent="0.15">
      <c r="A140" t="s">
        <v>72</v>
      </c>
      <c r="B140" t="s">
        <v>3004</v>
      </c>
      <c r="C140" t="s">
        <v>74</v>
      </c>
      <c r="D140" t="s">
        <v>74</v>
      </c>
      <c r="E140" t="s">
        <v>74</v>
      </c>
      <c r="F140" t="s">
        <v>3005</v>
      </c>
      <c r="G140" t="s">
        <v>74</v>
      </c>
      <c r="H140" t="s">
        <v>74</v>
      </c>
      <c r="I140" t="s">
        <v>3006</v>
      </c>
      <c r="J140" t="s">
        <v>2986</v>
      </c>
      <c r="K140" t="s">
        <v>74</v>
      </c>
      <c r="L140" t="s">
        <v>74</v>
      </c>
      <c r="M140" t="s">
        <v>78</v>
      </c>
      <c r="N140" t="s">
        <v>79</v>
      </c>
      <c r="O140" t="s">
        <v>74</v>
      </c>
      <c r="P140" t="s">
        <v>74</v>
      </c>
      <c r="Q140" t="s">
        <v>74</v>
      </c>
      <c r="R140" t="s">
        <v>74</v>
      </c>
      <c r="S140" t="s">
        <v>74</v>
      </c>
      <c r="T140" t="s">
        <v>3007</v>
      </c>
      <c r="U140" t="s">
        <v>3008</v>
      </c>
      <c r="V140" t="s">
        <v>3009</v>
      </c>
      <c r="W140" t="s">
        <v>3010</v>
      </c>
      <c r="X140" t="s">
        <v>3011</v>
      </c>
      <c r="Y140" t="s">
        <v>3012</v>
      </c>
      <c r="Z140" t="s">
        <v>3013</v>
      </c>
      <c r="AA140" t="s">
        <v>3014</v>
      </c>
      <c r="AB140" t="s">
        <v>3015</v>
      </c>
      <c r="AC140" t="s">
        <v>3016</v>
      </c>
      <c r="AD140" t="s">
        <v>3017</v>
      </c>
      <c r="AE140" t="s">
        <v>3018</v>
      </c>
      <c r="AF140" t="s">
        <v>74</v>
      </c>
      <c r="AG140">
        <v>82</v>
      </c>
      <c r="AH140">
        <v>10</v>
      </c>
      <c r="AI140">
        <v>11</v>
      </c>
      <c r="AJ140">
        <v>3</v>
      </c>
      <c r="AK140">
        <v>6</v>
      </c>
      <c r="AL140" t="s">
        <v>378</v>
      </c>
      <c r="AM140" t="s">
        <v>93</v>
      </c>
      <c r="AN140" t="s">
        <v>379</v>
      </c>
      <c r="AO140" t="s">
        <v>2998</v>
      </c>
      <c r="AP140" t="s">
        <v>74</v>
      </c>
      <c r="AQ140" t="s">
        <v>74</v>
      </c>
      <c r="AR140" t="s">
        <v>2999</v>
      </c>
      <c r="AS140" t="s">
        <v>3000</v>
      </c>
      <c r="AT140" t="s">
        <v>2547</v>
      </c>
      <c r="AU140">
        <v>2019</v>
      </c>
      <c r="AV140">
        <v>91</v>
      </c>
      <c r="AW140" t="s">
        <v>74</v>
      </c>
      <c r="AX140" t="s">
        <v>74</v>
      </c>
      <c r="AY140" t="s">
        <v>74</v>
      </c>
      <c r="AZ140" t="s">
        <v>74</v>
      </c>
      <c r="BA140" t="s">
        <v>74</v>
      </c>
      <c r="BB140">
        <v>131</v>
      </c>
      <c r="BC140">
        <v>143</v>
      </c>
      <c r="BD140" t="s">
        <v>74</v>
      </c>
      <c r="BE140" t="s">
        <v>3019</v>
      </c>
      <c r="BF140" t="str">
        <f>HYPERLINK("http://dx.doi.org/10.1016/j.jsames.2019.01.012","http://dx.doi.org/10.1016/j.jsames.2019.01.012")</f>
        <v>http://dx.doi.org/10.1016/j.jsames.2019.01.012</v>
      </c>
      <c r="BG140" t="s">
        <v>74</v>
      </c>
      <c r="BH140" t="s">
        <v>74</v>
      </c>
      <c r="BI140">
        <v>13</v>
      </c>
      <c r="BJ140" t="s">
        <v>922</v>
      </c>
      <c r="BK140" t="s">
        <v>102</v>
      </c>
      <c r="BL140" t="s">
        <v>923</v>
      </c>
      <c r="BM140" t="s">
        <v>3002</v>
      </c>
      <c r="BN140" t="s">
        <v>74</v>
      </c>
      <c r="BO140" t="s">
        <v>198</v>
      </c>
      <c r="BP140" t="s">
        <v>74</v>
      </c>
      <c r="BQ140" t="s">
        <v>74</v>
      </c>
      <c r="BR140" t="s">
        <v>107</v>
      </c>
      <c r="BS140" t="s">
        <v>3020</v>
      </c>
      <c r="BT140" t="str">
        <f>HYPERLINK("https%3A%2F%2Fwww.webofscience.com%2Fwos%2Fwoscc%2Ffull-record%2FWOS:000469896600013","View Full Record in Web of Science")</f>
        <v>View Full Record in Web of Science</v>
      </c>
    </row>
    <row r="141" spans="1:72" x14ac:dyDescent="0.15">
      <c r="A141" t="s">
        <v>72</v>
      </c>
      <c r="B141" t="s">
        <v>3021</v>
      </c>
      <c r="C141" t="s">
        <v>74</v>
      </c>
      <c r="D141" t="s">
        <v>74</v>
      </c>
      <c r="E141" t="s">
        <v>74</v>
      </c>
      <c r="F141" t="s">
        <v>3022</v>
      </c>
      <c r="G141" t="s">
        <v>74</v>
      </c>
      <c r="H141" t="s">
        <v>74</v>
      </c>
      <c r="I141" t="s">
        <v>3023</v>
      </c>
      <c r="J141" t="s">
        <v>3024</v>
      </c>
      <c r="K141" t="s">
        <v>74</v>
      </c>
      <c r="L141" t="s">
        <v>74</v>
      </c>
      <c r="M141" t="s">
        <v>78</v>
      </c>
      <c r="N141" t="s">
        <v>79</v>
      </c>
      <c r="O141" t="s">
        <v>74</v>
      </c>
      <c r="P141" t="s">
        <v>74</v>
      </c>
      <c r="Q141" t="s">
        <v>74</v>
      </c>
      <c r="R141" t="s">
        <v>74</v>
      </c>
      <c r="S141" t="s">
        <v>74</v>
      </c>
      <c r="T141" t="s">
        <v>3025</v>
      </c>
      <c r="U141" t="s">
        <v>3026</v>
      </c>
      <c r="V141" t="s">
        <v>3027</v>
      </c>
      <c r="W141" t="s">
        <v>3028</v>
      </c>
      <c r="X141" t="s">
        <v>3029</v>
      </c>
      <c r="Y141" t="s">
        <v>3030</v>
      </c>
      <c r="Z141" t="s">
        <v>3031</v>
      </c>
      <c r="AA141" t="s">
        <v>3032</v>
      </c>
      <c r="AB141" t="s">
        <v>3033</v>
      </c>
      <c r="AC141" t="s">
        <v>3034</v>
      </c>
      <c r="AD141" t="s">
        <v>3035</v>
      </c>
      <c r="AE141" t="s">
        <v>3036</v>
      </c>
      <c r="AF141" t="s">
        <v>74</v>
      </c>
      <c r="AG141">
        <v>51</v>
      </c>
      <c r="AH141">
        <v>14</v>
      </c>
      <c r="AI141">
        <v>14</v>
      </c>
      <c r="AJ141">
        <v>1</v>
      </c>
      <c r="AK141">
        <v>10</v>
      </c>
      <c r="AL141" t="s">
        <v>153</v>
      </c>
      <c r="AM141" t="s">
        <v>154</v>
      </c>
      <c r="AN141" t="s">
        <v>155</v>
      </c>
      <c r="AO141" t="s">
        <v>3037</v>
      </c>
      <c r="AP141" t="s">
        <v>74</v>
      </c>
      <c r="AQ141" t="s">
        <v>74</v>
      </c>
      <c r="AR141" t="s">
        <v>3038</v>
      </c>
      <c r="AS141" t="s">
        <v>3039</v>
      </c>
      <c r="AT141" t="s">
        <v>2547</v>
      </c>
      <c r="AU141">
        <v>2019</v>
      </c>
      <c r="AV141">
        <v>9</v>
      </c>
      <c r="AW141">
        <v>8</v>
      </c>
      <c r="AX141" t="s">
        <v>74</v>
      </c>
      <c r="AY141" t="s">
        <v>74</v>
      </c>
      <c r="AZ141" t="s">
        <v>74</v>
      </c>
      <c r="BA141" t="s">
        <v>74</v>
      </c>
      <c r="BB141">
        <v>4465</v>
      </c>
      <c r="BC141">
        <v>4472</v>
      </c>
      <c r="BD141" t="s">
        <v>74</v>
      </c>
      <c r="BE141" t="s">
        <v>3040</v>
      </c>
      <c r="BF141" t="str">
        <f>HYPERLINK("http://dx.doi.org/10.1002/ece3.5012","http://dx.doi.org/10.1002/ece3.5012")</f>
        <v>http://dx.doi.org/10.1002/ece3.5012</v>
      </c>
      <c r="BG141" t="s">
        <v>74</v>
      </c>
      <c r="BH141" t="s">
        <v>74</v>
      </c>
      <c r="BI141">
        <v>8</v>
      </c>
      <c r="BJ141" t="s">
        <v>3041</v>
      </c>
      <c r="BK141" t="s">
        <v>102</v>
      </c>
      <c r="BL141" t="s">
        <v>3042</v>
      </c>
      <c r="BM141" t="s">
        <v>3043</v>
      </c>
      <c r="BN141">
        <v>31031920</v>
      </c>
      <c r="BO141" t="s">
        <v>1100</v>
      </c>
      <c r="BP141" t="s">
        <v>74</v>
      </c>
      <c r="BQ141" t="s">
        <v>74</v>
      </c>
      <c r="BR141" t="s">
        <v>107</v>
      </c>
      <c r="BS141" t="s">
        <v>3044</v>
      </c>
      <c r="BT141" t="str">
        <f>HYPERLINK("https%3A%2F%2Fwww.webofscience.com%2Fwos%2Fwoscc%2Ffull-record%2FWOS:000466104200014","View Full Record in Web of Science")</f>
        <v>View Full Record in Web of Science</v>
      </c>
    </row>
    <row r="142" spans="1:72" x14ac:dyDescent="0.15">
      <c r="A142" t="s">
        <v>72</v>
      </c>
      <c r="B142" t="s">
        <v>3045</v>
      </c>
      <c r="C142" t="s">
        <v>74</v>
      </c>
      <c r="D142" t="s">
        <v>74</v>
      </c>
      <c r="E142" t="s">
        <v>74</v>
      </c>
      <c r="F142" t="s">
        <v>3046</v>
      </c>
      <c r="G142" t="s">
        <v>74</v>
      </c>
      <c r="H142" t="s">
        <v>74</v>
      </c>
      <c r="I142" t="s">
        <v>3047</v>
      </c>
      <c r="J142" t="s">
        <v>3024</v>
      </c>
      <c r="K142" t="s">
        <v>74</v>
      </c>
      <c r="L142" t="s">
        <v>74</v>
      </c>
      <c r="M142" t="s">
        <v>78</v>
      </c>
      <c r="N142" t="s">
        <v>79</v>
      </c>
      <c r="O142" t="s">
        <v>74</v>
      </c>
      <c r="P142" t="s">
        <v>74</v>
      </c>
      <c r="Q142" t="s">
        <v>74</v>
      </c>
      <c r="R142" t="s">
        <v>74</v>
      </c>
      <c r="S142" t="s">
        <v>74</v>
      </c>
      <c r="T142" t="s">
        <v>3048</v>
      </c>
      <c r="U142" t="s">
        <v>3049</v>
      </c>
      <c r="V142" t="s">
        <v>3050</v>
      </c>
      <c r="W142" t="s">
        <v>3051</v>
      </c>
      <c r="X142" t="s">
        <v>3052</v>
      </c>
      <c r="Y142" t="s">
        <v>3053</v>
      </c>
      <c r="Z142" t="s">
        <v>3054</v>
      </c>
      <c r="AA142" t="s">
        <v>74</v>
      </c>
      <c r="AB142" t="s">
        <v>74</v>
      </c>
      <c r="AC142" t="s">
        <v>3055</v>
      </c>
      <c r="AD142" t="s">
        <v>3056</v>
      </c>
      <c r="AE142" t="s">
        <v>3057</v>
      </c>
      <c r="AF142" t="s">
        <v>74</v>
      </c>
      <c r="AG142">
        <v>63</v>
      </c>
      <c r="AH142">
        <v>9</v>
      </c>
      <c r="AI142">
        <v>10</v>
      </c>
      <c r="AJ142">
        <v>0</v>
      </c>
      <c r="AK142">
        <v>4</v>
      </c>
      <c r="AL142" t="s">
        <v>153</v>
      </c>
      <c r="AM142" t="s">
        <v>154</v>
      </c>
      <c r="AN142" t="s">
        <v>155</v>
      </c>
      <c r="AO142" t="s">
        <v>3037</v>
      </c>
      <c r="AP142" t="s">
        <v>74</v>
      </c>
      <c r="AQ142" t="s">
        <v>74</v>
      </c>
      <c r="AR142" t="s">
        <v>3038</v>
      </c>
      <c r="AS142" t="s">
        <v>3039</v>
      </c>
      <c r="AT142" t="s">
        <v>2547</v>
      </c>
      <c r="AU142">
        <v>2019</v>
      </c>
      <c r="AV142">
        <v>9</v>
      </c>
      <c r="AW142">
        <v>8</v>
      </c>
      <c r="AX142" t="s">
        <v>74</v>
      </c>
      <c r="AY142" t="s">
        <v>74</v>
      </c>
      <c r="AZ142" t="s">
        <v>74</v>
      </c>
      <c r="BA142" t="s">
        <v>74</v>
      </c>
      <c r="BB142">
        <v>4637</v>
      </c>
      <c r="BC142">
        <v>4650</v>
      </c>
      <c r="BD142" t="s">
        <v>74</v>
      </c>
      <c r="BE142" t="s">
        <v>3058</v>
      </c>
      <c r="BF142" t="str">
        <f>HYPERLINK("http://dx.doi.org/10.1002/ece3.5067","http://dx.doi.org/10.1002/ece3.5067")</f>
        <v>http://dx.doi.org/10.1002/ece3.5067</v>
      </c>
      <c r="BG142" t="s">
        <v>74</v>
      </c>
      <c r="BH142" t="s">
        <v>74</v>
      </c>
      <c r="BI142">
        <v>14</v>
      </c>
      <c r="BJ142" t="s">
        <v>3041</v>
      </c>
      <c r="BK142" t="s">
        <v>102</v>
      </c>
      <c r="BL142" t="s">
        <v>3042</v>
      </c>
      <c r="BM142" t="s">
        <v>3043</v>
      </c>
      <c r="BN142">
        <v>31031932</v>
      </c>
      <c r="BO142" t="s">
        <v>851</v>
      </c>
      <c r="BP142" t="s">
        <v>74</v>
      </c>
      <c r="BQ142" t="s">
        <v>74</v>
      </c>
      <c r="BR142" t="s">
        <v>107</v>
      </c>
      <c r="BS142" t="s">
        <v>3059</v>
      </c>
      <c r="BT142" t="str">
        <f>HYPERLINK("https%3A%2F%2Fwww.webofscience.com%2Fwos%2Fwoscc%2Ffull-record%2FWOS:000466104200026","View Full Record in Web of Science")</f>
        <v>View Full Record in Web of Science</v>
      </c>
    </row>
    <row r="143" spans="1:72" x14ac:dyDescent="0.15">
      <c r="A143" t="s">
        <v>72</v>
      </c>
      <c r="B143" t="s">
        <v>3060</v>
      </c>
      <c r="C143" t="s">
        <v>74</v>
      </c>
      <c r="D143" t="s">
        <v>74</v>
      </c>
      <c r="E143" t="s">
        <v>74</v>
      </c>
      <c r="F143" t="s">
        <v>3061</v>
      </c>
      <c r="G143" t="s">
        <v>74</v>
      </c>
      <c r="H143" t="s">
        <v>74</v>
      </c>
      <c r="I143" t="s">
        <v>3062</v>
      </c>
      <c r="J143" t="s">
        <v>2447</v>
      </c>
      <c r="K143" t="s">
        <v>74</v>
      </c>
      <c r="L143" t="s">
        <v>74</v>
      </c>
      <c r="M143" t="s">
        <v>78</v>
      </c>
      <c r="N143" t="s">
        <v>79</v>
      </c>
      <c r="O143" t="s">
        <v>74</v>
      </c>
      <c r="P143" t="s">
        <v>74</v>
      </c>
      <c r="Q143" t="s">
        <v>74</v>
      </c>
      <c r="R143" t="s">
        <v>74</v>
      </c>
      <c r="S143" t="s">
        <v>74</v>
      </c>
      <c r="T143" t="s">
        <v>3063</v>
      </c>
      <c r="U143" t="s">
        <v>3064</v>
      </c>
      <c r="V143" t="s">
        <v>3065</v>
      </c>
      <c r="W143" t="s">
        <v>3066</v>
      </c>
      <c r="X143" t="s">
        <v>3067</v>
      </c>
      <c r="Y143" t="s">
        <v>3068</v>
      </c>
      <c r="Z143" t="s">
        <v>3069</v>
      </c>
      <c r="AA143" t="s">
        <v>3070</v>
      </c>
      <c r="AB143" t="s">
        <v>3071</v>
      </c>
      <c r="AC143" t="s">
        <v>3072</v>
      </c>
      <c r="AD143" t="s">
        <v>3073</v>
      </c>
      <c r="AE143" t="s">
        <v>3074</v>
      </c>
      <c r="AF143" t="s">
        <v>74</v>
      </c>
      <c r="AG143">
        <v>65</v>
      </c>
      <c r="AH143">
        <v>24</v>
      </c>
      <c r="AI143">
        <v>29</v>
      </c>
      <c r="AJ143">
        <v>5</v>
      </c>
      <c r="AK143">
        <v>43</v>
      </c>
      <c r="AL143" t="s">
        <v>2011</v>
      </c>
      <c r="AM143" t="s">
        <v>2012</v>
      </c>
      <c r="AN143" t="s">
        <v>2013</v>
      </c>
      <c r="AO143" t="s">
        <v>74</v>
      </c>
      <c r="AP143" t="s">
        <v>2460</v>
      </c>
      <c r="AQ143" t="s">
        <v>74</v>
      </c>
      <c r="AR143" t="s">
        <v>2461</v>
      </c>
      <c r="AS143" t="s">
        <v>2462</v>
      </c>
      <c r="AT143" t="s">
        <v>2710</v>
      </c>
      <c r="AU143">
        <v>2019</v>
      </c>
      <c r="AV143">
        <v>11</v>
      </c>
      <c r="AW143">
        <v>7</v>
      </c>
      <c r="AX143" t="s">
        <v>74</v>
      </c>
      <c r="AY143" t="s">
        <v>74</v>
      </c>
      <c r="AZ143" t="s">
        <v>74</v>
      </c>
      <c r="BA143" t="s">
        <v>74</v>
      </c>
      <c r="BB143" t="s">
        <v>74</v>
      </c>
      <c r="BC143" t="s">
        <v>74</v>
      </c>
      <c r="BD143">
        <v>784</v>
      </c>
      <c r="BE143" t="s">
        <v>3075</v>
      </c>
      <c r="BF143" t="str">
        <f>HYPERLINK("http://dx.doi.org/10.3390/rs11070784","http://dx.doi.org/10.3390/rs11070784")</f>
        <v>http://dx.doi.org/10.3390/rs11070784</v>
      </c>
      <c r="BG143" t="s">
        <v>74</v>
      </c>
      <c r="BH143" t="s">
        <v>74</v>
      </c>
      <c r="BI143">
        <v>23</v>
      </c>
      <c r="BJ143" t="s">
        <v>2465</v>
      </c>
      <c r="BK143" t="s">
        <v>102</v>
      </c>
      <c r="BL143" t="s">
        <v>2466</v>
      </c>
      <c r="BM143" t="s">
        <v>3076</v>
      </c>
      <c r="BN143" t="s">
        <v>74</v>
      </c>
      <c r="BO143" t="s">
        <v>1715</v>
      </c>
      <c r="BP143" t="s">
        <v>74</v>
      </c>
      <c r="BQ143" t="s">
        <v>74</v>
      </c>
      <c r="BR143" t="s">
        <v>107</v>
      </c>
      <c r="BS143" t="s">
        <v>3077</v>
      </c>
      <c r="BT143" t="str">
        <f>HYPERLINK("https%3A%2F%2Fwww.webofscience.com%2Fwos%2Fwoscc%2Ffull-record%2FWOS:000465549300049","View Full Record in Web of Science")</f>
        <v>View Full Record in Web of Science</v>
      </c>
    </row>
    <row r="144" spans="1:72" x14ac:dyDescent="0.15">
      <c r="A144" t="s">
        <v>72</v>
      </c>
      <c r="B144" t="s">
        <v>3078</v>
      </c>
      <c r="C144" t="s">
        <v>74</v>
      </c>
      <c r="D144" t="s">
        <v>74</v>
      </c>
      <c r="E144" t="s">
        <v>74</v>
      </c>
      <c r="F144" t="s">
        <v>3079</v>
      </c>
      <c r="G144" t="s">
        <v>74</v>
      </c>
      <c r="H144" t="s">
        <v>74</v>
      </c>
      <c r="I144" t="s">
        <v>3080</v>
      </c>
      <c r="J144" t="s">
        <v>2447</v>
      </c>
      <c r="K144" t="s">
        <v>74</v>
      </c>
      <c r="L144" t="s">
        <v>74</v>
      </c>
      <c r="M144" t="s">
        <v>78</v>
      </c>
      <c r="N144" t="s">
        <v>79</v>
      </c>
      <c r="O144" t="s">
        <v>74</v>
      </c>
      <c r="P144" t="s">
        <v>74</v>
      </c>
      <c r="Q144" t="s">
        <v>74</v>
      </c>
      <c r="R144" t="s">
        <v>74</v>
      </c>
      <c r="S144" t="s">
        <v>74</v>
      </c>
      <c r="T144" t="s">
        <v>3081</v>
      </c>
      <c r="U144" t="s">
        <v>3082</v>
      </c>
      <c r="V144" t="s">
        <v>3083</v>
      </c>
      <c r="W144" t="s">
        <v>3084</v>
      </c>
      <c r="X144" t="s">
        <v>3085</v>
      </c>
      <c r="Y144" t="s">
        <v>3086</v>
      </c>
      <c r="Z144" t="s">
        <v>3087</v>
      </c>
      <c r="AA144" t="s">
        <v>3088</v>
      </c>
      <c r="AB144" t="s">
        <v>74</v>
      </c>
      <c r="AC144" t="s">
        <v>3089</v>
      </c>
      <c r="AD144" t="s">
        <v>3090</v>
      </c>
      <c r="AE144" t="s">
        <v>3091</v>
      </c>
      <c r="AF144" t="s">
        <v>74</v>
      </c>
      <c r="AG144">
        <v>99</v>
      </c>
      <c r="AH144">
        <v>8</v>
      </c>
      <c r="AI144">
        <v>11</v>
      </c>
      <c r="AJ144">
        <v>7</v>
      </c>
      <c r="AK144">
        <v>35</v>
      </c>
      <c r="AL144" t="s">
        <v>2011</v>
      </c>
      <c r="AM144" t="s">
        <v>2012</v>
      </c>
      <c r="AN144" t="s">
        <v>2013</v>
      </c>
      <c r="AO144" t="s">
        <v>74</v>
      </c>
      <c r="AP144" t="s">
        <v>2460</v>
      </c>
      <c r="AQ144" t="s">
        <v>74</v>
      </c>
      <c r="AR144" t="s">
        <v>2461</v>
      </c>
      <c r="AS144" t="s">
        <v>2462</v>
      </c>
      <c r="AT144" t="s">
        <v>2710</v>
      </c>
      <c r="AU144">
        <v>2019</v>
      </c>
      <c r="AV144">
        <v>11</v>
      </c>
      <c r="AW144">
        <v>7</v>
      </c>
      <c r="AX144" t="s">
        <v>74</v>
      </c>
      <c r="AY144" t="s">
        <v>74</v>
      </c>
      <c r="AZ144" t="s">
        <v>74</v>
      </c>
      <c r="BA144" t="s">
        <v>74</v>
      </c>
      <c r="BB144" t="s">
        <v>74</v>
      </c>
      <c r="BC144" t="s">
        <v>74</v>
      </c>
      <c r="BD144">
        <v>821</v>
      </c>
      <c r="BE144" t="s">
        <v>3092</v>
      </c>
      <c r="BF144" t="str">
        <f>HYPERLINK("http://dx.doi.org/10.3390/rs11070821","http://dx.doi.org/10.3390/rs11070821")</f>
        <v>http://dx.doi.org/10.3390/rs11070821</v>
      </c>
      <c r="BG144" t="s">
        <v>74</v>
      </c>
      <c r="BH144" t="s">
        <v>74</v>
      </c>
      <c r="BI144">
        <v>25</v>
      </c>
      <c r="BJ144" t="s">
        <v>2465</v>
      </c>
      <c r="BK144" t="s">
        <v>102</v>
      </c>
      <c r="BL144" t="s">
        <v>2466</v>
      </c>
      <c r="BM144" t="s">
        <v>3076</v>
      </c>
      <c r="BN144" t="s">
        <v>74</v>
      </c>
      <c r="BO144" t="s">
        <v>3093</v>
      </c>
      <c r="BP144" t="s">
        <v>74</v>
      </c>
      <c r="BQ144" t="s">
        <v>74</v>
      </c>
      <c r="BR144" t="s">
        <v>107</v>
      </c>
      <c r="BS144" t="s">
        <v>3094</v>
      </c>
      <c r="BT144" t="str">
        <f>HYPERLINK("https%3A%2F%2Fwww.webofscience.com%2Fwos%2Fwoscc%2Ffull-record%2FWOS:000465549300086","View Full Record in Web of Science")</f>
        <v>View Full Record in Web of Science</v>
      </c>
    </row>
    <row r="145" spans="1:72" x14ac:dyDescent="0.15">
      <c r="A145" t="s">
        <v>72</v>
      </c>
      <c r="B145" t="s">
        <v>3095</v>
      </c>
      <c r="C145" t="s">
        <v>74</v>
      </c>
      <c r="D145" t="s">
        <v>74</v>
      </c>
      <c r="E145" t="s">
        <v>74</v>
      </c>
      <c r="F145" t="s">
        <v>3096</v>
      </c>
      <c r="G145" t="s">
        <v>74</v>
      </c>
      <c r="H145" t="s">
        <v>74</v>
      </c>
      <c r="I145" t="s">
        <v>3097</v>
      </c>
      <c r="J145" t="s">
        <v>3098</v>
      </c>
      <c r="K145" t="s">
        <v>74</v>
      </c>
      <c r="L145" t="s">
        <v>74</v>
      </c>
      <c r="M145" t="s">
        <v>78</v>
      </c>
      <c r="N145" t="s">
        <v>79</v>
      </c>
      <c r="O145" t="s">
        <v>74</v>
      </c>
      <c r="P145" t="s">
        <v>74</v>
      </c>
      <c r="Q145" t="s">
        <v>74</v>
      </c>
      <c r="R145" t="s">
        <v>74</v>
      </c>
      <c r="S145" t="s">
        <v>74</v>
      </c>
      <c r="T145" t="s">
        <v>3099</v>
      </c>
      <c r="U145" t="s">
        <v>3100</v>
      </c>
      <c r="V145" t="s">
        <v>3101</v>
      </c>
      <c r="W145" t="s">
        <v>3102</v>
      </c>
      <c r="X145" t="s">
        <v>3103</v>
      </c>
      <c r="Y145" t="s">
        <v>3104</v>
      </c>
      <c r="Z145" t="s">
        <v>3105</v>
      </c>
      <c r="AA145" t="s">
        <v>3106</v>
      </c>
      <c r="AB145" t="s">
        <v>3107</v>
      </c>
      <c r="AC145" t="s">
        <v>3108</v>
      </c>
      <c r="AD145" t="s">
        <v>3109</v>
      </c>
      <c r="AE145" t="s">
        <v>3110</v>
      </c>
      <c r="AF145" t="s">
        <v>74</v>
      </c>
      <c r="AG145">
        <v>63</v>
      </c>
      <c r="AH145">
        <v>4</v>
      </c>
      <c r="AI145">
        <v>4</v>
      </c>
      <c r="AJ145">
        <v>1</v>
      </c>
      <c r="AK145">
        <v>11</v>
      </c>
      <c r="AL145" t="s">
        <v>92</v>
      </c>
      <c r="AM145" t="s">
        <v>93</v>
      </c>
      <c r="AN145" t="s">
        <v>94</v>
      </c>
      <c r="AO145" t="s">
        <v>3111</v>
      </c>
      <c r="AP145" t="s">
        <v>3112</v>
      </c>
      <c r="AQ145" t="s">
        <v>74</v>
      </c>
      <c r="AR145" t="s">
        <v>3113</v>
      </c>
      <c r="AS145" t="s">
        <v>3114</v>
      </c>
      <c r="AT145" t="s">
        <v>2547</v>
      </c>
      <c r="AU145">
        <v>2019</v>
      </c>
      <c r="AV145">
        <v>217</v>
      </c>
      <c r="AW145">
        <v>1</v>
      </c>
      <c r="AX145" t="s">
        <v>74</v>
      </c>
      <c r="AY145" t="s">
        <v>74</v>
      </c>
      <c r="AZ145" t="s">
        <v>74</v>
      </c>
      <c r="BA145" t="s">
        <v>74</v>
      </c>
      <c r="BB145">
        <v>41</v>
      </c>
      <c r="BC145">
        <v>57</v>
      </c>
      <c r="BD145" t="s">
        <v>74</v>
      </c>
      <c r="BE145" t="s">
        <v>3115</v>
      </c>
      <c r="BF145" t="str">
        <f>HYPERLINK("http://dx.doi.org/10.1093/gji/ggz004","http://dx.doi.org/10.1093/gji/ggz004")</f>
        <v>http://dx.doi.org/10.1093/gji/ggz004</v>
      </c>
      <c r="BG145" t="s">
        <v>74</v>
      </c>
      <c r="BH145" t="s">
        <v>74</v>
      </c>
      <c r="BI145">
        <v>17</v>
      </c>
      <c r="BJ145" t="s">
        <v>643</v>
      </c>
      <c r="BK145" t="s">
        <v>102</v>
      </c>
      <c r="BL145" t="s">
        <v>643</v>
      </c>
      <c r="BM145" t="s">
        <v>3116</v>
      </c>
      <c r="BN145" t="s">
        <v>74</v>
      </c>
      <c r="BO145" t="s">
        <v>74</v>
      </c>
      <c r="BP145" t="s">
        <v>74</v>
      </c>
      <c r="BQ145" t="s">
        <v>74</v>
      </c>
      <c r="BR145" t="s">
        <v>107</v>
      </c>
      <c r="BS145" t="s">
        <v>3117</v>
      </c>
      <c r="BT145" t="str">
        <f>HYPERLINK("https%3A%2F%2Fwww.webofscience.com%2Fwos%2Fwoscc%2Ffull-record%2FWOS:000465603300003","View Full Record in Web of Science")</f>
        <v>View Full Record in Web of Science</v>
      </c>
    </row>
    <row r="146" spans="1:72" x14ac:dyDescent="0.15">
      <c r="A146" t="s">
        <v>72</v>
      </c>
      <c r="B146" t="s">
        <v>3118</v>
      </c>
      <c r="C146" t="s">
        <v>74</v>
      </c>
      <c r="D146" t="s">
        <v>74</v>
      </c>
      <c r="E146" t="s">
        <v>74</v>
      </c>
      <c r="F146" t="s">
        <v>3119</v>
      </c>
      <c r="G146" t="s">
        <v>74</v>
      </c>
      <c r="H146" t="s">
        <v>74</v>
      </c>
      <c r="I146" t="s">
        <v>3120</v>
      </c>
      <c r="J146" t="s">
        <v>3121</v>
      </c>
      <c r="K146" t="s">
        <v>74</v>
      </c>
      <c r="L146" t="s">
        <v>74</v>
      </c>
      <c r="M146" t="s">
        <v>78</v>
      </c>
      <c r="N146" t="s">
        <v>79</v>
      </c>
      <c r="O146" t="s">
        <v>74</v>
      </c>
      <c r="P146" t="s">
        <v>74</v>
      </c>
      <c r="Q146" t="s">
        <v>74</v>
      </c>
      <c r="R146" t="s">
        <v>74</v>
      </c>
      <c r="S146" t="s">
        <v>74</v>
      </c>
      <c r="T146" t="s">
        <v>3122</v>
      </c>
      <c r="U146" t="s">
        <v>3123</v>
      </c>
      <c r="V146" t="s">
        <v>3124</v>
      </c>
      <c r="W146" t="s">
        <v>3125</v>
      </c>
      <c r="X146" t="s">
        <v>1404</v>
      </c>
      <c r="Y146" t="s">
        <v>3126</v>
      </c>
      <c r="Z146" t="s">
        <v>3127</v>
      </c>
      <c r="AA146" t="s">
        <v>74</v>
      </c>
      <c r="AB146" t="s">
        <v>3128</v>
      </c>
      <c r="AC146" t="s">
        <v>3129</v>
      </c>
      <c r="AD146" t="s">
        <v>3130</v>
      </c>
      <c r="AE146" t="s">
        <v>3131</v>
      </c>
      <c r="AF146" t="s">
        <v>74</v>
      </c>
      <c r="AG146">
        <v>57</v>
      </c>
      <c r="AH146">
        <v>14</v>
      </c>
      <c r="AI146">
        <v>14</v>
      </c>
      <c r="AJ146">
        <v>0</v>
      </c>
      <c r="AK146">
        <v>3</v>
      </c>
      <c r="AL146" t="s">
        <v>662</v>
      </c>
      <c r="AM146" t="s">
        <v>635</v>
      </c>
      <c r="AN146" t="s">
        <v>663</v>
      </c>
      <c r="AO146" t="s">
        <v>3132</v>
      </c>
      <c r="AP146" t="s">
        <v>3133</v>
      </c>
      <c r="AQ146" t="s">
        <v>74</v>
      </c>
      <c r="AR146" t="s">
        <v>3134</v>
      </c>
      <c r="AS146" t="s">
        <v>3135</v>
      </c>
      <c r="AT146" t="s">
        <v>2547</v>
      </c>
      <c r="AU146">
        <v>2019</v>
      </c>
      <c r="AV146">
        <v>68</v>
      </c>
      <c r="AW146" t="s">
        <v>74</v>
      </c>
      <c r="AX146" t="s">
        <v>74</v>
      </c>
      <c r="AY146" t="s">
        <v>74</v>
      </c>
      <c r="AZ146" t="s">
        <v>74</v>
      </c>
      <c r="BA146" t="s">
        <v>74</v>
      </c>
      <c r="BB146">
        <v>108</v>
      </c>
      <c r="BC146">
        <v>115</v>
      </c>
      <c r="BD146" t="s">
        <v>74</v>
      </c>
      <c r="BE146" t="s">
        <v>3136</v>
      </c>
      <c r="BF146" t="str">
        <f>HYPERLINK("http://dx.doi.org/10.1016/j.gr.2018.11.011","http://dx.doi.org/10.1016/j.gr.2018.11.011")</f>
        <v>http://dx.doi.org/10.1016/j.gr.2018.11.011</v>
      </c>
      <c r="BG146" t="s">
        <v>74</v>
      </c>
      <c r="BH146" t="s">
        <v>74</v>
      </c>
      <c r="BI146">
        <v>8</v>
      </c>
      <c r="BJ146" t="s">
        <v>922</v>
      </c>
      <c r="BK146" t="s">
        <v>102</v>
      </c>
      <c r="BL146" t="s">
        <v>923</v>
      </c>
      <c r="BM146" t="s">
        <v>3137</v>
      </c>
      <c r="BN146" t="s">
        <v>74</v>
      </c>
      <c r="BO146" t="s">
        <v>74</v>
      </c>
      <c r="BP146" t="s">
        <v>74</v>
      </c>
      <c r="BQ146" t="s">
        <v>74</v>
      </c>
      <c r="BR146" t="s">
        <v>107</v>
      </c>
      <c r="BS146" t="s">
        <v>3138</v>
      </c>
      <c r="BT146" t="str">
        <f>HYPERLINK("https%3A%2F%2Fwww.webofscience.com%2Fwos%2Fwoscc%2Ffull-record%2FWOS:000468247200008","View Full Record in Web of Science")</f>
        <v>View Full Record in Web of Science</v>
      </c>
    </row>
    <row r="147" spans="1:72" x14ac:dyDescent="0.15">
      <c r="A147" t="s">
        <v>72</v>
      </c>
      <c r="B147" t="s">
        <v>3139</v>
      </c>
      <c r="C147" t="s">
        <v>74</v>
      </c>
      <c r="D147" t="s">
        <v>74</v>
      </c>
      <c r="E147" t="s">
        <v>74</v>
      </c>
      <c r="F147" t="s">
        <v>3140</v>
      </c>
      <c r="G147" t="s">
        <v>74</v>
      </c>
      <c r="H147" t="s">
        <v>74</v>
      </c>
      <c r="I147" t="s">
        <v>3141</v>
      </c>
      <c r="J147" t="s">
        <v>3142</v>
      </c>
      <c r="K147" t="s">
        <v>74</v>
      </c>
      <c r="L147" t="s">
        <v>74</v>
      </c>
      <c r="M147" t="s">
        <v>78</v>
      </c>
      <c r="N147" t="s">
        <v>79</v>
      </c>
      <c r="O147" t="s">
        <v>74</v>
      </c>
      <c r="P147" t="s">
        <v>74</v>
      </c>
      <c r="Q147" t="s">
        <v>74</v>
      </c>
      <c r="R147" t="s">
        <v>74</v>
      </c>
      <c r="S147" t="s">
        <v>74</v>
      </c>
      <c r="T147" t="s">
        <v>3143</v>
      </c>
      <c r="U147" t="s">
        <v>3144</v>
      </c>
      <c r="V147" t="s">
        <v>3145</v>
      </c>
      <c r="W147" t="s">
        <v>3146</v>
      </c>
      <c r="X147" t="s">
        <v>3147</v>
      </c>
      <c r="Y147" t="s">
        <v>3148</v>
      </c>
      <c r="Z147" t="s">
        <v>3149</v>
      </c>
      <c r="AA147" t="s">
        <v>3150</v>
      </c>
      <c r="AB147" t="s">
        <v>3151</v>
      </c>
      <c r="AC147" t="s">
        <v>3152</v>
      </c>
      <c r="AD147" t="s">
        <v>3153</v>
      </c>
      <c r="AE147" t="s">
        <v>3154</v>
      </c>
      <c r="AF147" t="s">
        <v>74</v>
      </c>
      <c r="AG147">
        <v>127</v>
      </c>
      <c r="AH147">
        <v>3</v>
      </c>
      <c r="AI147">
        <v>4</v>
      </c>
      <c r="AJ147">
        <v>0</v>
      </c>
      <c r="AK147">
        <v>11</v>
      </c>
      <c r="AL147" t="s">
        <v>125</v>
      </c>
      <c r="AM147" t="s">
        <v>126</v>
      </c>
      <c r="AN147" t="s">
        <v>127</v>
      </c>
      <c r="AO147" t="s">
        <v>3155</v>
      </c>
      <c r="AP147" t="s">
        <v>3156</v>
      </c>
      <c r="AQ147" t="s">
        <v>74</v>
      </c>
      <c r="AR147" t="s">
        <v>3157</v>
      </c>
      <c r="AS147" t="s">
        <v>3158</v>
      </c>
      <c r="AT147" t="s">
        <v>2547</v>
      </c>
      <c r="AU147">
        <v>2019</v>
      </c>
      <c r="AV147">
        <v>124</v>
      </c>
      <c r="AW147">
        <v>4</v>
      </c>
      <c r="AX147" t="s">
        <v>74</v>
      </c>
      <c r="AY147" t="s">
        <v>74</v>
      </c>
      <c r="AZ147" t="s">
        <v>74</v>
      </c>
      <c r="BA147" t="s">
        <v>74</v>
      </c>
      <c r="BB147">
        <v>2546</v>
      </c>
      <c r="BC147">
        <v>2570</v>
      </c>
      <c r="BD147" t="s">
        <v>74</v>
      </c>
      <c r="BE147" t="s">
        <v>3159</v>
      </c>
      <c r="BF147" t="str">
        <f>HYPERLINK("http://dx.doi.org/10.1029/2018JC014791","http://dx.doi.org/10.1029/2018JC014791")</f>
        <v>http://dx.doi.org/10.1029/2018JC014791</v>
      </c>
      <c r="BG147" t="s">
        <v>74</v>
      </c>
      <c r="BH147" t="s">
        <v>74</v>
      </c>
      <c r="BI147">
        <v>25</v>
      </c>
      <c r="BJ147" t="s">
        <v>277</v>
      </c>
      <c r="BK147" t="s">
        <v>102</v>
      </c>
      <c r="BL147" t="s">
        <v>277</v>
      </c>
      <c r="BM147" t="s">
        <v>3160</v>
      </c>
      <c r="BN147" t="s">
        <v>74</v>
      </c>
      <c r="BO147" t="s">
        <v>942</v>
      </c>
      <c r="BP147" t="s">
        <v>74</v>
      </c>
      <c r="BQ147" t="s">
        <v>74</v>
      </c>
      <c r="BR147" t="s">
        <v>107</v>
      </c>
      <c r="BS147" t="s">
        <v>3161</v>
      </c>
      <c r="BT147" t="str">
        <f>HYPERLINK("https%3A%2F%2Fwww.webofscience.com%2Fwos%2Fwoscc%2Ffull-record%2FWOS:000467950800016","View Full Record in Web of Science")</f>
        <v>View Full Record in Web of Science</v>
      </c>
    </row>
    <row r="148" spans="1:72" x14ac:dyDescent="0.15">
      <c r="A148" t="s">
        <v>72</v>
      </c>
      <c r="B148" t="s">
        <v>3162</v>
      </c>
      <c r="C148" t="s">
        <v>74</v>
      </c>
      <c r="D148" t="s">
        <v>74</v>
      </c>
      <c r="E148" t="s">
        <v>74</v>
      </c>
      <c r="F148" t="s">
        <v>3163</v>
      </c>
      <c r="G148" t="s">
        <v>74</v>
      </c>
      <c r="H148" t="s">
        <v>74</v>
      </c>
      <c r="I148" t="s">
        <v>3164</v>
      </c>
      <c r="J148" t="s">
        <v>3142</v>
      </c>
      <c r="K148" t="s">
        <v>74</v>
      </c>
      <c r="L148" t="s">
        <v>74</v>
      </c>
      <c r="M148" t="s">
        <v>78</v>
      </c>
      <c r="N148" t="s">
        <v>79</v>
      </c>
      <c r="O148" t="s">
        <v>74</v>
      </c>
      <c r="P148" t="s">
        <v>74</v>
      </c>
      <c r="Q148" t="s">
        <v>74</v>
      </c>
      <c r="R148" t="s">
        <v>74</v>
      </c>
      <c r="S148" t="s">
        <v>74</v>
      </c>
      <c r="T148" t="s">
        <v>3165</v>
      </c>
      <c r="U148" t="s">
        <v>3166</v>
      </c>
      <c r="V148" t="s">
        <v>3167</v>
      </c>
      <c r="W148" t="s">
        <v>3168</v>
      </c>
      <c r="X148" t="s">
        <v>3169</v>
      </c>
      <c r="Y148" t="s">
        <v>3170</v>
      </c>
      <c r="Z148" t="s">
        <v>3171</v>
      </c>
      <c r="AA148" t="s">
        <v>74</v>
      </c>
      <c r="AB148" t="s">
        <v>3172</v>
      </c>
      <c r="AC148" t="s">
        <v>3173</v>
      </c>
      <c r="AD148" t="s">
        <v>3174</v>
      </c>
      <c r="AE148" t="s">
        <v>3175</v>
      </c>
      <c r="AF148" t="s">
        <v>74</v>
      </c>
      <c r="AG148">
        <v>133</v>
      </c>
      <c r="AH148">
        <v>21</v>
      </c>
      <c r="AI148">
        <v>21</v>
      </c>
      <c r="AJ148">
        <v>5</v>
      </c>
      <c r="AK148">
        <v>33</v>
      </c>
      <c r="AL148" t="s">
        <v>125</v>
      </c>
      <c r="AM148" t="s">
        <v>126</v>
      </c>
      <c r="AN148" t="s">
        <v>127</v>
      </c>
      <c r="AO148" t="s">
        <v>3155</v>
      </c>
      <c r="AP148" t="s">
        <v>3156</v>
      </c>
      <c r="AQ148" t="s">
        <v>74</v>
      </c>
      <c r="AR148" t="s">
        <v>3157</v>
      </c>
      <c r="AS148" t="s">
        <v>3158</v>
      </c>
      <c r="AT148" t="s">
        <v>2547</v>
      </c>
      <c r="AU148">
        <v>2019</v>
      </c>
      <c r="AV148">
        <v>124</v>
      </c>
      <c r="AW148">
        <v>4</v>
      </c>
      <c r="AX148" t="s">
        <v>74</v>
      </c>
      <c r="AY148" t="s">
        <v>74</v>
      </c>
      <c r="AZ148" t="s">
        <v>74</v>
      </c>
      <c r="BA148" t="s">
        <v>74</v>
      </c>
      <c r="BB148">
        <v>2591</v>
      </c>
      <c r="BC148">
        <v>2608</v>
      </c>
      <c r="BD148" t="s">
        <v>74</v>
      </c>
      <c r="BE148" t="s">
        <v>3176</v>
      </c>
      <c r="BF148" t="str">
        <f>HYPERLINK("http://dx.doi.org/10.1029/2018JC014794","http://dx.doi.org/10.1029/2018JC014794")</f>
        <v>http://dx.doi.org/10.1029/2018JC014794</v>
      </c>
      <c r="BG148" t="s">
        <v>74</v>
      </c>
      <c r="BH148" t="s">
        <v>74</v>
      </c>
      <c r="BI148">
        <v>18</v>
      </c>
      <c r="BJ148" t="s">
        <v>277</v>
      </c>
      <c r="BK148" t="s">
        <v>102</v>
      </c>
      <c r="BL148" t="s">
        <v>277</v>
      </c>
      <c r="BM148" t="s">
        <v>3160</v>
      </c>
      <c r="BN148" t="s">
        <v>74</v>
      </c>
      <c r="BO148" t="s">
        <v>74</v>
      </c>
      <c r="BP148" t="s">
        <v>74</v>
      </c>
      <c r="BQ148" t="s">
        <v>74</v>
      </c>
      <c r="BR148" t="s">
        <v>107</v>
      </c>
      <c r="BS148" t="s">
        <v>3177</v>
      </c>
      <c r="BT148" t="str">
        <f>HYPERLINK("https%3A%2F%2Fwww.webofscience.com%2Fwos%2Fwoscc%2Ffull-record%2FWOS:000467950800018","View Full Record in Web of Science")</f>
        <v>View Full Record in Web of Science</v>
      </c>
    </row>
    <row r="149" spans="1:72" x14ac:dyDescent="0.15">
      <c r="A149" t="s">
        <v>72</v>
      </c>
      <c r="B149" t="s">
        <v>3162</v>
      </c>
      <c r="C149" t="s">
        <v>74</v>
      </c>
      <c r="D149" t="s">
        <v>74</v>
      </c>
      <c r="E149" t="s">
        <v>74</v>
      </c>
      <c r="F149" t="s">
        <v>3163</v>
      </c>
      <c r="G149" t="s">
        <v>74</v>
      </c>
      <c r="H149" t="s">
        <v>74</v>
      </c>
      <c r="I149" t="s">
        <v>3178</v>
      </c>
      <c r="J149" t="s">
        <v>3142</v>
      </c>
      <c r="K149" t="s">
        <v>74</v>
      </c>
      <c r="L149" t="s">
        <v>74</v>
      </c>
      <c r="M149" t="s">
        <v>78</v>
      </c>
      <c r="N149" t="s">
        <v>79</v>
      </c>
      <c r="O149" t="s">
        <v>74</v>
      </c>
      <c r="P149" t="s">
        <v>74</v>
      </c>
      <c r="Q149" t="s">
        <v>74</v>
      </c>
      <c r="R149" t="s">
        <v>74</v>
      </c>
      <c r="S149" t="s">
        <v>74</v>
      </c>
      <c r="T149" t="s">
        <v>3179</v>
      </c>
      <c r="U149" t="s">
        <v>3180</v>
      </c>
      <c r="V149" t="s">
        <v>3181</v>
      </c>
      <c r="W149" t="s">
        <v>3168</v>
      </c>
      <c r="X149" t="s">
        <v>3169</v>
      </c>
      <c r="Y149" t="s">
        <v>3170</v>
      </c>
      <c r="Z149" t="s">
        <v>3171</v>
      </c>
      <c r="AA149" t="s">
        <v>74</v>
      </c>
      <c r="AB149" t="s">
        <v>3182</v>
      </c>
      <c r="AC149" t="s">
        <v>3173</v>
      </c>
      <c r="AD149" t="s">
        <v>3174</v>
      </c>
      <c r="AE149" t="s">
        <v>3183</v>
      </c>
      <c r="AF149" t="s">
        <v>74</v>
      </c>
      <c r="AG149">
        <v>52</v>
      </c>
      <c r="AH149">
        <v>12</v>
      </c>
      <c r="AI149">
        <v>12</v>
      </c>
      <c r="AJ149">
        <v>1</v>
      </c>
      <c r="AK149">
        <v>17</v>
      </c>
      <c r="AL149" t="s">
        <v>125</v>
      </c>
      <c r="AM149" t="s">
        <v>126</v>
      </c>
      <c r="AN149" t="s">
        <v>127</v>
      </c>
      <c r="AO149" t="s">
        <v>3155</v>
      </c>
      <c r="AP149" t="s">
        <v>3156</v>
      </c>
      <c r="AQ149" t="s">
        <v>74</v>
      </c>
      <c r="AR149" t="s">
        <v>3157</v>
      </c>
      <c r="AS149" t="s">
        <v>3158</v>
      </c>
      <c r="AT149" t="s">
        <v>2547</v>
      </c>
      <c r="AU149">
        <v>2019</v>
      </c>
      <c r="AV149">
        <v>124</v>
      </c>
      <c r="AW149">
        <v>4</v>
      </c>
      <c r="AX149" t="s">
        <v>74</v>
      </c>
      <c r="AY149" t="s">
        <v>74</v>
      </c>
      <c r="AZ149" t="s">
        <v>74</v>
      </c>
      <c r="BA149" t="s">
        <v>74</v>
      </c>
      <c r="BB149">
        <v>2609</v>
      </c>
      <c r="BC149">
        <v>2625</v>
      </c>
      <c r="BD149" t="s">
        <v>74</v>
      </c>
      <c r="BE149" t="s">
        <v>3184</v>
      </c>
      <c r="BF149" t="str">
        <f>HYPERLINK("http://dx.doi.org/10.1029/2018JC014795","http://dx.doi.org/10.1029/2018JC014795")</f>
        <v>http://dx.doi.org/10.1029/2018JC014795</v>
      </c>
      <c r="BG149" t="s">
        <v>74</v>
      </c>
      <c r="BH149" t="s">
        <v>74</v>
      </c>
      <c r="BI149">
        <v>17</v>
      </c>
      <c r="BJ149" t="s">
        <v>277</v>
      </c>
      <c r="BK149" t="s">
        <v>102</v>
      </c>
      <c r="BL149" t="s">
        <v>277</v>
      </c>
      <c r="BM149" t="s">
        <v>3160</v>
      </c>
      <c r="BN149" t="s">
        <v>74</v>
      </c>
      <c r="BO149" t="s">
        <v>279</v>
      </c>
      <c r="BP149" t="s">
        <v>74</v>
      </c>
      <c r="BQ149" t="s">
        <v>74</v>
      </c>
      <c r="BR149" t="s">
        <v>107</v>
      </c>
      <c r="BS149" t="s">
        <v>3185</v>
      </c>
      <c r="BT149" t="str">
        <f>HYPERLINK("https%3A%2F%2Fwww.webofscience.com%2Fwos%2Fwoscc%2Ffull-record%2FWOS:000467950800019","View Full Record in Web of Science")</f>
        <v>View Full Record in Web of Science</v>
      </c>
    </row>
    <row r="150" spans="1:72" x14ac:dyDescent="0.15">
      <c r="A150" t="s">
        <v>72</v>
      </c>
      <c r="B150" t="s">
        <v>3186</v>
      </c>
      <c r="C150" t="s">
        <v>74</v>
      </c>
      <c r="D150" t="s">
        <v>74</v>
      </c>
      <c r="E150" t="s">
        <v>74</v>
      </c>
      <c r="F150" t="s">
        <v>3187</v>
      </c>
      <c r="G150" t="s">
        <v>74</v>
      </c>
      <c r="H150" t="s">
        <v>74</v>
      </c>
      <c r="I150" t="s">
        <v>3188</v>
      </c>
      <c r="J150" t="s">
        <v>3142</v>
      </c>
      <c r="K150" t="s">
        <v>74</v>
      </c>
      <c r="L150" t="s">
        <v>74</v>
      </c>
      <c r="M150" t="s">
        <v>78</v>
      </c>
      <c r="N150" t="s">
        <v>79</v>
      </c>
      <c r="O150" t="s">
        <v>74</v>
      </c>
      <c r="P150" t="s">
        <v>74</v>
      </c>
      <c r="Q150" t="s">
        <v>74</v>
      </c>
      <c r="R150" t="s">
        <v>74</v>
      </c>
      <c r="S150" t="s">
        <v>74</v>
      </c>
      <c r="T150" t="s">
        <v>3189</v>
      </c>
      <c r="U150" t="s">
        <v>3190</v>
      </c>
      <c r="V150" t="s">
        <v>3191</v>
      </c>
      <c r="W150" t="s">
        <v>3192</v>
      </c>
      <c r="X150" t="s">
        <v>3193</v>
      </c>
      <c r="Y150" t="s">
        <v>3194</v>
      </c>
      <c r="Z150" t="s">
        <v>3195</v>
      </c>
      <c r="AA150" t="s">
        <v>3196</v>
      </c>
      <c r="AB150" t="s">
        <v>3197</v>
      </c>
      <c r="AC150" t="s">
        <v>3198</v>
      </c>
      <c r="AD150" t="s">
        <v>3199</v>
      </c>
      <c r="AE150" t="s">
        <v>3200</v>
      </c>
      <c r="AF150" t="s">
        <v>74</v>
      </c>
      <c r="AG150">
        <v>45</v>
      </c>
      <c r="AH150">
        <v>29</v>
      </c>
      <c r="AI150">
        <v>30</v>
      </c>
      <c r="AJ150">
        <v>0</v>
      </c>
      <c r="AK150">
        <v>17</v>
      </c>
      <c r="AL150" t="s">
        <v>125</v>
      </c>
      <c r="AM150" t="s">
        <v>126</v>
      </c>
      <c r="AN150" t="s">
        <v>127</v>
      </c>
      <c r="AO150" t="s">
        <v>3155</v>
      </c>
      <c r="AP150" t="s">
        <v>3156</v>
      </c>
      <c r="AQ150" t="s">
        <v>74</v>
      </c>
      <c r="AR150" t="s">
        <v>3157</v>
      </c>
      <c r="AS150" t="s">
        <v>3158</v>
      </c>
      <c r="AT150" t="s">
        <v>2547</v>
      </c>
      <c r="AU150">
        <v>2019</v>
      </c>
      <c r="AV150">
        <v>124</v>
      </c>
      <c r="AW150">
        <v>4</v>
      </c>
      <c r="AX150" t="s">
        <v>74</v>
      </c>
      <c r="AY150" t="s">
        <v>74</v>
      </c>
      <c r="AZ150" t="s">
        <v>74</v>
      </c>
      <c r="BA150" t="s">
        <v>74</v>
      </c>
      <c r="BB150">
        <v>2924</v>
      </c>
      <c r="BC150">
        <v>2939</v>
      </c>
      <c r="BD150" t="s">
        <v>74</v>
      </c>
      <c r="BE150" t="s">
        <v>3201</v>
      </c>
      <c r="BF150" t="str">
        <f>HYPERLINK("http://dx.doi.org/10.1029/2018JC014620","http://dx.doi.org/10.1029/2018JC014620")</f>
        <v>http://dx.doi.org/10.1029/2018JC014620</v>
      </c>
      <c r="BG150" t="s">
        <v>74</v>
      </c>
      <c r="BH150" t="s">
        <v>74</v>
      </c>
      <c r="BI150">
        <v>16</v>
      </c>
      <c r="BJ150" t="s">
        <v>277</v>
      </c>
      <c r="BK150" t="s">
        <v>102</v>
      </c>
      <c r="BL150" t="s">
        <v>277</v>
      </c>
      <c r="BM150" t="s">
        <v>3160</v>
      </c>
      <c r="BN150" t="s">
        <v>74</v>
      </c>
      <c r="BO150" t="s">
        <v>925</v>
      </c>
      <c r="BP150" t="s">
        <v>74</v>
      </c>
      <c r="BQ150" t="s">
        <v>74</v>
      </c>
      <c r="BR150" t="s">
        <v>107</v>
      </c>
      <c r="BS150" t="s">
        <v>3202</v>
      </c>
      <c r="BT150" t="str">
        <f>HYPERLINK("https%3A%2F%2Fwww.webofscience.com%2Fwos%2Fwoscc%2Ffull-record%2FWOS:000467950800036","View Full Record in Web of Science")</f>
        <v>View Full Record in Web of Science</v>
      </c>
    </row>
    <row r="151" spans="1:72" x14ac:dyDescent="0.15">
      <c r="A151" t="s">
        <v>72</v>
      </c>
      <c r="B151" t="s">
        <v>3203</v>
      </c>
      <c r="C151" t="s">
        <v>74</v>
      </c>
      <c r="D151" t="s">
        <v>74</v>
      </c>
      <c r="E151" t="s">
        <v>74</v>
      </c>
      <c r="F151" t="s">
        <v>3204</v>
      </c>
      <c r="G151" t="s">
        <v>74</v>
      </c>
      <c r="H151" t="s">
        <v>74</v>
      </c>
      <c r="I151" t="s">
        <v>3205</v>
      </c>
      <c r="J151" t="s">
        <v>3206</v>
      </c>
      <c r="K151" t="s">
        <v>74</v>
      </c>
      <c r="L151" t="s">
        <v>74</v>
      </c>
      <c r="M151" t="s">
        <v>78</v>
      </c>
      <c r="N151" t="s">
        <v>79</v>
      </c>
      <c r="O151" t="s">
        <v>74</v>
      </c>
      <c r="P151" t="s">
        <v>74</v>
      </c>
      <c r="Q151" t="s">
        <v>74</v>
      </c>
      <c r="R151" t="s">
        <v>74</v>
      </c>
      <c r="S151" t="s">
        <v>74</v>
      </c>
      <c r="T151" t="s">
        <v>3207</v>
      </c>
      <c r="U151" t="s">
        <v>3208</v>
      </c>
      <c r="V151" t="s">
        <v>3209</v>
      </c>
      <c r="W151" t="s">
        <v>3210</v>
      </c>
      <c r="X151" t="s">
        <v>3211</v>
      </c>
      <c r="Y151" t="s">
        <v>3212</v>
      </c>
      <c r="Z151" t="s">
        <v>3213</v>
      </c>
      <c r="AA151" t="s">
        <v>3214</v>
      </c>
      <c r="AB151" t="s">
        <v>3215</v>
      </c>
      <c r="AC151" t="s">
        <v>3216</v>
      </c>
      <c r="AD151" t="s">
        <v>3217</v>
      </c>
      <c r="AE151" t="s">
        <v>3218</v>
      </c>
      <c r="AF151" t="s">
        <v>74</v>
      </c>
      <c r="AG151">
        <v>47</v>
      </c>
      <c r="AH151">
        <v>13</v>
      </c>
      <c r="AI151">
        <v>15</v>
      </c>
      <c r="AJ151">
        <v>5</v>
      </c>
      <c r="AK151">
        <v>28</v>
      </c>
      <c r="AL151" t="s">
        <v>2960</v>
      </c>
      <c r="AM151" t="s">
        <v>1004</v>
      </c>
      <c r="AN151" t="s">
        <v>2961</v>
      </c>
      <c r="AO151" t="s">
        <v>3219</v>
      </c>
      <c r="AP151" t="s">
        <v>3220</v>
      </c>
      <c r="AQ151" t="s">
        <v>74</v>
      </c>
      <c r="AR151" t="s">
        <v>3221</v>
      </c>
      <c r="AS151" t="s">
        <v>3222</v>
      </c>
      <c r="AT151" t="s">
        <v>2547</v>
      </c>
      <c r="AU151">
        <v>2019</v>
      </c>
      <c r="AV151">
        <v>65</v>
      </c>
      <c r="AW151">
        <v>250</v>
      </c>
      <c r="AX151" t="s">
        <v>74</v>
      </c>
      <c r="AY151" t="s">
        <v>74</v>
      </c>
      <c r="AZ151" t="s">
        <v>74</v>
      </c>
      <c r="BA151" t="s">
        <v>74</v>
      </c>
      <c r="BB151">
        <v>279</v>
      </c>
      <c r="BC151">
        <v>287</v>
      </c>
      <c r="BD151" t="s">
        <v>74</v>
      </c>
      <c r="BE151" t="s">
        <v>3223</v>
      </c>
      <c r="BF151" t="str">
        <f>HYPERLINK("http://dx.doi.org/10.1017/jog.2019.6","http://dx.doi.org/10.1017/jog.2019.6")</f>
        <v>http://dx.doi.org/10.1017/jog.2019.6</v>
      </c>
      <c r="BG151" t="s">
        <v>74</v>
      </c>
      <c r="BH151" t="s">
        <v>74</v>
      </c>
      <c r="BI151">
        <v>9</v>
      </c>
      <c r="BJ151" t="s">
        <v>1142</v>
      </c>
      <c r="BK151" t="s">
        <v>102</v>
      </c>
      <c r="BL151" t="s">
        <v>1143</v>
      </c>
      <c r="BM151" t="s">
        <v>3224</v>
      </c>
      <c r="BN151" t="s">
        <v>74</v>
      </c>
      <c r="BO151" t="s">
        <v>1415</v>
      </c>
      <c r="BP151" t="s">
        <v>74</v>
      </c>
      <c r="BQ151" t="s">
        <v>74</v>
      </c>
      <c r="BR151" t="s">
        <v>107</v>
      </c>
      <c r="BS151" t="s">
        <v>3225</v>
      </c>
      <c r="BT151" t="str">
        <f>HYPERLINK("https%3A%2F%2Fwww.webofscience.com%2Fwos%2Fwoscc%2Ffull-record%2FWOS:000468368700010","View Full Record in Web of Science")</f>
        <v>View Full Record in Web of Science</v>
      </c>
    </row>
    <row r="152" spans="1:72" x14ac:dyDescent="0.15">
      <c r="A152" t="s">
        <v>72</v>
      </c>
      <c r="B152" t="s">
        <v>3226</v>
      </c>
      <c r="C152" t="s">
        <v>74</v>
      </c>
      <c r="D152" t="s">
        <v>74</v>
      </c>
      <c r="E152" t="s">
        <v>74</v>
      </c>
      <c r="F152" t="s">
        <v>3227</v>
      </c>
      <c r="G152" t="s">
        <v>74</v>
      </c>
      <c r="H152" t="s">
        <v>74</v>
      </c>
      <c r="I152" t="s">
        <v>3228</v>
      </c>
      <c r="J152" t="s">
        <v>3206</v>
      </c>
      <c r="K152" t="s">
        <v>74</v>
      </c>
      <c r="L152" t="s">
        <v>74</v>
      </c>
      <c r="M152" t="s">
        <v>78</v>
      </c>
      <c r="N152" t="s">
        <v>79</v>
      </c>
      <c r="O152" t="s">
        <v>74</v>
      </c>
      <c r="P152" t="s">
        <v>74</v>
      </c>
      <c r="Q152" t="s">
        <v>74</v>
      </c>
      <c r="R152" t="s">
        <v>74</v>
      </c>
      <c r="S152" t="s">
        <v>74</v>
      </c>
      <c r="T152" t="s">
        <v>3229</v>
      </c>
      <c r="U152" t="s">
        <v>3230</v>
      </c>
      <c r="V152" t="s">
        <v>3231</v>
      </c>
      <c r="W152" t="s">
        <v>3232</v>
      </c>
      <c r="X152" t="s">
        <v>3233</v>
      </c>
      <c r="Y152" t="s">
        <v>3234</v>
      </c>
      <c r="Z152" t="s">
        <v>3235</v>
      </c>
      <c r="AA152" t="s">
        <v>3236</v>
      </c>
      <c r="AB152" t="s">
        <v>3237</v>
      </c>
      <c r="AC152" t="s">
        <v>3238</v>
      </c>
      <c r="AD152" t="s">
        <v>3239</v>
      </c>
      <c r="AE152" t="s">
        <v>74</v>
      </c>
      <c r="AF152" t="s">
        <v>74</v>
      </c>
      <c r="AG152">
        <v>18</v>
      </c>
      <c r="AH152">
        <v>10</v>
      </c>
      <c r="AI152">
        <v>10</v>
      </c>
      <c r="AJ152">
        <v>0</v>
      </c>
      <c r="AK152">
        <v>6</v>
      </c>
      <c r="AL152" t="s">
        <v>2960</v>
      </c>
      <c r="AM152" t="s">
        <v>1004</v>
      </c>
      <c r="AN152" t="s">
        <v>2961</v>
      </c>
      <c r="AO152" t="s">
        <v>3219</v>
      </c>
      <c r="AP152" t="s">
        <v>3220</v>
      </c>
      <c r="AQ152" t="s">
        <v>74</v>
      </c>
      <c r="AR152" t="s">
        <v>3221</v>
      </c>
      <c r="AS152" t="s">
        <v>3222</v>
      </c>
      <c r="AT152" t="s">
        <v>2547</v>
      </c>
      <c r="AU152">
        <v>2019</v>
      </c>
      <c r="AV152">
        <v>65</v>
      </c>
      <c r="AW152">
        <v>250</v>
      </c>
      <c r="AX152" t="s">
        <v>74</v>
      </c>
      <c r="AY152" t="s">
        <v>74</v>
      </c>
      <c r="AZ152" t="s">
        <v>74</v>
      </c>
      <c r="BA152" t="s">
        <v>74</v>
      </c>
      <c r="BB152">
        <v>288</v>
      </c>
      <c r="BC152">
        <v>298</v>
      </c>
      <c r="BD152" t="s">
        <v>74</v>
      </c>
      <c r="BE152" t="s">
        <v>3240</v>
      </c>
      <c r="BF152" t="str">
        <f>HYPERLINK("http://dx.doi.org/10.1017/jog.2019.9","http://dx.doi.org/10.1017/jog.2019.9")</f>
        <v>http://dx.doi.org/10.1017/jog.2019.9</v>
      </c>
      <c r="BG152" t="s">
        <v>74</v>
      </c>
      <c r="BH152" t="s">
        <v>74</v>
      </c>
      <c r="BI152">
        <v>11</v>
      </c>
      <c r="BJ152" t="s">
        <v>1142</v>
      </c>
      <c r="BK152" t="s">
        <v>102</v>
      </c>
      <c r="BL152" t="s">
        <v>1143</v>
      </c>
      <c r="BM152" t="s">
        <v>3224</v>
      </c>
      <c r="BN152" t="s">
        <v>74</v>
      </c>
      <c r="BO152" t="s">
        <v>3241</v>
      </c>
      <c r="BP152" t="s">
        <v>74</v>
      </c>
      <c r="BQ152" t="s">
        <v>74</v>
      </c>
      <c r="BR152" t="s">
        <v>107</v>
      </c>
      <c r="BS152" t="s">
        <v>3242</v>
      </c>
      <c r="BT152" t="str">
        <f>HYPERLINK("https%3A%2F%2Fwww.webofscience.com%2Fwos%2Fwoscc%2Ffull-record%2FWOS:000468368700011","View Full Record in Web of Science")</f>
        <v>View Full Record in Web of Science</v>
      </c>
    </row>
    <row r="153" spans="1:72" x14ac:dyDescent="0.15">
      <c r="A153" t="s">
        <v>72</v>
      </c>
      <c r="B153" t="s">
        <v>3243</v>
      </c>
      <c r="C153" t="s">
        <v>74</v>
      </c>
      <c r="D153" t="s">
        <v>74</v>
      </c>
      <c r="E153" t="s">
        <v>74</v>
      </c>
      <c r="F153" t="s">
        <v>3244</v>
      </c>
      <c r="G153" t="s">
        <v>74</v>
      </c>
      <c r="H153" t="s">
        <v>74</v>
      </c>
      <c r="I153" t="s">
        <v>3245</v>
      </c>
      <c r="J153" t="s">
        <v>3206</v>
      </c>
      <c r="K153" t="s">
        <v>74</v>
      </c>
      <c r="L153" t="s">
        <v>74</v>
      </c>
      <c r="M153" t="s">
        <v>78</v>
      </c>
      <c r="N153" t="s">
        <v>79</v>
      </c>
      <c r="O153" t="s">
        <v>74</v>
      </c>
      <c r="P153" t="s">
        <v>74</v>
      </c>
      <c r="Q153" t="s">
        <v>74</v>
      </c>
      <c r="R153" t="s">
        <v>74</v>
      </c>
      <c r="S153" t="s">
        <v>74</v>
      </c>
      <c r="T153" t="s">
        <v>3246</v>
      </c>
      <c r="U153" t="s">
        <v>3247</v>
      </c>
      <c r="V153" t="s">
        <v>3248</v>
      </c>
      <c r="W153" t="s">
        <v>3249</v>
      </c>
      <c r="X153" t="s">
        <v>3250</v>
      </c>
      <c r="Y153" t="s">
        <v>3251</v>
      </c>
      <c r="Z153" t="s">
        <v>3252</v>
      </c>
      <c r="AA153" t="s">
        <v>3253</v>
      </c>
      <c r="AB153" t="s">
        <v>3254</v>
      </c>
      <c r="AC153" t="s">
        <v>3255</v>
      </c>
      <c r="AD153" t="s">
        <v>3256</v>
      </c>
      <c r="AE153" t="s">
        <v>3257</v>
      </c>
      <c r="AF153" t="s">
        <v>74</v>
      </c>
      <c r="AG153">
        <v>41</v>
      </c>
      <c r="AH153">
        <v>7</v>
      </c>
      <c r="AI153">
        <v>9</v>
      </c>
      <c r="AJ153">
        <v>0</v>
      </c>
      <c r="AK153">
        <v>4</v>
      </c>
      <c r="AL153" t="s">
        <v>2960</v>
      </c>
      <c r="AM153" t="s">
        <v>1004</v>
      </c>
      <c r="AN153" t="s">
        <v>2961</v>
      </c>
      <c r="AO153" t="s">
        <v>3219</v>
      </c>
      <c r="AP153" t="s">
        <v>3220</v>
      </c>
      <c r="AQ153" t="s">
        <v>74</v>
      </c>
      <c r="AR153" t="s">
        <v>3221</v>
      </c>
      <c r="AS153" t="s">
        <v>3222</v>
      </c>
      <c r="AT153" t="s">
        <v>2547</v>
      </c>
      <c r="AU153">
        <v>2019</v>
      </c>
      <c r="AV153">
        <v>65</v>
      </c>
      <c r="AW153">
        <v>250</v>
      </c>
      <c r="AX153" t="s">
        <v>74</v>
      </c>
      <c r="AY153" t="s">
        <v>74</v>
      </c>
      <c r="AZ153" t="s">
        <v>74</v>
      </c>
      <c r="BA153" t="s">
        <v>74</v>
      </c>
      <c r="BB153">
        <v>337</v>
      </c>
      <c r="BC153">
        <v>343</v>
      </c>
      <c r="BD153" t="s">
        <v>74</v>
      </c>
      <c r="BE153" t="s">
        <v>3258</v>
      </c>
      <c r="BF153" t="str">
        <f>HYPERLINK("http://dx.doi.org/10.1017/jog.2019.17","http://dx.doi.org/10.1017/jog.2019.17")</f>
        <v>http://dx.doi.org/10.1017/jog.2019.17</v>
      </c>
      <c r="BG153" t="s">
        <v>74</v>
      </c>
      <c r="BH153" t="s">
        <v>74</v>
      </c>
      <c r="BI153">
        <v>7</v>
      </c>
      <c r="BJ153" t="s">
        <v>1142</v>
      </c>
      <c r="BK153" t="s">
        <v>102</v>
      </c>
      <c r="BL153" t="s">
        <v>1143</v>
      </c>
      <c r="BM153" t="s">
        <v>3224</v>
      </c>
      <c r="BN153" t="s">
        <v>74</v>
      </c>
      <c r="BO153" t="s">
        <v>2343</v>
      </c>
      <c r="BP153" t="s">
        <v>74</v>
      </c>
      <c r="BQ153" t="s">
        <v>74</v>
      </c>
      <c r="BR153" t="s">
        <v>107</v>
      </c>
      <c r="BS153" t="s">
        <v>3259</v>
      </c>
      <c r="BT153" t="str">
        <f>HYPERLINK("https%3A%2F%2Fwww.webofscience.com%2Fwos%2Fwoscc%2Ffull-record%2FWOS:000468368700015","View Full Record in Web of Science")</f>
        <v>View Full Record in Web of Science</v>
      </c>
    </row>
    <row r="154" spans="1:72" x14ac:dyDescent="0.15">
      <c r="A154" t="s">
        <v>72</v>
      </c>
      <c r="B154" t="s">
        <v>3260</v>
      </c>
      <c r="C154" t="s">
        <v>74</v>
      </c>
      <c r="D154" t="s">
        <v>74</v>
      </c>
      <c r="E154" t="s">
        <v>74</v>
      </c>
      <c r="F154" t="s">
        <v>3261</v>
      </c>
      <c r="G154" t="s">
        <v>74</v>
      </c>
      <c r="H154" t="s">
        <v>74</v>
      </c>
      <c r="I154" t="s">
        <v>3262</v>
      </c>
      <c r="J154" t="s">
        <v>3263</v>
      </c>
      <c r="K154" t="s">
        <v>74</v>
      </c>
      <c r="L154" t="s">
        <v>74</v>
      </c>
      <c r="M154" t="s">
        <v>78</v>
      </c>
      <c r="N154" t="s">
        <v>79</v>
      </c>
      <c r="O154" t="s">
        <v>74</v>
      </c>
      <c r="P154" t="s">
        <v>74</v>
      </c>
      <c r="Q154" t="s">
        <v>74</v>
      </c>
      <c r="R154" t="s">
        <v>74</v>
      </c>
      <c r="S154" t="s">
        <v>74</v>
      </c>
      <c r="T154" t="s">
        <v>74</v>
      </c>
      <c r="U154" t="s">
        <v>3264</v>
      </c>
      <c r="V154" t="s">
        <v>74</v>
      </c>
      <c r="W154" t="s">
        <v>3265</v>
      </c>
      <c r="X154" t="s">
        <v>3266</v>
      </c>
      <c r="Y154" t="s">
        <v>3267</v>
      </c>
      <c r="Z154" t="s">
        <v>3268</v>
      </c>
      <c r="AA154" t="s">
        <v>3269</v>
      </c>
      <c r="AB154" t="s">
        <v>3270</v>
      </c>
      <c r="AC154" t="s">
        <v>3271</v>
      </c>
      <c r="AD154" t="s">
        <v>3272</v>
      </c>
      <c r="AE154" t="s">
        <v>3273</v>
      </c>
      <c r="AF154" t="s">
        <v>74</v>
      </c>
      <c r="AG154">
        <v>30</v>
      </c>
      <c r="AH154">
        <v>10</v>
      </c>
      <c r="AI154">
        <v>11</v>
      </c>
      <c r="AJ154">
        <v>3</v>
      </c>
      <c r="AK154">
        <v>13</v>
      </c>
      <c r="AL154" t="s">
        <v>153</v>
      </c>
      <c r="AM154" t="s">
        <v>154</v>
      </c>
      <c r="AN154" t="s">
        <v>155</v>
      </c>
      <c r="AO154" t="s">
        <v>3274</v>
      </c>
      <c r="AP154" t="s">
        <v>3275</v>
      </c>
      <c r="AQ154" t="s">
        <v>74</v>
      </c>
      <c r="AR154" t="s">
        <v>3276</v>
      </c>
      <c r="AS154" t="s">
        <v>3277</v>
      </c>
      <c r="AT154" t="s">
        <v>2547</v>
      </c>
      <c r="AU154">
        <v>2019</v>
      </c>
      <c r="AV154">
        <v>35</v>
      </c>
      <c r="AW154">
        <v>2</v>
      </c>
      <c r="AX154" t="s">
        <v>74</v>
      </c>
      <c r="AY154" t="s">
        <v>74</v>
      </c>
      <c r="AZ154" t="s">
        <v>74</v>
      </c>
      <c r="BA154" t="s">
        <v>74</v>
      </c>
      <c r="BB154">
        <v>641</v>
      </c>
      <c r="BC154">
        <v>648</v>
      </c>
      <c r="BD154" t="s">
        <v>74</v>
      </c>
      <c r="BE154" t="s">
        <v>3278</v>
      </c>
      <c r="BF154" t="str">
        <f>HYPERLINK("http://dx.doi.org/10.1111/mms.12559","http://dx.doi.org/10.1111/mms.12559")</f>
        <v>http://dx.doi.org/10.1111/mms.12559</v>
      </c>
      <c r="BG154" t="s">
        <v>74</v>
      </c>
      <c r="BH154" t="s">
        <v>74</v>
      </c>
      <c r="BI154">
        <v>8</v>
      </c>
      <c r="BJ154" t="s">
        <v>184</v>
      </c>
      <c r="BK154" t="s">
        <v>102</v>
      </c>
      <c r="BL154" t="s">
        <v>184</v>
      </c>
      <c r="BM154" t="s">
        <v>3279</v>
      </c>
      <c r="BN154" t="s">
        <v>74</v>
      </c>
      <c r="BO154" t="s">
        <v>403</v>
      </c>
      <c r="BP154" t="s">
        <v>74</v>
      </c>
      <c r="BQ154" t="s">
        <v>74</v>
      </c>
      <c r="BR154" t="s">
        <v>107</v>
      </c>
      <c r="BS154" t="s">
        <v>3280</v>
      </c>
      <c r="BT154" t="str">
        <f>HYPERLINK("https%3A%2F%2Fwww.webofscience.com%2Fwos%2Fwoscc%2Ffull-record%2FWOS:000468040700013","View Full Record in Web of Science")</f>
        <v>View Full Record in Web of Science</v>
      </c>
    </row>
    <row r="155" spans="1:72" x14ac:dyDescent="0.15">
      <c r="A155" t="s">
        <v>72</v>
      </c>
      <c r="B155" t="s">
        <v>3281</v>
      </c>
      <c r="C155" t="s">
        <v>74</v>
      </c>
      <c r="D155" t="s">
        <v>74</v>
      </c>
      <c r="E155" t="s">
        <v>74</v>
      </c>
      <c r="F155" t="s">
        <v>3282</v>
      </c>
      <c r="G155" t="s">
        <v>74</v>
      </c>
      <c r="H155" t="s">
        <v>74</v>
      </c>
      <c r="I155" t="s">
        <v>3283</v>
      </c>
      <c r="J155" t="s">
        <v>3263</v>
      </c>
      <c r="K155" t="s">
        <v>74</v>
      </c>
      <c r="L155" t="s">
        <v>74</v>
      </c>
      <c r="M155" t="s">
        <v>78</v>
      </c>
      <c r="N155" t="s">
        <v>79</v>
      </c>
      <c r="O155" t="s">
        <v>74</v>
      </c>
      <c r="P155" t="s">
        <v>74</v>
      </c>
      <c r="Q155" t="s">
        <v>74</v>
      </c>
      <c r="R155" t="s">
        <v>74</v>
      </c>
      <c r="S155" t="s">
        <v>74</v>
      </c>
      <c r="T155" t="s">
        <v>74</v>
      </c>
      <c r="U155" t="s">
        <v>3284</v>
      </c>
      <c r="V155" t="s">
        <v>74</v>
      </c>
      <c r="W155" t="s">
        <v>3285</v>
      </c>
      <c r="X155" t="s">
        <v>3286</v>
      </c>
      <c r="Y155" t="s">
        <v>3287</v>
      </c>
      <c r="Z155" t="s">
        <v>3288</v>
      </c>
      <c r="AA155" t="s">
        <v>3289</v>
      </c>
      <c r="AB155" t="s">
        <v>74</v>
      </c>
      <c r="AC155" t="s">
        <v>3290</v>
      </c>
      <c r="AD155" t="s">
        <v>3291</v>
      </c>
      <c r="AE155" t="s">
        <v>3292</v>
      </c>
      <c r="AF155" t="s">
        <v>74</v>
      </c>
      <c r="AG155">
        <v>24</v>
      </c>
      <c r="AH155">
        <v>3</v>
      </c>
      <c r="AI155">
        <v>3</v>
      </c>
      <c r="AJ155">
        <v>0</v>
      </c>
      <c r="AK155">
        <v>2</v>
      </c>
      <c r="AL155" t="s">
        <v>153</v>
      </c>
      <c r="AM155" t="s">
        <v>154</v>
      </c>
      <c r="AN155" t="s">
        <v>155</v>
      </c>
      <c r="AO155" t="s">
        <v>3274</v>
      </c>
      <c r="AP155" t="s">
        <v>3275</v>
      </c>
      <c r="AQ155" t="s">
        <v>74</v>
      </c>
      <c r="AR155" t="s">
        <v>3276</v>
      </c>
      <c r="AS155" t="s">
        <v>3277</v>
      </c>
      <c r="AT155" t="s">
        <v>2547</v>
      </c>
      <c r="AU155">
        <v>2019</v>
      </c>
      <c r="AV155">
        <v>35</v>
      </c>
      <c r="AW155">
        <v>2</v>
      </c>
      <c r="AX155" t="s">
        <v>74</v>
      </c>
      <c r="AY155" t="s">
        <v>74</v>
      </c>
      <c r="AZ155" t="s">
        <v>74</v>
      </c>
      <c r="BA155" t="s">
        <v>74</v>
      </c>
      <c r="BB155">
        <v>677</v>
      </c>
      <c r="BC155">
        <v>683</v>
      </c>
      <c r="BD155" t="s">
        <v>74</v>
      </c>
      <c r="BE155" t="s">
        <v>3293</v>
      </c>
      <c r="BF155" t="str">
        <f>HYPERLINK("http://dx.doi.org/10.1111/mms.12549","http://dx.doi.org/10.1111/mms.12549")</f>
        <v>http://dx.doi.org/10.1111/mms.12549</v>
      </c>
      <c r="BG155" t="s">
        <v>74</v>
      </c>
      <c r="BH155" t="s">
        <v>74</v>
      </c>
      <c r="BI155">
        <v>7</v>
      </c>
      <c r="BJ155" t="s">
        <v>184</v>
      </c>
      <c r="BK155" t="s">
        <v>102</v>
      </c>
      <c r="BL155" t="s">
        <v>184</v>
      </c>
      <c r="BM155" t="s">
        <v>3279</v>
      </c>
      <c r="BN155" t="s">
        <v>74</v>
      </c>
      <c r="BO155" t="s">
        <v>74</v>
      </c>
      <c r="BP155" t="s">
        <v>74</v>
      </c>
      <c r="BQ155" t="s">
        <v>74</v>
      </c>
      <c r="BR155" t="s">
        <v>107</v>
      </c>
      <c r="BS155" t="s">
        <v>3294</v>
      </c>
      <c r="BT155" t="str">
        <f>HYPERLINK("https%3A%2F%2Fwww.webofscience.com%2Fwos%2Fwoscc%2Ffull-record%2FWOS:000468040700016","View Full Record in Web of Science")</f>
        <v>View Full Record in Web of Science</v>
      </c>
    </row>
    <row r="156" spans="1:72" x14ac:dyDescent="0.15">
      <c r="A156" t="s">
        <v>72</v>
      </c>
      <c r="B156" t="s">
        <v>3295</v>
      </c>
      <c r="C156" t="s">
        <v>74</v>
      </c>
      <c r="D156" t="s">
        <v>74</v>
      </c>
      <c r="E156" t="s">
        <v>74</v>
      </c>
      <c r="F156" t="s">
        <v>3296</v>
      </c>
      <c r="G156" t="s">
        <v>74</v>
      </c>
      <c r="H156" t="s">
        <v>74</v>
      </c>
      <c r="I156" t="s">
        <v>3297</v>
      </c>
      <c r="J156" t="s">
        <v>3298</v>
      </c>
      <c r="K156" t="s">
        <v>74</v>
      </c>
      <c r="L156" t="s">
        <v>74</v>
      </c>
      <c r="M156" t="s">
        <v>78</v>
      </c>
      <c r="N156" t="s">
        <v>79</v>
      </c>
      <c r="O156" t="s">
        <v>74</v>
      </c>
      <c r="P156" t="s">
        <v>74</v>
      </c>
      <c r="Q156" t="s">
        <v>74</v>
      </c>
      <c r="R156" t="s">
        <v>74</v>
      </c>
      <c r="S156" t="s">
        <v>74</v>
      </c>
      <c r="T156" t="s">
        <v>3299</v>
      </c>
      <c r="U156" t="s">
        <v>74</v>
      </c>
      <c r="V156" t="s">
        <v>3300</v>
      </c>
      <c r="W156" t="s">
        <v>3301</v>
      </c>
      <c r="X156" t="s">
        <v>3302</v>
      </c>
      <c r="Y156" t="s">
        <v>3303</v>
      </c>
      <c r="Z156" t="s">
        <v>3304</v>
      </c>
      <c r="AA156" t="s">
        <v>3305</v>
      </c>
      <c r="AB156" t="s">
        <v>3306</v>
      </c>
      <c r="AC156" t="s">
        <v>74</v>
      </c>
      <c r="AD156" t="s">
        <v>74</v>
      </c>
      <c r="AE156" t="s">
        <v>74</v>
      </c>
      <c r="AF156" t="s">
        <v>74</v>
      </c>
      <c r="AG156">
        <v>29</v>
      </c>
      <c r="AH156">
        <v>2</v>
      </c>
      <c r="AI156">
        <v>2</v>
      </c>
      <c r="AJ156">
        <v>3</v>
      </c>
      <c r="AK156">
        <v>9</v>
      </c>
      <c r="AL156" t="s">
        <v>3307</v>
      </c>
      <c r="AM156" t="s">
        <v>3308</v>
      </c>
      <c r="AN156" t="s">
        <v>3309</v>
      </c>
      <c r="AO156" t="s">
        <v>3310</v>
      </c>
      <c r="AP156" t="s">
        <v>3311</v>
      </c>
      <c r="AQ156" t="s">
        <v>74</v>
      </c>
      <c r="AR156" t="s">
        <v>3312</v>
      </c>
      <c r="AS156" t="s">
        <v>3313</v>
      </c>
      <c r="AT156" t="s">
        <v>2547</v>
      </c>
      <c r="AU156">
        <v>2019</v>
      </c>
      <c r="AV156">
        <v>44</v>
      </c>
      <c r="AW156">
        <v>4</v>
      </c>
      <c r="AX156" t="s">
        <v>74</v>
      </c>
      <c r="AY156" t="s">
        <v>74</v>
      </c>
      <c r="AZ156" t="s">
        <v>74</v>
      </c>
      <c r="BA156" t="s">
        <v>74</v>
      </c>
      <c r="BB156">
        <v>231</v>
      </c>
      <c r="BC156">
        <v>237</v>
      </c>
      <c r="BD156" t="s">
        <v>74</v>
      </c>
      <c r="BE156" t="s">
        <v>3314</v>
      </c>
      <c r="BF156" t="str">
        <f>HYPERLINK("http://dx.doi.org/10.3103/S1068373919040022","http://dx.doi.org/10.3103/S1068373919040022")</f>
        <v>http://dx.doi.org/10.3103/S1068373919040022</v>
      </c>
      <c r="BG156" t="s">
        <v>74</v>
      </c>
      <c r="BH156" t="s">
        <v>74</v>
      </c>
      <c r="BI156">
        <v>7</v>
      </c>
      <c r="BJ156" t="s">
        <v>133</v>
      </c>
      <c r="BK156" t="s">
        <v>102</v>
      </c>
      <c r="BL156" t="s">
        <v>133</v>
      </c>
      <c r="BM156" t="s">
        <v>3315</v>
      </c>
      <c r="BN156" t="s">
        <v>74</v>
      </c>
      <c r="BO156" t="s">
        <v>74</v>
      </c>
      <c r="BP156" t="s">
        <v>74</v>
      </c>
      <c r="BQ156" t="s">
        <v>74</v>
      </c>
      <c r="BR156" t="s">
        <v>107</v>
      </c>
      <c r="BS156" t="s">
        <v>3316</v>
      </c>
      <c r="BT156" t="str">
        <f>HYPERLINK("https%3A%2F%2Fwww.webofscience.com%2Fwos%2Fwoscc%2Ffull-record%2FWOS:000467166700002","View Full Record in Web of Science")</f>
        <v>View Full Record in Web of Science</v>
      </c>
    </row>
    <row r="157" spans="1:72" x14ac:dyDescent="0.15">
      <c r="A157" t="s">
        <v>72</v>
      </c>
      <c r="B157" t="s">
        <v>3317</v>
      </c>
      <c r="C157" t="s">
        <v>74</v>
      </c>
      <c r="D157" t="s">
        <v>74</v>
      </c>
      <c r="E157" t="s">
        <v>74</v>
      </c>
      <c r="F157" t="s">
        <v>3318</v>
      </c>
      <c r="G157" t="s">
        <v>74</v>
      </c>
      <c r="H157" t="s">
        <v>74</v>
      </c>
      <c r="I157" t="s">
        <v>3319</v>
      </c>
      <c r="J157" t="s">
        <v>3298</v>
      </c>
      <c r="K157" t="s">
        <v>74</v>
      </c>
      <c r="L157" t="s">
        <v>74</v>
      </c>
      <c r="M157" t="s">
        <v>78</v>
      </c>
      <c r="N157" t="s">
        <v>79</v>
      </c>
      <c r="O157" t="s">
        <v>74</v>
      </c>
      <c r="P157" t="s">
        <v>74</v>
      </c>
      <c r="Q157" t="s">
        <v>74</v>
      </c>
      <c r="R157" t="s">
        <v>74</v>
      </c>
      <c r="S157" t="s">
        <v>74</v>
      </c>
      <c r="T157" t="s">
        <v>3320</v>
      </c>
      <c r="U157" t="s">
        <v>3321</v>
      </c>
      <c r="V157" t="s">
        <v>3322</v>
      </c>
      <c r="W157" t="s">
        <v>3323</v>
      </c>
      <c r="X157" t="s">
        <v>3324</v>
      </c>
      <c r="Y157" t="s">
        <v>3325</v>
      </c>
      <c r="Z157" t="s">
        <v>3326</v>
      </c>
      <c r="AA157" t="s">
        <v>3327</v>
      </c>
      <c r="AB157" t="s">
        <v>3328</v>
      </c>
      <c r="AC157" t="s">
        <v>3329</v>
      </c>
      <c r="AD157" t="s">
        <v>3330</v>
      </c>
      <c r="AE157" t="s">
        <v>3331</v>
      </c>
      <c r="AF157" t="s">
        <v>74</v>
      </c>
      <c r="AG157">
        <v>77</v>
      </c>
      <c r="AH157">
        <v>3</v>
      </c>
      <c r="AI157">
        <v>4</v>
      </c>
      <c r="AJ157">
        <v>2</v>
      </c>
      <c r="AK157">
        <v>7</v>
      </c>
      <c r="AL157" t="s">
        <v>3307</v>
      </c>
      <c r="AM157" t="s">
        <v>3308</v>
      </c>
      <c r="AN157" t="s">
        <v>3309</v>
      </c>
      <c r="AO157" t="s">
        <v>3310</v>
      </c>
      <c r="AP157" t="s">
        <v>3311</v>
      </c>
      <c r="AQ157" t="s">
        <v>74</v>
      </c>
      <c r="AR157" t="s">
        <v>3312</v>
      </c>
      <c r="AS157" t="s">
        <v>3313</v>
      </c>
      <c r="AT157" t="s">
        <v>2547</v>
      </c>
      <c r="AU157">
        <v>2019</v>
      </c>
      <c r="AV157">
        <v>44</v>
      </c>
      <c r="AW157">
        <v>4</v>
      </c>
      <c r="AX157" t="s">
        <v>74</v>
      </c>
      <c r="AY157" t="s">
        <v>74</v>
      </c>
      <c r="AZ157" t="s">
        <v>74</v>
      </c>
      <c r="BA157" t="s">
        <v>74</v>
      </c>
      <c r="BB157">
        <v>238</v>
      </c>
      <c r="BC157">
        <v>249</v>
      </c>
      <c r="BD157" t="s">
        <v>74</v>
      </c>
      <c r="BE157" t="s">
        <v>3332</v>
      </c>
      <c r="BF157" t="str">
        <f>HYPERLINK("http://dx.doi.org/10.3103/S1068373919040034","http://dx.doi.org/10.3103/S1068373919040034")</f>
        <v>http://dx.doi.org/10.3103/S1068373919040034</v>
      </c>
      <c r="BG157" t="s">
        <v>74</v>
      </c>
      <c r="BH157" t="s">
        <v>74</v>
      </c>
      <c r="BI157">
        <v>12</v>
      </c>
      <c r="BJ157" t="s">
        <v>133</v>
      </c>
      <c r="BK157" t="s">
        <v>102</v>
      </c>
      <c r="BL157" t="s">
        <v>133</v>
      </c>
      <c r="BM157" t="s">
        <v>3315</v>
      </c>
      <c r="BN157" t="s">
        <v>74</v>
      </c>
      <c r="BO157" t="s">
        <v>74</v>
      </c>
      <c r="BP157" t="s">
        <v>74</v>
      </c>
      <c r="BQ157" t="s">
        <v>74</v>
      </c>
      <c r="BR157" t="s">
        <v>107</v>
      </c>
      <c r="BS157" t="s">
        <v>3333</v>
      </c>
      <c r="BT157" t="str">
        <f>HYPERLINK("https%3A%2F%2Fwww.webofscience.com%2Fwos%2Fwoscc%2Ffull-record%2FWOS:000467166700003","View Full Record in Web of Science")</f>
        <v>View Full Record in Web of Science</v>
      </c>
    </row>
    <row r="158" spans="1:72" x14ac:dyDescent="0.15">
      <c r="A158" t="s">
        <v>72</v>
      </c>
      <c r="B158" t="s">
        <v>3334</v>
      </c>
      <c r="C158" t="s">
        <v>74</v>
      </c>
      <c r="D158" t="s">
        <v>74</v>
      </c>
      <c r="E158" t="s">
        <v>74</v>
      </c>
      <c r="F158" t="s">
        <v>3335</v>
      </c>
      <c r="G158" t="s">
        <v>74</v>
      </c>
      <c r="H158" t="s">
        <v>74</v>
      </c>
      <c r="I158" t="s">
        <v>3336</v>
      </c>
      <c r="J158" t="s">
        <v>3298</v>
      </c>
      <c r="K158" t="s">
        <v>74</v>
      </c>
      <c r="L158" t="s">
        <v>74</v>
      </c>
      <c r="M158" t="s">
        <v>78</v>
      </c>
      <c r="N158" t="s">
        <v>79</v>
      </c>
      <c r="O158" t="s">
        <v>74</v>
      </c>
      <c r="P158" t="s">
        <v>74</v>
      </c>
      <c r="Q158" t="s">
        <v>74</v>
      </c>
      <c r="R158" t="s">
        <v>74</v>
      </c>
      <c r="S158" t="s">
        <v>74</v>
      </c>
      <c r="T158" t="s">
        <v>3337</v>
      </c>
      <c r="U158" t="s">
        <v>74</v>
      </c>
      <c r="V158" t="s">
        <v>3338</v>
      </c>
      <c r="W158" t="s">
        <v>3339</v>
      </c>
      <c r="X158" t="s">
        <v>3302</v>
      </c>
      <c r="Y158" t="s">
        <v>3340</v>
      </c>
      <c r="Z158" t="s">
        <v>3341</v>
      </c>
      <c r="AA158" t="s">
        <v>74</v>
      </c>
      <c r="AB158" t="s">
        <v>74</v>
      </c>
      <c r="AC158" t="s">
        <v>3342</v>
      </c>
      <c r="AD158" t="s">
        <v>3343</v>
      </c>
      <c r="AE158" t="s">
        <v>3344</v>
      </c>
      <c r="AF158" t="s">
        <v>74</v>
      </c>
      <c r="AG158">
        <v>14</v>
      </c>
      <c r="AH158">
        <v>0</v>
      </c>
      <c r="AI158">
        <v>0</v>
      </c>
      <c r="AJ158">
        <v>0</v>
      </c>
      <c r="AK158">
        <v>7</v>
      </c>
      <c r="AL158" t="s">
        <v>3307</v>
      </c>
      <c r="AM158" t="s">
        <v>3308</v>
      </c>
      <c r="AN158" t="s">
        <v>3309</v>
      </c>
      <c r="AO158" t="s">
        <v>3310</v>
      </c>
      <c r="AP158" t="s">
        <v>3311</v>
      </c>
      <c r="AQ158" t="s">
        <v>74</v>
      </c>
      <c r="AR158" t="s">
        <v>3312</v>
      </c>
      <c r="AS158" t="s">
        <v>3313</v>
      </c>
      <c r="AT158" t="s">
        <v>2547</v>
      </c>
      <c r="AU158">
        <v>2019</v>
      </c>
      <c r="AV158">
        <v>44</v>
      </c>
      <c r="AW158">
        <v>4</v>
      </c>
      <c r="AX158" t="s">
        <v>74</v>
      </c>
      <c r="AY158" t="s">
        <v>74</v>
      </c>
      <c r="AZ158" t="s">
        <v>74</v>
      </c>
      <c r="BA158" t="s">
        <v>74</v>
      </c>
      <c r="BB158">
        <v>262</v>
      </c>
      <c r="BC158">
        <v>267</v>
      </c>
      <c r="BD158" t="s">
        <v>74</v>
      </c>
      <c r="BE158" t="s">
        <v>3345</v>
      </c>
      <c r="BF158" t="str">
        <f>HYPERLINK("http://dx.doi.org/10.3103/S1068373919040058","http://dx.doi.org/10.3103/S1068373919040058")</f>
        <v>http://dx.doi.org/10.3103/S1068373919040058</v>
      </c>
      <c r="BG158" t="s">
        <v>74</v>
      </c>
      <c r="BH158" t="s">
        <v>74</v>
      </c>
      <c r="BI158">
        <v>6</v>
      </c>
      <c r="BJ158" t="s">
        <v>133</v>
      </c>
      <c r="BK158" t="s">
        <v>102</v>
      </c>
      <c r="BL158" t="s">
        <v>133</v>
      </c>
      <c r="BM158" t="s">
        <v>3315</v>
      </c>
      <c r="BN158" t="s">
        <v>74</v>
      </c>
      <c r="BO158" t="s">
        <v>74</v>
      </c>
      <c r="BP158" t="s">
        <v>74</v>
      </c>
      <c r="BQ158" t="s">
        <v>74</v>
      </c>
      <c r="BR158" t="s">
        <v>107</v>
      </c>
      <c r="BS158" t="s">
        <v>3346</v>
      </c>
      <c r="BT158" t="str">
        <f>HYPERLINK("https%3A%2F%2Fwww.webofscience.com%2Fwos%2Fwoscc%2Ffull-record%2FWOS:000467166700005","View Full Record in Web of Science")</f>
        <v>View Full Record in Web of Science</v>
      </c>
    </row>
    <row r="159" spans="1:72" x14ac:dyDescent="0.15">
      <c r="A159" t="s">
        <v>72</v>
      </c>
      <c r="B159" t="s">
        <v>3347</v>
      </c>
      <c r="C159" t="s">
        <v>74</v>
      </c>
      <c r="D159" t="s">
        <v>74</v>
      </c>
      <c r="E159" t="s">
        <v>74</v>
      </c>
      <c r="F159" t="s">
        <v>3348</v>
      </c>
      <c r="G159" t="s">
        <v>74</v>
      </c>
      <c r="H159" t="s">
        <v>74</v>
      </c>
      <c r="I159" t="s">
        <v>3349</v>
      </c>
      <c r="J159" t="s">
        <v>3298</v>
      </c>
      <c r="K159" t="s">
        <v>74</v>
      </c>
      <c r="L159" t="s">
        <v>74</v>
      </c>
      <c r="M159" t="s">
        <v>78</v>
      </c>
      <c r="N159" t="s">
        <v>79</v>
      </c>
      <c r="O159" t="s">
        <v>74</v>
      </c>
      <c r="P159" t="s">
        <v>74</v>
      </c>
      <c r="Q159" t="s">
        <v>74</v>
      </c>
      <c r="R159" t="s">
        <v>74</v>
      </c>
      <c r="S159" t="s">
        <v>74</v>
      </c>
      <c r="T159" t="s">
        <v>3350</v>
      </c>
      <c r="U159" t="s">
        <v>74</v>
      </c>
      <c r="V159" t="s">
        <v>3351</v>
      </c>
      <c r="W159" t="s">
        <v>3352</v>
      </c>
      <c r="X159" t="s">
        <v>3353</v>
      </c>
      <c r="Y159" t="s">
        <v>3354</v>
      </c>
      <c r="Z159" t="s">
        <v>3355</v>
      </c>
      <c r="AA159" t="s">
        <v>3356</v>
      </c>
      <c r="AB159" t="s">
        <v>3357</v>
      </c>
      <c r="AC159" t="s">
        <v>3358</v>
      </c>
      <c r="AD159" t="s">
        <v>3359</v>
      </c>
      <c r="AE159" t="s">
        <v>3360</v>
      </c>
      <c r="AF159" t="s">
        <v>74</v>
      </c>
      <c r="AG159">
        <v>23</v>
      </c>
      <c r="AH159">
        <v>12</v>
      </c>
      <c r="AI159">
        <v>12</v>
      </c>
      <c r="AJ159">
        <v>1</v>
      </c>
      <c r="AK159">
        <v>14</v>
      </c>
      <c r="AL159" t="s">
        <v>3307</v>
      </c>
      <c r="AM159" t="s">
        <v>3308</v>
      </c>
      <c r="AN159" t="s">
        <v>3309</v>
      </c>
      <c r="AO159" t="s">
        <v>3310</v>
      </c>
      <c r="AP159" t="s">
        <v>3311</v>
      </c>
      <c r="AQ159" t="s">
        <v>74</v>
      </c>
      <c r="AR159" t="s">
        <v>3312</v>
      </c>
      <c r="AS159" t="s">
        <v>3313</v>
      </c>
      <c r="AT159" t="s">
        <v>2547</v>
      </c>
      <c r="AU159">
        <v>2019</v>
      </c>
      <c r="AV159">
        <v>44</v>
      </c>
      <c r="AW159">
        <v>4</v>
      </c>
      <c r="AX159" t="s">
        <v>74</v>
      </c>
      <c r="AY159" t="s">
        <v>74</v>
      </c>
      <c r="AZ159" t="s">
        <v>74</v>
      </c>
      <c r="BA159" t="s">
        <v>74</v>
      </c>
      <c r="BB159">
        <v>291</v>
      </c>
      <c r="BC159">
        <v>299</v>
      </c>
      <c r="BD159" t="s">
        <v>74</v>
      </c>
      <c r="BE159" t="s">
        <v>3361</v>
      </c>
      <c r="BF159" t="str">
        <f>HYPERLINK("http://dx.doi.org/10.3103/S1068373919040095","http://dx.doi.org/10.3103/S1068373919040095")</f>
        <v>http://dx.doi.org/10.3103/S1068373919040095</v>
      </c>
      <c r="BG159" t="s">
        <v>74</v>
      </c>
      <c r="BH159" t="s">
        <v>74</v>
      </c>
      <c r="BI159">
        <v>9</v>
      </c>
      <c r="BJ159" t="s">
        <v>133</v>
      </c>
      <c r="BK159" t="s">
        <v>102</v>
      </c>
      <c r="BL159" t="s">
        <v>133</v>
      </c>
      <c r="BM159" t="s">
        <v>3315</v>
      </c>
      <c r="BN159" t="s">
        <v>74</v>
      </c>
      <c r="BO159" t="s">
        <v>74</v>
      </c>
      <c r="BP159" t="s">
        <v>74</v>
      </c>
      <c r="BQ159" t="s">
        <v>74</v>
      </c>
      <c r="BR159" t="s">
        <v>107</v>
      </c>
      <c r="BS159" t="s">
        <v>3362</v>
      </c>
      <c r="BT159" t="str">
        <f>HYPERLINK("https%3A%2F%2Fwww.webofscience.com%2Fwos%2Fwoscc%2Ffull-record%2FWOS:000467166700009","View Full Record in Web of Science")</f>
        <v>View Full Record in Web of Science</v>
      </c>
    </row>
    <row r="160" spans="1:72" x14ac:dyDescent="0.15">
      <c r="A160" t="s">
        <v>72</v>
      </c>
      <c r="B160" t="s">
        <v>3363</v>
      </c>
      <c r="C160" t="s">
        <v>74</v>
      </c>
      <c r="D160" t="s">
        <v>74</v>
      </c>
      <c r="E160" t="s">
        <v>74</v>
      </c>
      <c r="F160" t="s">
        <v>3364</v>
      </c>
      <c r="G160" t="s">
        <v>74</v>
      </c>
      <c r="H160" t="s">
        <v>74</v>
      </c>
      <c r="I160" t="s">
        <v>3365</v>
      </c>
      <c r="J160" t="s">
        <v>3298</v>
      </c>
      <c r="K160" t="s">
        <v>74</v>
      </c>
      <c r="L160" t="s">
        <v>74</v>
      </c>
      <c r="M160" t="s">
        <v>78</v>
      </c>
      <c r="N160" t="s">
        <v>79</v>
      </c>
      <c r="O160" t="s">
        <v>74</v>
      </c>
      <c r="P160" t="s">
        <v>74</v>
      </c>
      <c r="Q160" t="s">
        <v>74</v>
      </c>
      <c r="R160" t="s">
        <v>74</v>
      </c>
      <c r="S160" t="s">
        <v>74</v>
      </c>
      <c r="T160" t="s">
        <v>3366</v>
      </c>
      <c r="U160" t="s">
        <v>74</v>
      </c>
      <c r="V160" t="s">
        <v>3367</v>
      </c>
      <c r="W160" t="s">
        <v>3368</v>
      </c>
      <c r="X160" t="s">
        <v>3302</v>
      </c>
      <c r="Y160" t="s">
        <v>3369</v>
      </c>
      <c r="Z160" t="s">
        <v>3370</v>
      </c>
      <c r="AA160" t="s">
        <v>74</v>
      </c>
      <c r="AB160" t="s">
        <v>74</v>
      </c>
      <c r="AC160" t="s">
        <v>74</v>
      </c>
      <c r="AD160" t="s">
        <v>74</v>
      </c>
      <c r="AE160" t="s">
        <v>74</v>
      </c>
      <c r="AF160" t="s">
        <v>74</v>
      </c>
      <c r="AG160">
        <v>9</v>
      </c>
      <c r="AH160">
        <v>1</v>
      </c>
      <c r="AI160">
        <v>1</v>
      </c>
      <c r="AJ160">
        <v>0</v>
      </c>
      <c r="AK160">
        <v>5</v>
      </c>
      <c r="AL160" t="s">
        <v>3307</v>
      </c>
      <c r="AM160" t="s">
        <v>3308</v>
      </c>
      <c r="AN160" t="s">
        <v>3309</v>
      </c>
      <c r="AO160" t="s">
        <v>3310</v>
      </c>
      <c r="AP160" t="s">
        <v>3311</v>
      </c>
      <c r="AQ160" t="s">
        <v>74</v>
      </c>
      <c r="AR160" t="s">
        <v>3312</v>
      </c>
      <c r="AS160" t="s">
        <v>3313</v>
      </c>
      <c r="AT160" t="s">
        <v>2547</v>
      </c>
      <c r="AU160">
        <v>2019</v>
      </c>
      <c r="AV160">
        <v>44</v>
      </c>
      <c r="AW160">
        <v>4</v>
      </c>
      <c r="AX160" t="s">
        <v>74</v>
      </c>
      <c r="AY160" t="s">
        <v>74</v>
      </c>
      <c r="AZ160" t="s">
        <v>74</v>
      </c>
      <c r="BA160" t="s">
        <v>74</v>
      </c>
      <c r="BB160">
        <v>300</v>
      </c>
      <c r="BC160">
        <v>304</v>
      </c>
      <c r="BD160" t="s">
        <v>74</v>
      </c>
      <c r="BE160" t="s">
        <v>3371</v>
      </c>
      <c r="BF160" t="str">
        <f>HYPERLINK("http://dx.doi.org/10.3103/S1068373919040101","http://dx.doi.org/10.3103/S1068373919040101")</f>
        <v>http://dx.doi.org/10.3103/S1068373919040101</v>
      </c>
      <c r="BG160" t="s">
        <v>74</v>
      </c>
      <c r="BH160" t="s">
        <v>74</v>
      </c>
      <c r="BI160">
        <v>5</v>
      </c>
      <c r="BJ160" t="s">
        <v>133</v>
      </c>
      <c r="BK160" t="s">
        <v>102</v>
      </c>
      <c r="BL160" t="s">
        <v>133</v>
      </c>
      <c r="BM160" t="s">
        <v>3315</v>
      </c>
      <c r="BN160" t="s">
        <v>74</v>
      </c>
      <c r="BO160" t="s">
        <v>74</v>
      </c>
      <c r="BP160" t="s">
        <v>74</v>
      </c>
      <c r="BQ160" t="s">
        <v>74</v>
      </c>
      <c r="BR160" t="s">
        <v>107</v>
      </c>
      <c r="BS160" t="s">
        <v>3372</v>
      </c>
      <c r="BT160" t="str">
        <f>HYPERLINK("https%3A%2F%2Fwww.webofscience.com%2Fwos%2Fwoscc%2Ffull-record%2FWOS:000467166700010","View Full Record in Web of Science")</f>
        <v>View Full Record in Web of Science</v>
      </c>
    </row>
    <row r="161" spans="1:72" x14ac:dyDescent="0.15">
      <c r="A161" t="s">
        <v>72</v>
      </c>
      <c r="B161" t="s">
        <v>3373</v>
      </c>
      <c r="C161" t="s">
        <v>74</v>
      </c>
      <c r="D161" t="s">
        <v>74</v>
      </c>
      <c r="E161" t="s">
        <v>74</v>
      </c>
      <c r="F161" t="s">
        <v>3374</v>
      </c>
      <c r="G161" t="s">
        <v>74</v>
      </c>
      <c r="H161" t="s">
        <v>74</v>
      </c>
      <c r="I161" t="s">
        <v>3375</v>
      </c>
      <c r="J161" t="s">
        <v>442</v>
      </c>
      <c r="K161" t="s">
        <v>74</v>
      </c>
      <c r="L161" t="s">
        <v>74</v>
      </c>
      <c r="M161" t="s">
        <v>78</v>
      </c>
      <c r="N161" t="s">
        <v>79</v>
      </c>
      <c r="O161" t="s">
        <v>74</v>
      </c>
      <c r="P161" t="s">
        <v>74</v>
      </c>
      <c r="Q161" t="s">
        <v>74</v>
      </c>
      <c r="R161" t="s">
        <v>74</v>
      </c>
      <c r="S161" t="s">
        <v>74</v>
      </c>
      <c r="T161" t="s">
        <v>74</v>
      </c>
      <c r="U161" t="s">
        <v>3376</v>
      </c>
      <c r="V161" t="s">
        <v>3377</v>
      </c>
      <c r="W161" t="s">
        <v>3378</v>
      </c>
      <c r="X161" t="s">
        <v>3379</v>
      </c>
      <c r="Y161" t="s">
        <v>3380</v>
      </c>
      <c r="Z161" t="s">
        <v>3381</v>
      </c>
      <c r="AA161" t="s">
        <v>3382</v>
      </c>
      <c r="AB161" t="s">
        <v>3383</v>
      </c>
      <c r="AC161" t="s">
        <v>3384</v>
      </c>
      <c r="AD161" t="s">
        <v>3385</v>
      </c>
      <c r="AE161" t="s">
        <v>3386</v>
      </c>
      <c r="AF161" t="s">
        <v>74</v>
      </c>
      <c r="AG161">
        <v>42</v>
      </c>
      <c r="AH161">
        <v>56</v>
      </c>
      <c r="AI161">
        <v>58</v>
      </c>
      <c r="AJ161">
        <v>3</v>
      </c>
      <c r="AK161">
        <v>25</v>
      </c>
      <c r="AL161" t="s">
        <v>453</v>
      </c>
      <c r="AM161" t="s">
        <v>126</v>
      </c>
      <c r="AN161" t="s">
        <v>454</v>
      </c>
      <c r="AO161" t="s">
        <v>455</v>
      </c>
      <c r="AP161" t="s">
        <v>74</v>
      </c>
      <c r="AQ161" t="s">
        <v>74</v>
      </c>
      <c r="AR161" t="s">
        <v>456</v>
      </c>
      <c r="AS161" t="s">
        <v>457</v>
      </c>
      <c r="AT161" t="s">
        <v>2547</v>
      </c>
      <c r="AU161">
        <v>2019</v>
      </c>
      <c r="AV161">
        <v>5</v>
      </c>
      <c r="AW161">
        <v>4</v>
      </c>
      <c r="AX161" t="s">
        <v>74</v>
      </c>
      <c r="AY161" t="s">
        <v>74</v>
      </c>
      <c r="AZ161" t="s">
        <v>74</v>
      </c>
      <c r="BA161" t="s">
        <v>74</v>
      </c>
      <c r="BB161" t="s">
        <v>74</v>
      </c>
      <c r="BC161" t="s">
        <v>74</v>
      </c>
      <c r="BD161" t="s">
        <v>3387</v>
      </c>
      <c r="BE161" t="s">
        <v>3388</v>
      </c>
      <c r="BF161" t="str">
        <f>HYPERLINK("http://dx.doi.org/10.1126/sciadv.aau2879","http://dx.doi.org/10.1126/sciadv.aau2879")</f>
        <v>http://dx.doi.org/10.1126/sciadv.aau2879</v>
      </c>
      <c r="BG161" t="s">
        <v>74</v>
      </c>
      <c r="BH161" t="s">
        <v>74</v>
      </c>
      <c r="BI161">
        <v>7</v>
      </c>
      <c r="BJ161" t="s">
        <v>460</v>
      </c>
      <c r="BK161" t="s">
        <v>102</v>
      </c>
      <c r="BL161" t="s">
        <v>461</v>
      </c>
      <c r="BM161" t="s">
        <v>3389</v>
      </c>
      <c r="BN161">
        <v>30949571</v>
      </c>
      <c r="BO161" t="s">
        <v>851</v>
      </c>
      <c r="BP161" t="s">
        <v>74</v>
      </c>
      <c r="BQ161" t="s">
        <v>74</v>
      </c>
      <c r="BR161" t="s">
        <v>107</v>
      </c>
      <c r="BS161" t="s">
        <v>3390</v>
      </c>
      <c r="BT161" t="str">
        <f>HYPERLINK("https%3A%2F%2Fwww.webofscience.com%2Fwos%2Fwoscc%2Ffull-record%2FWOS:000466398400008","View Full Record in Web of Science")</f>
        <v>View Full Record in Web of Science</v>
      </c>
    </row>
    <row r="162" spans="1:72" x14ac:dyDescent="0.15">
      <c r="A162" t="s">
        <v>72</v>
      </c>
      <c r="B162" t="s">
        <v>3391</v>
      </c>
      <c r="C162" t="s">
        <v>74</v>
      </c>
      <c r="D162" t="s">
        <v>74</v>
      </c>
      <c r="E162" t="s">
        <v>74</v>
      </c>
      <c r="F162" t="s">
        <v>3392</v>
      </c>
      <c r="G162" t="s">
        <v>74</v>
      </c>
      <c r="H162" t="s">
        <v>74</v>
      </c>
      <c r="I162" t="s">
        <v>3393</v>
      </c>
      <c r="J162" t="s">
        <v>442</v>
      </c>
      <c r="K162" t="s">
        <v>74</v>
      </c>
      <c r="L162" t="s">
        <v>74</v>
      </c>
      <c r="M162" t="s">
        <v>78</v>
      </c>
      <c r="N162" t="s">
        <v>79</v>
      </c>
      <c r="O162" t="s">
        <v>74</v>
      </c>
      <c r="P162" t="s">
        <v>74</v>
      </c>
      <c r="Q162" t="s">
        <v>74</v>
      </c>
      <c r="R162" t="s">
        <v>74</v>
      </c>
      <c r="S162" t="s">
        <v>74</v>
      </c>
      <c r="T162" t="s">
        <v>74</v>
      </c>
      <c r="U162" t="s">
        <v>3394</v>
      </c>
      <c r="V162" t="s">
        <v>3395</v>
      </c>
      <c r="W162" t="s">
        <v>3396</v>
      </c>
      <c r="X162" t="s">
        <v>3397</v>
      </c>
      <c r="Y162" t="s">
        <v>3398</v>
      </c>
      <c r="Z162" t="s">
        <v>3399</v>
      </c>
      <c r="AA162" t="s">
        <v>3400</v>
      </c>
      <c r="AB162" t="s">
        <v>3401</v>
      </c>
      <c r="AC162" t="s">
        <v>3402</v>
      </c>
      <c r="AD162" t="s">
        <v>3403</v>
      </c>
      <c r="AE162" t="s">
        <v>3404</v>
      </c>
      <c r="AF162" t="s">
        <v>74</v>
      </c>
      <c r="AG162">
        <v>58</v>
      </c>
      <c r="AH162">
        <v>155</v>
      </c>
      <c r="AI162">
        <v>172</v>
      </c>
      <c r="AJ162">
        <v>9</v>
      </c>
      <c r="AK162">
        <v>64</v>
      </c>
      <c r="AL162" t="s">
        <v>453</v>
      </c>
      <c r="AM162" t="s">
        <v>126</v>
      </c>
      <c r="AN162" t="s">
        <v>454</v>
      </c>
      <c r="AO162" t="s">
        <v>455</v>
      </c>
      <c r="AP162" t="s">
        <v>74</v>
      </c>
      <c r="AQ162" t="s">
        <v>74</v>
      </c>
      <c r="AR162" t="s">
        <v>456</v>
      </c>
      <c r="AS162" t="s">
        <v>457</v>
      </c>
      <c r="AT162" t="s">
        <v>2547</v>
      </c>
      <c r="AU162">
        <v>2019</v>
      </c>
      <c r="AV162">
        <v>5</v>
      </c>
      <c r="AW162">
        <v>4</v>
      </c>
      <c r="AX162" t="s">
        <v>74</v>
      </c>
      <c r="AY162" t="s">
        <v>74</v>
      </c>
      <c r="AZ162" t="s">
        <v>74</v>
      </c>
      <c r="BA162" t="s">
        <v>74</v>
      </c>
      <c r="BB162" t="s">
        <v>74</v>
      </c>
      <c r="BC162" t="s">
        <v>74</v>
      </c>
      <c r="BD162" t="s">
        <v>3405</v>
      </c>
      <c r="BE162" t="s">
        <v>3406</v>
      </c>
      <c r="BF162" t="str">
        <f>HYPERLINK("http://dx.doi.org/10.1126/sciadv.aav7337","http://dx.doi.org/10.1126/sciadv.aav7337")</f>
        <v>http://dx.doi.org/10.1126/sciadv.aav7337</v>
      </c>
      <c r="BG162" t="s">
        <v>74</v>
      </c>
      <c r="BH162" t="s">
        <v>74</v>
      </c>
      <c r="BI162">
        <v>8</v>
      </c>
      <c r="BJ162" t="s">
        <v>460</v>
      </c>
      <c r="BK162" t="s">
        <v>102</v>
      </c>
      <c r="BL162" t="s">
        <v>461</v>
      </c>
      <c r="BM162" t="s">
        <v>3389</v>
      </c>
      <c r="BN162">
        <v>30949580</v>
      </c>
      <c r="BO162" t="s">
        <v>851</v>
      </c>
      <c r="BP162" t="s">
        <v>105</v>
      </c>
      <c r="BQ162" t="s">
        <v>106</v>
      </c>
      <c r="BR162" t="s">
        <v>107</v>
      </c>
      <c r="BS162" t="s">
        <v>3407</v>
      </c>
      <c r="BT162" t="str">
        <f>HYPERLINK("https%3A%2F%2Fwww.webofscience.com%2Fwos%2Fwoscc%2Ffull-record%2FWOS:000466398400075","View Full Record in Web of Science")</f>
        <v>View Full Record in Web of Science</v>
      </c>
    </row>
    <row r="163" spans="1:72" x14ac:dyDescent="0.15">
      <c r="A163" t="s">
        <v>72</v>
      </c>
      <c r="B163" t="s">
        <v>3408</v>
      </c>
      <c r="C163" t="s">
        <v>74</v>
      </c>
      <c r="D163" t="s">
        <v>74</v>
      </c>
      <c r="E163" t="s">
        <v>74</v>
      </c>
      <c r="F163" t="s">
        <v>3409</v>
      </c>
      <c r="G163" t="s">
        <v>74</v>
      </c>
      <c r="H163" t="s">
        <v>74</v>
      </c>
      <c r="I163" t="s">
        <v>3410</v>
      </c>
      <c r="J163" t="s">
        <v>3411</v>
      </c>
      <c r="K163" t="s">
        <v>74</v>
      </c>
      <c r="L163" t="s">
        <v>74</v>
      </c>
      <c r="M163" t="s">
        <v>78</v>
      </c>
      <c r="N163" t="s">
        <v>469</v>
      </c>
      <c r="O163" t="s">
        <v>74</v>
      </c>
      <c r="P163" t="s">
        <v>74</v>
      </c>
      <c r="Q163" t="s">
        <v>74</v>
      </c>
      <c r="R163" t="s">
        <v>74</v>
      </c>
      <c r="S163" t="s">
        <v>74</v>
      </c>
      <c r="T163" t="s">
        <v>3412</v>
      </c>
      <c r="U163" t="s">
        <v>3413</v>
      </c>
      <c r="V163" t="s">
        <v>3414</v>
      </c>
      <c r="W163" t="s">
        <v>3415</v>
      </c>
      <c r="X163" t="s">
        <v>3416</v>
      </c>
      <c r="Y163" t="s">
        <v>3417</v>
      </c>
      <c r="Z163" t="s">
        <v>3418</v>
      </c>
      <c r="AA163" t="s">
        <v>3419</v>
      </c>
      <c r="AB163" t="s">
        <v>3420</v>
      </c>
      <c r="AC163" t="s">
        <v>3421</v>
      </c>
      <c r="AD163" t="s">
        <v>3422</v>
      </c>
      <c r="AE163" t="s">
        <v>3423</v>
      </c>
      <c r="AF163" t="s">
        <v>74</v>
      </c>
      <c r="AG163">
        <v>48</v>
      </c>
      <c r="AH163">
        <v>1</v>
      </c>
      <c r="AI163">
        <v>1</v>
      </c>
      <c r="AJ163">
        <v>3</v>
      </c>
      <c r="AK163">
        <v>22</v>
      </c>
      <c r="AL163" t="s">
        <v>3424</v>
      </c>
      <c r="AM163" t="s">
        <v>3425</v>
      </c>
      <c r="AN163" t="s">
        <v>3426</v>
      </c>
      <c r="AO163" t="s">
        <v>3427</v>
      </c>
      <c r="AP163" t="s">
        <v>3428</v>
      </c>
      <c r="AQ163" t="s">
        <v>74</v>
      </c>
      <c r="AR163" t="s">
        <v>3411</v>
      </c>
      <c r="AS163" t="s">
        <v>1674</v>
      </c>
      <c r="AT163" t="s">
        <v>2547</v>
      </c>
      <c r="AU163">
        <v>2019</v>
      </c>
      <c r="AV163">
        <v>133</v>
      </c>
      <c r="AW163" t="s">
        <v>74</v>
      </c>
      <c r="AX163" t="s">
        <v>74</v>
      </c>
      <c r="AY163" t="s">
        <v>74</v>
      </c>
      <c r="AZ163" t="s">
        <v>74</v>
      </c>
      <c r="BA163" t="s">
        <v>74</v>
      </c>
      <c r="BB163">
        <v>66</v>
      </c>
      <c r="BC163">
        <v>80</v>
      </c>
      <c r="BD163" t="s">
        <v>74</v>
      </c>
      <c r="BE163" t="s">
        <v>3429</v>
      </c>
      <c r="BF163" t="str">
        <f>HYPERLINK("http://dx.doi.org/10.1016/j.zool.2019.02.006","http://dx.doi.org/10.1016/j.zool.2019.02.006")</f>
        <v>http://dx.doi.org/10.1016/j.zool.2019.02.006</v>
      </c>
      <c r="BG163" t="s">
        <v>74</v>
      </c>
      <c r="BH163" t="s">
        <v>74</v>
      </c>
      <c r="BI163">
        <v>15</v>
      </c>
      <c r="BJ163" t="s">
        <v>1674</v>
      </c>
      <c r="BK163" t="s">
        <v>102</v>
      </c>
      <c r="BL163" t="s">
        <v>1674</v>
      </c>
      <c r="BM163" t="s">
        <v>3430</v>
      </c>
      <c r="BN163">
        <v>30979391</v>
      </c>
      <c r="BO163" t="s">
        <v>925</v>
      </c>
      <c r="BP163" t="s">
        <v>74</v>
      </c>
      <c r="BQ163" t="s">
        <v>74</v>
      </c>
      <c r="BR163" t="s">
        <v>107</v>
      </c>
      <c r="BS163" t="s">
        <v>3431</v>
      </c>
      <c r="BT163" t="str">
        <f>HYPERLINK("https%3A%2F%2Fwww.webofscience.com%2Fwos%2Fwoscc%2Ffull-record%2FWOS:000468258100007","View Full Record in Web of Science")</f>
        <v>View Full Record in Web of Science</v>
      </c>
    </row>
    <row r="164" spans="1:72" x14ac:dyDescent="0.15">
      <c r="A164" t="s">
        <v>72</v>
      </c>
      <c r="B164" t="s">
        <v>3432</v>
      </c>
      <c r="C164" t="s">
        <v>74</v>
      </c>
      <c r="D164" t="s">
        <v>74</v>
      </c>
      <c r="E164" t="s">
        <v>74</v>
      </c>
      <c r="F164" t="s">
        <v>3433</v>
      </c>
      <c r="G164" t="s">
        <v>74</v>
      </c>
      <c r="H164" t="s">
        <v>74</v>
      </c>
      <c r="I164" t="s">
        <v>3434</v>
      </c>
      <c r="J164" t="s">
        <v>3435</v>
      </c>
      <c r="K164" t="s">
        <v>74</v>
      </c>
      <c r="L164" t="s">
        <v>74</v>
      </c>
      <c r="M164" t="s">
        <v>78</v>
      </c>
      <c r="N164" t="s">
        <v>79</v>
      </c>
      <c r="O164" t="s">
        <v>74</v>
      </c>
      <c r="P164" t="s">
        <v>74</v>
      </c>
      <c r="Q164" t="s">
        <v>74</v>
      </c>
      <c r="R164" t="s">
        <v>74</v>
      </c>
      <c r="S164" t="s">
        <v>74</v>
      </c>
      <c r="T164" t="s">
        <v>3436</v>
      </c>
      <c r="U164" t="s">
        <v>3437</v>
      </c>
      <c r="V164" t="s">
        <v>3438</v>
      </c>
      <c r="W164" t="s">
        <v>3439</v>
      </c>
      <c r="X164" t="s">
        <v>3440</v>
      </c>
      <c r="Y164" t="s">
        <v>3441</v>
      </c>
      <c r="Z164" t="s">
        <v>3442</v>
      </c>
      <c r="AA164" t="s">
        <v>74</v>
      </c>
      <c r="AB164" t="s">
        <v>74</v>
      </c>
      <c r="AC164" t="s">
        <v>3443</v>
      </c>
      <c r="AD164" t="s">
        <v>3443</v>
      </c>
      <c r="AE164" t="s">
        <v>3444</v>
      </c>
      <c r="AF164" t="s">
        <v>74</v>
      </c>
      <c r="AG164">
        <v>22</v>
      </c>
      <c r="AH164">
        <v>2</v>
      </c>
      <c r="AI164">
        <v>2</v>
      </c>
      <c r="AJ164">
        <v>1</v>
      </c>
      <c r="AK164">
        <v>1</v>
      </c>
      <c r="AL164" t="s">
        <v>3445</v>
      </c>
      <c r="AM164" t="s">
        <v>3446</v>
      </c>
      <c r="AN164" t="s">
        <v>3447</v>
      </c>
      <c r="AO164" t="s">
        <v>3448</v>
      </c>
      <c r="AP164" t="s">
        <v>3449</v>
      </c>
      <c r="AQ164" t="s">
        <v>74</v>
      </c>
      <c r="AR164" t="s">
        <v>3435</v>
      </c>
      <c r="AS164" t="s">
        <v>3450</v>
      </c>
      <c r="AT164" t="s">
        <v>2547</v>
      </c>
      <c r="AU164">
        <v>2019</v>
      </c>
      <c r="AV164">
        <v>107</v>
      </c>
      <c r="AW164">
        <v>1</v>
      </c>
      <c r="AX164" t="s">
        <v>74</v>
      </c>
      <c r="AY164" t="s">
        <v>74</v>
      </c>
      <c r="AZ164" t="s">
        <v>74</v>
      </c>
      <c r="BA164" t="s">
        <v>74</v>
      </c>
      <c r="BB164">
        <v>97</v>
      </c>
      <c r="BC164">
        <v>102</v>
      </c>
      <c r="BD164" t="s">
        <v>74</v>
      </c>
      <c r="BE164" t="s">
        <v>3451</v>
      </c>
      <c r="BF164" t="str">
        <f>HYPERLINK("http://dx.doi.org/10.5253/arde.v107i1.a5","http://dx.doi.org/10.5253/arde.v107i1.a5")</f>
        <v>http://dx.doi.org/10.5253/arde.v107i1.a5</v>
      </c>
      <c r="BG164" t="s">
        <v>74</v>
      </c>
      <c r="BH164" t="s">
        <v>74</v>
      </c>
      <c r="BI164">
        <v>6</v>
      </c>
      <c r="BJ164" t="s">
        <v>3452</v>
      </c>
      <c r="BK164" t="s">
        <v>102</v>
      </c>
      <c r="BL164" t="s">
        <v>1674</v>
      </c>
      <c r="BM164" t="s">
        <v>3453</v>
      </c>
      <c r="BN164" t="s">
        <v>74</v>
      </c>
      <c r="BO164" t="s">
        <v>74</v>
      </c>
      <c r="BP164" t="s">
        <v>74</v>
      </c>
      <c r="BQ164" t="s">
        <v>74</v>
      </c>
      <c r="BR164" t="s">
        <v>107</v>
      </c>
      <c r="BS164" t="s">
        <v>3454</v>
      </c>
      <c r="BT164" t="str">
        <f>HYPERLINK("https%3A%2F%2Fwww.webofscience.com%2Fwos%2Fwoscc%2Ffull-record%2FWOS:000467261900010","View Full Record in Web of Science")</f>
        <v>View Full Record in Web of Science</v>
      </c>
    </row>
    <row r="165" spans="1:72" x14ac:dyDescent="0.15">
      <c r="A165" t="s">
        <v>72</v>
      </c>
      <c r="B165" t="s">
        <v>3455</v>
      </c>
      <c r="C165" t="s">
        <v>74</v>
      </c>
      <c r="D165" t="s">
        <v>74</v>
      </c>
      <c r="E165" t="s">
        <v>74</v>
      </c>
      <c r="F165" t="s">
        <v>3456</v>
      </c>
      <c r="G165" t="s">
        <v>74</v>
      </c>
      <c r="H165" t="s">
        <v>74</v>
      </c>
      <c r="I165" t="s">
        <v>3457</v>
      </c>
      <c r="J165" t="s">
        <v>3458</v>
      </c>
      <c r="K165" t="s">
        <v>74</v>
      </c>
      <c r="L165" t="s">
        <v>74</v>
      </c>
      <c r="M165" t="s">
        <v>78</v>
      </c>
      <c r="N165" t="s">
        <v>79</v>
      </c>
      <c r="O165" t="s">
        <v>74</v>
      </c>
      <c r="P165" t="s">
        <v>74</v>
      </c>
      <c r="Q165" t="s">
        <v>74</v>
      </c>
      <c r="R165" t="s">
        <v>74</v>
      </c>
      <c r="S165" t="s">
        <v>74</v>
      </c>
      <c r="T165" t="s">
        <v>3459</v>
      </c>
      <c r="U165" t="s">
        <v>3460</v>
      </c>
      <c r="V165" t="s">
        <v>3461</v>
      </c>
      <c r="W165" t="s">
        <v>3462</v>
      </c>
      <c r="X165" t="s">
        <v>3463</v>
      </c>
      <c r="Y165" t="s">
        <v>3464</v>
      </c>
      <c r="Z165" t="s">
        <v>3465</v>
      </c>
      <c r="AA165" t="s">
        <v>3466</v>
      </c>
      <c r="AB165" t="s">
        <v>3467</v>
      </c>
      <c r="AC165" t="s">
        <v>3468</v>
      </c>
      <c r="AD165" t="s">
        <v>3469</v>
      </c>
      <c r="AE165" t="s">
        <v>3470</v>
      </c>
      <c r="AF165" t="s">
        <v>74</v>
      </c>
      <c r="AG165">
        <v>42</v>
      </c>
      <c r="AH165">
        <v>11</v>
      </c>
      <c r="AI165">
        <v>12</v>
      </c>
      <c r="AJ165">
        <v>0</v>
      </c>
      <c r="AK165">
        <v>6</v>
      </c>
      <c r="AL165" t="s">
        <v>2011</v>
      </c>
      <c r="AM165" t="s">
        <v>2012</v>
      </c>
      <c r="AN165" t="s">
        <v>2013</v>
      </c>
      <c r="AO165" t="s">
        <v>74</v>
      </c>
      <c r="AP165" t="s">
        <v>3471</v>
      </c>
      <c r="AQ165" t="s">
        <v>74</v>
      </c>
      <c r="AR165" t="s">
        <v>3472</v>
      </c>
      <c r="AS165" t="s">
        <v>3473</v>
      </c>
      <c r="AT165" t="s">
        <v>2547</v>
      </c>
      <c r="AU165">
        <v>2019</v>
      </c>
      <c r="AV165">
        <v>10</v>
      </c>
      <c r="AW165">
        <v>4</v>
      </c>
      <c r="AX165" t="s">
        <v>74</v>
      </c>
      <c r="AY165" t="s">
        <v>74</v>
      </c>
      <c r="AZ165" t="s">
        <v>74</v>
      </c>
      <c r="BA165" t="s">
        <v>74</v>
      </c>
      <c r="BB165" t="s">
        <v>74</v>
      </c>
      <c r="BC165" t="s">
        <v>74</v>
      </c>
      <c r="BD165">
        <v>184</v>
      </c>
      <c r="BE165" t="s">
        <v>3474</v>
      </c>
      <c r="BF165" t="str">
        <f>HYPERLINK("http://dx.doi.org/10.3390/atmos10040184","http://dx.doi.org/10.3390/atmos10040184")</f>
        <v>http://dx.doi.org/10.3390/atmos10040184</v>
      </c>
      <c r="BG165" t="s">
        <v>74</v>
      </c>
      <c r="BH165" t="s">
        <v>74</v>
      </c>
      <c r="BI165">
        <v>23</v>
      </c>
      <c r="BJ165" t="s">
        <v>1060</v>
      </c>
      <c r="BK165" t="s">
        <v>102</v>
      </c>
      <c r="BL165" t="s">
        <v>338</v>
      </c>
      <c r="BM165" t="s">
        <v>3475</v>
      </c>
      <c r="BN165" t="s">
        <v>74</v>
      </c>
      <c r="BO165" t="s">
        <v>3476</v>
      </c>
      <c r="BP165" t="s">
        <v>74</v>
      </c>
      <c r="BQ165" t="s">
        <v>74</v>
      </c>
      <c r="BR165" t="s">
        <v>107</v>
      </c>
      <c r="BS165" t="s">
        <v>3477</v>
      </c>
      <c r="BT165" t="str">
        <f>HYPERLINK("https%3A%2F%2Fwww.webofscience.com%2Fwos%2Fwoscc%2Ffull-record%2FWOS:000467313400023","View Full Record in Web of Science")</f>
        <v>View Full Record in Web of Science</v>
      </c>
    </row>
    <row r="166" spans="1:72" x14ac:dyDescent="0.15">
      <c r="A166" t="s">
        <v>72</v>
      </c>
      <c r="B166" t="s">
        <v>3478</v>
      </c>
      <c r="C166" t="s">
        <v>74</v>
      </c>
      <c r="D166" t="s">
        <v>74</v>
      </c>
      <c r="E166" t="s">
        <v>74</v>
      </c>
      <c r="F166" t="s">
        <v>3479</v>
      </c>
      <c r="G166" t="s">
        <v>74</v>
      </c>
      <c r="H166" t="s">
        <v>74</v>
      </c>
      <c r="I166" t="s">
        <v>3480</v>
      </c>
      <c r="J166" t="s">
        <v>3481</v>
      </c>
      <c r="K166" t="s">
        <v>74</v>
      </c>
      <c r="L166" t="s">
        <v>74</v>
      </c>
      <c r="M166" t="s">
        <v>78</v>
      </c>
      <c r="N166" t="s">
        <v>79</v>
      </c>
      <c r="O166" t="s">
        <v>74</v>
      </c>
      <c r="P166" t="s">
        <v>74</v>
      </c>
      <c r="Q166" t="s">
        <v>74</v>
      </c>
      <c r="R166" t="s">
        <v>74</v>
      </c>
      <c r="S166" t="s">
        <v>74</v>
      </c>
      <c r="T166" t="s">
        <v>3482</v>
      </c>
      <c r="U166" t="s">
        <v>3483</v>
      </c>
      <c r="V166" t="s">
        <v>3484</v>
      </c>
      <c r="W166" t="s">
        <v>3485</v>
      </c>
      <c r="X166" t="s">
        <v>3486</v>
      </c>
      <c r="Y166" t="s">
        <v>3487</v>
      </c>
      <c r="Z166" t="s">
        <v>3488</v>
      </c>
      <c r="AA166" t="s">
        <v>74</v>
      </c>
      <c r="AB166" t="s">
        <v>3489</v>
      </c>
      <c r="AC166" t="s">
        <v>3490</v>
      </c>
      <c r="AD166" t="s">
        <v>3491</v>
      </c>
      <c r="AE166" t="s">
        <v>3492</v>
      </c>
      <c r="AF166" t="s">
        <v>74</v>
      </c>
      <c r="AG166">
        <v>46</v>
      </c>
      <c r="AH166">
        <v>14</v>
      </c>
      <c r="AI166">
        <v>14</v>
      </c>
      <c r="AJ166">
        <v>4</v>
      </c>
      <c r="AK166">
        <v>30</v>
      </c>
      <c r="AL166" t="s">
        <v>576</v>
      </c>
      <c r="AM166" t="s">
        <v>607</v>
      </c>
      <c r="AN166" t="s">
        <v>3493</v>
      </c>
      <c r="AO166" t="s">
        <v>3494</v>
      </c>
      <c r="AP166" t="s">
        <v>3495</v>
      </c>
      <c r="AQ166" t="s">
        <v>74</v>
      </c>
      <c r="AR166" t="s">
        <v>3496</v>
      </c>
      <c r="AS166" t="s">
        <v>3497</v>
      </c>
      <c r="AT166" t="s">
        <v>2547</v>
      </c>
      <c r="AU166">
        <v>2019</v>
      </c>
      <c r="AV166">
        <v>52</v>
      </c>
      <c r="AW166" t="s">
        <v>3498</v>
      </c>
      <c r="AX166" t="s">
        <v>74</v>
      </c>
      <c r="AY166" t="s">
        <v>74</v>
      </c>
      <c r="AZ166" t="s">
        <v>74</v>
      </c>
      <c r="BA166" t="s">
        <v>74</v>
      </c>
      <c r="BB166">
        <v>3791</v>
      </c>
      <c r="BC166">
        <v>3807</v>
      </c>
      <c r="BD166" t="s">
        <v>74</v>
      </c>
      <c r="BE166" t="s">
        <v>3499</v>
      </c>
      <c r="BF166" t="str">
        <f>HYPERLINK("http://dx.doi.org/10.1007/s00382-018-4348-3","http://dx.doi.org/10.1007/s00382-018-4348-3")</f>
        <v>http://dx.doi.org/10.1007/s00382-018-4348-3</v>
      </c>
      <c r="BG166" t="s">
        <v>74</v>
      </c>
      <c r="BH166" t="s">
        <v>74</v>
      </c>
      <c r="BI166">
        <v>17</v>
      </c>
      <c r="BJ166" t="s">
        <v>133</v>
      </c>
      <c r="BK166" t="s">
        <v>102</v>
      </c>
      <c r="BL166" t="s">
        <v>133</v>
      </c>
      <c r="BM166" t="s">
        <v>3500</v>
      </c>
      <c r="BN166" t="s">
        <v>74</v>
      </c>
      <c r="BO166" t="s">
        <v>74</v>
      </c>
      <c r="BP166" t="s">
        <v>74</v>
      </c>
      <c r="BQ166" t="s">
        <v>74</v>
      </c>
      <c r="BR166" t="s">
        <v>107</v>
      </c>
      <c r="BS166" t="s">
        <v>3501</v>
      </c>
      <c r="BT166" t="str">
        <f>HYPERLINK("https%3A%2F%2Fwww.webofscience.com%2Fwos%2Fwoscc%2Ffull-record%2FWOS:000467187600002","View Full Record in Web of Science")</f>
        <v>View Full Record in Web of Science</v>
      </c>
    </row>
    <row r="167" spans="1:72" x14ac:dyDescent="0.15">
      <c r="A167" t="s">
        <v>72</v>
      </c>
      <c r="B167" t="s">
        <v>3502</v>
      </c>
      <c r="C167" t="s">
        <v>74</v>
      </c>
      <c r="D167" t="s">
        <v>74</v>
      </c>
      <c r="E167" t="s">
        <v>74</v>
      </c>
      <c r="F167" t="s">
        <v>3503</v>
      </c>
      <c r="G167" t="s">
        <v>74</v>
      </c>
      <c r="H167" t="s">
        <v>74</v>
      </c>
      <c r="I167" t="s">
        <v>3504</v>
      </c>
      <c r="J167" t="s">
        <v>3481</v>
      </c>
      <c r="K167" t="s">
        <v>74</v>
      </c>
      <c r="L167" t="s">
        <v>74</v>
      </c>
      <c r="M167" t="s">
        <v>78</v>
      </c>
      <c r="N167" t="s">
        <v>79</v>
      </c>
      <c r="O167" t="s">
        <v>74</v>
      </c>
      <c r="P167" t="s">
        <v>74</v>
      </c>
      <c r="Q167" t="s">
        <v>74</v>
      </c>
      <c r="R167" t="s">
        <v>74</v>
      </c>
      <c r="S167" t="s">
        <v>74</v>
      </c>
      <c r="T167" t="s">
        <v>74</v>
      </c>
      <c r="U167" t="s">
        <v>3505</v>
      </c>
      <c r="V167" t="s">
        <v>3506</v>
      </c>
      <c r="W167" t="s">
        <v>3507</v>
      </c>
      <c r="X167" t="s">
        <v>3508</v>
      </c>
      <c r="Y167" t="s">
        <v>3509</v>
      </c>
      <c r="Z167" t="s">
        <v>3510</v>
      </c>
      <c r="AA167" t="s">
        <v>3511</v>
      </c>
      <c r="AB167" t="s">
        <v>3512</v>
      </c>
      <c r="AC167" t="s">
        <v>3513</v>
      </c>
      <c r="AD167" t="s">
        <v>3514</v>
      </c>
      <c r="AE167" t="s">
        <v>3515</v>
      </c>
      <c r="AF167" t="s">
        <v>74</v>
      </c>
      <c r="AG167">
        <v>71</v>
      </c>
      <c r="AH167">
        <v>8</v>
      </c>
      <c r="AI167">
        <v>8</v>
      </c>
      <c r="AJ167">
        <v>1</v>
      </c>
      <c r="AK167">
        <v>24</v>
      </c>
      <c r="AL167" t="s">
        <v>576</v>
      </c>
      <c r="AM167" t="s">
        <v>607</v>
      </c>
      <c r="AN167" t="s">
        <v>2143</v>
      </c>
      <c r="AO167" t="s">
        <v>3494</v>
      </c>
      <c r="AP167" t="s">
        <v>3495</v>
      </c>
      <c r="AQ167" t="s">
        <v>74</v>
      </c>
      <c r="AR167" t="s">
        <v>3496</v>
      </c>
      <c r="AS167" t="s">
        <v>3497</v>
      </c>
      <c r="AT167" t="s">
        <v>2547</v>
      </c>
      <c r="AU167">
        <v>2019</v>
      </c>
      <c r="AV167">
        <v>52</v>
      </c>
      <c r="AW167" t="s">
        <v>3498</v>
      </c>
      <c r="AX167" t="s">
        <v>74</v>
      </c>
      <c r="AY167" t="s">
        <v>74</v>
      </c>
      <c r="AZ167" t="s">
        <v>74</v>
      </c>
      <c r="BA167" t="s">
        <v>74</v>
      </c>
      <c r="BB167">
        <v>4027</v>
      </c>
      <c r="BC167">
        <v>4055</v>
      </c>
      <c r="BD167" t="s">
        <v>74</v>
      </c>
      <c r="BE167" t="s">
        <v>3516</v>
      </c>
      <c r="BF167" t="str">
        <f>HYPERLINK("http://dx.doi.org/10.1007/s00382-018-4354-5","http://dx.doi.org/10.1007/s00382-018-4354-5")</f>
        <v>http://dx.doi.org/10.1007/s00382-018-4354-5</v>
      </c>
      <c r="BG167" t="s">
        <v>74</v>
      </c>
      <c r="BH167" t="s">
        <v>74</v>
      </c>
      <c r="BI167">
        <v>29</v>
      </c>
      <c r="BJ167" t="s">
        <v>133</v>
      </c>
      <c r="BK167" t="s">
        <v>102</v>
      </c>
      <c r="BL167" t="s">
        <v>133</v>
      </c>
      <c r="BM167" t="s">
        <v>3500</v>
      </c>
      <c r="BN167" t="s">
        <v>74</v>
      </c>
      <c r="BO167" t="s">
        <v>74</v>
      </c>
      <c r="BP167" t="s">
        <v>74</v>
      </c>
      <c r="BQ167" t="s">
        <v>74</v>
      </c>
      <c r="BR167" t="s">
        <v>107</v>
      </c>
      <c r="BS167" t="s">
        <v>3517</v>
      </c>
      <c r="BT167" t="str">
        <f>HYPERLINK("https%3A%2F%2Fwww.webofscience.com%2Fwos%2Fwoscc%2Ffull-record%2FWOS:000467187600015","View Full Record in Web of Science")</f>
        <v>View Full Record in Web of Science</v>
      </c>
    </row>
    <row r="168" spans="1:72" x14ac:dyDescent="0.15">
      <c r="A168" t="s">
        <v>72</v>
      </c>
      <c r="B168" t="s">
        <v>3518</v>
      </c>
      <c r="C168" t="s">
        <v>74</v>
      </c>
      <c r="D168" t="s">
        <v>74</v>
      </c>
      <c r="E168" t="s">
        <v>74</v>
      </c>
      <c r="F168" t="s">
        <v>3519</v>
      </c>
      <c r="G168" t="s">
        <v>74</v>
      </c>
      <c r="H168" t="s">
        <v>74</v>
      </c>
      <c r="I168" t="s">
        <v>3520</v>
      </c>
      <c r="J168" t="s">
        <v>3521</v>
      </c>
      <c r="K168" t="s">
        <v>74</v>
      </c>
      <c r="L168" t="s">
        <v>74</v>
      </c>
      <c r="M168" t="s">
        <v>78</v>
      </c>
      <c r="N168" t="s">
        <v>79</v>
      </c>
      <c r="O168" t="s">
        <v>74</v>
      </c>
      <c r="P168" t="s">
        <v>74</v>
      </c>
      <c r="Q168" t="s">
        <v>74</v>
      </c>
      <c r="R168" t="s">
        <v>74</v>
      </c>
      <c r="S168" t="s">
        <v>74</v>
      </c>
      <c r="T168" t="s">
        <v>3522</v>
      </c>
      <c r="U168" t="s">
        <v>3523</v>
      </c>
      <c r="V168" t="s">
        <v>3524</v>
      </c>
      <c r="W168" t="s">
        <v>3525</v>
      </c>
      <c r="X168" t="s">
        <v>3526</v>
      </c>
      <c r="Y168" t="s">
        <v>3527</v>
      </c>
      <c r="Z168" t="s">
        <v>3528</v>
      </c>
      <c r="AA168" t="s">
        <v>3529</v>
      </c>
      <c r="AB168" t="s">
        <v>3530</v>
      </c>
      <c r="AC168" t="s">
        <v>3531</v>
      </c>
      <c r="AD168" t="s">
        <v>3531</v>
      </c>
      <c r="AE168" t="s">
        <v>3532</v>
      </c>
      <c r="AF168" t="s">
        <v>74</v>
      </c>
      <c r="AG168">
        <v>85</v>
      </c>
      <c r="AH168">
        <v>4</v>
      </c>
      <c r="AI168">
        <v>4</v>
      </c>
      <c r="AJ168">
        <v>0</v>
      </c>
      <c r="AK168">
        <v>22</v>
      </c>
      <c r="AL168" t="s">
        <v>378</v>
      </c>
      <c r="AM168" t="s">
        <v>93</v>
      </c>
      <c r="AN168" t="s">
        <v>379</v>
      </c>
      <c r="AO168" t="s">
        <v>3533</v>
      </c>
      <c r="AP168" t="s">
        <v>3534</v>
      </c>
      <c r="AQ168" t="s">
        <v>74</v>
      </c>
      <c r="AR168" t="s">
        <v>3535</v>
      </c>
      <c r="AS168" t="s">
        <v>3536</v>
      </c>
      <c r="AT168" t="s">
        <v>2547</v>
      </c>
      <c r="AU168">
        <v>2019</v>
      </c>
      <c r="AV168">
        <v>146</v>
      </c>
      <c r="AW168" t="s">
        <v>74</v>
      </c>
      <c r="AX168" t="s">
        <v>74</v>
      </c>
      <c r="AY168" t="s">
        <v>74</v>
      </c>
      <c r="AZ168" t="s">
        <v>74</v>
      </c>
      <c r="BA168" t="s">
        <v>74</v>
      </c>
      <c r="BB168">
        <v>91</v>
      </c>
      <c r="BC168">
        <v>102</v>
      </c>
      <c r="BD168" t="s">
        <v>74</v>
      </c>
      <c r="BE168" t="s">
        <v>3537</v>
      </c>
      <c r="BF168" t="str">
        <f>HYPERLINK("http://dx.doi.org/10.1016/j.dsr.2019.02.004","http://dx.doi.org/10.1016/j.dsr.2019.02.004")</f>
        <v>http://dx.doi.org/10.1016/j.dsr.2019.02.004</v>
      </c>
      <c r="BG168" t="s">
        <v>74</v>
      </c>
      <c r="BH168" t="s">
        <v>74</v>
      </c>
      <c r="BI168">
        <v>12</v>
      </c>
      <c r="BJ168" t="s">
        <v>277</v>
      </c>
      <c r="BK168" t="s">
        <v>102</v>
      </c>
      <c r="BL168" t="s">
        <v>277</v>
      </c>
      <c r="BM168" t="s">
        <v>3538</v>
      </c>
      <c r="BN168" t="s">
        <v>74</v>
      </c>
      <c r="BO168" t="s">
        <v>198</v>
      </c>
      <c r="BP168" t="s">
        <v>74</v>
      </c>
      <c r="BQ168" t="s">
        <v>74</v>
      </c>
      <c r="BR168" t="s">
        <v>107</v>
      </c>
      <c r="BS168" t="s">
        <v>3539</v>
      </c>
      <c r="BT168" t="str">
        <f>HYPERLINK("https%3A%2F%2Fwww.webofscience.com%2Fwos%2Fwoscc%2Ffull-record%2FWOS:000467664600008","View Full Record in Web of Science")</f>
        <v>View Full Record in Web of Science</v>
      </c>
    </row>
    <row r="169" spans="1:72" x14ac:dyDescent="0.15">
      <c r="A169" t="s">
        <v>72</v>
      </c>
      <c r="B169" t="s">
        <v>3540</v>
      </c>
      <c r="C169" t="s">
        <v>74</v>
      </c>
      <c r="D169" t="s">
        <v>74</v>
      </c>
      <c r="E169" t="s">
        <v>74</v>
      </c>
      <c r="F169" t="s">
        <v>3541</v>
      </c>
      <c r="G169" t="s">
        <v>74</v>
      </c>
      <c r="H169" t="s">
        <v>74</v>
      </c>
      <c r="I169" t="s">
        <v>3542</v>
      </c>
      <c r="J169" t="s">
        <v>3543</v>
      </c>
      <c r="K169" t="s">
        <v>74</v>
      </c>
      <c r="L169" t="s">
        <v>74</v>
      </c>
      <c r="M169" t="s">
        <v>78</v>
      </c>
      <c r="N169" t="s">
        <v>79</v>
      </c>
      <c r="O169" t="s">
        <v>74</v>
      </c>
      <c r="P169" t="s">
        <v>74</v>
      </c>
      <c r="Q169" t="s">
        <v>74</v>
      </c>
      <c r="R169" t="s">
        <v>74</v>
      </c>
      <c r="S169" t="s">
        <v>74</v>
      </c>
      <c r="T169" t="s">
        <v>3544</v>
      </c>
      <c r="U169" t="s">
        <v>3545</v>
      </c>
      <c r="V169" t="s">
        <v>3546</v>
      </c>
      <c r="W169" t="s">
        <v>3547</v>
      </c>
      <c r="X169" t="s">
        <v>3548</v>
      </c>
      <c r="Y169" t="s">
        <v>3549</v>
      </c>
      <c r="Z169" t="s">
        <v>3550</v>
      </c>
      <c r="AA169" t="s">
        <v>74</v>
      </c>
      <c r="AB169" t="s">
        <v>3551</v>
      </c>
      <c r="AC169" t="s">
        <v>3552</v>
      </c>
      <c r="AD169" t="s">
        <v>3552</v>
      </c>
      <c r="AE169" t="s">
        <v>3553</v>
      </c>
      <c r="AF169" t="s">
        <v>74</v>
      </c>
      <c r="AG169">
        <v>42</v>
      </c>
      <c r="AH169">
        <v>5</v>
      </c>
      <c r="AI169">
        <v>5</v>
      </c>
      <c r="AJ169">
        <v>3</v>
      </c>
      <c r="AK169">
        <v>7</v>
      </c>
      <c r="AL169" t="s">
        <v>2011</v>
      </c>
      <c r="AM169" t="s">
        <v>2012</v>
      </c>
      <c r="AN169" t="s">
        <v>2013</v>
      </c>
      <c r="AO169" t="s">
        <v>74</v>
      </c>
      <c r="AP169" t="s">
        <v>3554</v>
      </c>
      <c r="AQ169" t="s">
        <v>74</v>
      </c>
      <c r="AR169" t="s">
        <v>3543</v>
      </c>
      <c r="AS169" t="s">
        <v>3555</v>
      </c>
      <c r="AT169" t="s">
        <v>2547</v>
      </c>
      <c r="AU169">
        <v>2019</v>
      </c>
      <c r="AV169">
        <v>9</v>
      </c>
      <c r="AW169">
        <v>4</v>
      </c>
      <c r="AX169" t="s">
        <v>74</v>
      </c>
      <c r="AY169" t="s">
        <v>74</v>
      </c>
      <c r="AZ169" t="s">
        <v>74</v>
      </c>
      <c r="BA169" t="s">
        <v>74</v>
      </c>
      <c r="BB169" t="s">
        <v>74</v>
      </c>
      <c r="BC169" t="s">
        <v>74</v>
      </c>
      <c r="BD169">
        <v>154</v>
      </c>
      <c r="BE169" t="s">
        <v>3556</v>
      </c>
      <c r="BF169" t="str">
        <f>HYPERLINK("http://dx.doi.org/10.3390/geosciences9040154","http://dx.doi.org/10.3390/geosciences9040154")</f>
        <v>http://dx.doi.org/10.3390/geosciences9040154</v>
      </c>
      <c r="BG169" t="s">
        <v>74</v>
      </c>
      <c r="BH169" t="s">
        <v>74</v>
      </c>
      <c r="BI169">
        <v>13</v>
      </c>
      <c r="BJ169" t="s">
        <v>922</v>
      </c>
      <c r="BK169" t="s">
        <v>2712</v>
      </c>
      <c r="BL169" t="s">
        <v>923</v>
      </c>
      <c r="BM169" t="s">
        <v>3557</v>
      </c>
      <c r="BN169" t="s">
        <v>74</v>
      </c>
      <c r="BO169" t="s">
        <v>2020</v>
      </c>
      <c r="BP169" t="s">
        <v>74</v>
      </c>
      <c r="BQ169" t="s">
        <v>74</v>
      </c>
      <c r="BR169" t="s">
        <v>107</v>
      </c>
      <c r="BS169" t="s">
        <v>3558</v>
      </c>
      <c r="BT169" t="str">
        <f>HYPERLINK("https%3A%2F%2Fwww.webofscience.com%2Fwos%2Fwoscc%2Ffull-record%2FWOS:000467305900009","View Full Record in Web of Science")</f>
        <v>View Full Record in Web of Science</v>
      </c>
    </row>
    <row r="170" spans="1:72" x14ac:dyDescent="0.15">
      <c r="A170" t="s">
        <v>72</v>
      </c>
      <c r="B170" t="s">
        <v>3559</v>
      </c>
      <c r="C170" t="s">
        <v>74</v>
      </c>
      <c r="D170" t="s">
        <v>74</v>
      </c>
      <c r="E170" t="s">
        <v>74</v>
      </c>
      <c r="F170" t="s">
        <v>3560</v>
      </c>
      <c r="G170" t="s">
        <v>74</v>
      </c>
      <c r="H170" t="s">
        <v>74</v>
      </c>
      <c r="I170" t="s">
        <v>3561</v>
      </c>
      <c r="J170" t="s">
        <v>3543</v>
      </c>
      <c r="K170" t="s">
        <v>74</v>
      </c>
      <c r="L170" t="s">
        <v>74</v>
      </c>
      <c r="M170" t="s">
        <v>78</v>
      </c>
      <c r="N170" t="s">
        <v>469</v>
      </c>
      <c r="O170" t="s">
        <v>74</v>
      </c>
      <c r="P170" t="s">
        <v>74</v>
      </c>
      <c r="Q170" t="s">
        <v>74</v>
      </c>
      <c r="R170" t="s">
        <v>74</v>
      </c>
      <c r="S170" t="s">
        <v>74</v>
      </c>
      <c r="T170" t="s">
        <v>3562</v>
      </c>
      <c r="U170" t="s">
        <v>3563</v>
      </c>
      <c r="V170" t="s">
        <v>3564</v>
      </c>
      <c r="W170" t="s">
        <v>3565</v>
      </c>
      <c r="X170" t="s">
        <v>3566</v>
      </c>
      <c r="Y170" t="s">
        <v>3567</v>
      </c>
      <c r="Z170" t="s">
        <v>3568</v>
      </c>
      <c r="AA170" t="s">
        <v>74</v>
      </c>
      <c r="AB170" t="s">
        <v>74</v>
      </c>
      <c r="AC170" t="s">
        <v>3569</v>
      </c>
      <c r="AD170" t="s">
        <v>3570</v>
      </c>
      <c r="AE170" t="s">
        <v>3571</v>
      </c>
      <c r="AF170" t="s">
        <v>74</v>
      </c>
      <c r="AG170">
        <v>109</v>
      </c>
      <c r="AH170">
        <v>82</v>
      </c>
      <c r="AI170">
        <v>88</v>
      </c>
      <c r="AJ170">
        <v>7</v>
      </c>
      <c r="AK170">
        <v>55</v>
      </c>
      <c r="AL170" t="s">
        <v>2011</v>
      </c>
      <c r="AM170" t="s">
        <v>2012</v>
      </c>
      <c r="AN170" t="s">
        <v>2013</v>
      </c>
      <c r="AO170" t="s">
        <v>74</v>
      </c>
      <c r="AP170" t="s">
        <v>3554</v>
      </c>
      <c r="AQ170" t="s">
        <v>74</v>
      </c>
      <c r="AR170" t="s">
        <v>3543</v>
      </c>
      <c r="AS170" t="s">
        <v>3555</v>
      </c>
      <c r="AT170" t="s">
        <v>2547</v>
      </c>
      <c r="AU170">
        <v>2019</v>
      </c>
      <c r="AV170">
        <v>9</v>
      </c>
      <c r="AW170">
        <v>4</v>
      </c>
      <c r="AX170" t="s">
        <v>74</v>
      </c>
      <c r="AY170" t="s">
        <v>74</v>
      </c>
      <c r="AZ170" t="s">
        <v>74</v>
      </c>
      <c r="BA170" t="s">
        <v>74</v>
      </c>
      <c r="BB170" t="s">
        <v>74</v>
      </c>
      <c r="BC170" t="s">
        <v>74</v>
      </c>
      <c r="BD170">
        <v>152</v>
      </c>
      <c r="BE170" t="s">
        <v>3572</v>
      </c>
      <c r="BF170" t="str">
        <f>HYPERLINK("http://dx.doi.org/10.3390/geosciences9040152","http://dx.doi.org/10.3390/geosciences9040152")</f>
        <v>http://dx.doi.org/10.3390/geosciences9040152</v>
      </c>
      <c r="BG170" t="s">
        <v>74</v>
      </c>
      <c r="BH170" t="s">
        <v>74</v>
      </c>
      <c r="BI170">
        <v>15</v>
      </c>
      <c r="BJ170" t="s">
        <v>922</v>
      </c>
      <c r="BK170" t="s">
        <v>2712</v>
      </c>
      <c r="BL170" t="s">
        <v>923</v>
      </c>
      <c r="BM170" t="s">
        <v>3557</v>
      </c>
      <c r="BN170" t="s">
        <v>74</v>
      </c>
      <c r="BO170" t="s">
        <v>3093</v>
      </c>
      <c r="BP170" t="s">
        <v>74</v>
      </c>
      <c r="BQ170" t="s">
        <v>74</v>
      </c>
      <c r="BR170" t="s">
        <v>107</v>
      </c>
      <c r="BS170" t="s">
        <v>3573</v>
      </c>
      <c r="BT170" t="str">
        <f>HYPERLINK("https%3A%2F%2Fwww.webofscience.com%2Fwos%2Fwoscc%2Ffull-record%2FWOS:000467305900007","View Full Record in Web of Science")</f>
        <v>View Full Record in Web of Science</v>
      </c>
    </row>
    <row r="171" spans="1:72" x14ac:dyDescent="0.15">
      <c r="A171" t="s">
        <v>72</v>
      </c>
      <c r="B171" t="s">
        <v>3574</v>
      </c>
      <c r="C171" t="s">
        <v>74</v>
      </c>
      <c r="D171" t="s">
        <v>74</v>
      </c>
      <c r="E171" t="s">
        <v>74</v>
      </c>
      <c r="F171" t="s">
        <v>3575</v>
      </c>
      <c r="G171" t="s">
        <v>74</v>
      </c>
      <c r="H171" t="s">
        <v>74</v>
      </c>
      <c r="I171" t="s">
        <v>3576</v>
      </c>
      <c r="J171" t="s">
        <v>3577</v>
      </c>
      <c r="K171" t="s">
        <v>74</v>
      </c>
      <c r="L171" t="s">
        <v>74</v>
      </c>
      <c r="M171" t="s">
        <v>78</v>
      </c>
      <c r="N171" t="s">
        <v>79</v>
      </c>
      <c r="O171" t="s">
        <v>74</v>
      </c>
      <c r="P171" t="s">
        <v>74</v>
      </c>
      <c r="Q171" t="s">
        <v>74</v>
      </c>
      <c r="R171" t="s">
        <v>74</v>
      </c>
      <c r="S171" t="s">
        <v>74</v>
      </c>
      <c r="T171" t="s">
        <v>3578</v>
      </c>
      <c r="U171" t="s">
        <v>3579</v>
      </c>
      <c r="V171" t="s">
        <v>3580</v>
      </c>
      <c r="W171" t="s">
        <v>3581</v>
      </c>
      <c r="X171" t="s">
        <v>3582</v>
      </c>
      <c r="Y171" t="s">
        <v>3583</v>
      </c>
      <c r="Z171" t="s">
        <v>3584</v>
      </c>
      <c r="AA171" t="s">
        <v>3585</v>
      </c>
      <c r="AB171" t="s">
        <v>3586</v>
      </c>
      <c r="AC171" t="s">
        <v>3587</v>
      </c>
      <c r="AD171" t="s">
        <v>3588</v>
      </c>
      <c r="AE171" t="s">
        <v>3589</v>
      </c>
      <c r="AF171" t="s">
        <v>74</v>
      </c>
      <c r="AG171">
        <v>20</v>
      </c>
      <c r="AH171">
        <v>1</v>
      </c>
      <c r="AI171">
        <v>1</v>
      </c>
      <c r="AJ171">
        <v>1</v>
      </c>
      <c r="AK171">
        <v>8</v>
      </c>
      <c r="AL171" t="s">
        <v>3590</v>
      </c>
      <c r="AM171" t="s">
        <v>3591</v>
      </c>
      <c r="AN171" t="s">
        <v>3592</v>
      </c>
      <c r="AO171" t="s">
        <v>3593</v>
      </c>
      <c r="AP171" t="s">
        <v>3594</v>
      </c>
      <c r="AQ171" t="s">
        <v>74</v>
      </c>
      <c r="AR171" t="s">
        <v>3595</v>
      </c>
      <c r="AS171" t="s">
        <v>3596</v>
      </c>
      <c r="AT171" t="s">
        <v>2547</v>
      </c>
      <c r="AU171">
        <v>2019</v>
      </c>
      <c r="AV171">
        <v>105</v>
      </c>
      <c r="AW171">
        <v>2</v>
      </c>
      <c r="AX171" t="s">
        <v>74</v>
      </c>
      <c r="AY171" t="s">
        <v>74</v>
      </c>
      <c r="AZ171" t="s">
        <v>74</v>
      </c>
      <c r="BA171" t="s">
        <v>74</v>
      </c>
      <c r="BB171">
        <v>263</v>
      </c>
      <c r="BC171">
        <v>270</v>
      </c>
      <c r="BD171" t="s">
        <v>74</v>
      </c>
      <c r="BE171" t="s">
        <v>3597</v>
      </c>
      <c r="BF171" t="str">
        <f>HYPERLINK("http://dx.doi.org/10.1645/16-175","http://dx.doi.org/10.1645/16-175")</f>
        <v>http://dx.doi.org/10.1645/16-175</v>
      </c>
      <c r="BG171" t="s">
        <v>74</v>
      </c>
      <c r="BH171" t="s">
        <v>74</v>
      </c>
      <c r="BI171">
        <v>8</v>
      </c>
      <c r="BJ171" t="s">
        <v>3598</v>
      </c>
      <c r="BK171" t="s">
        <v>102</v>
      </c>
      <c r="BL171" t="s">
        <v>3598</v>
      </c>
      <c r="BM171" t="s">
        <v>3599</v>
      </c>
      <c r="BN171">
        <v>30945987</v>
      </c>
      <c r="BO171" t="s">
        <v>74</v>
      </c>
      <c r="BP171" t="s">
        <v>74</v>
      </c>
      <c r="BQ171" t="s">
        <v>74</v>
      </c>
      <c r="BR171" t="s">
        <v>107</v>
      </c>
      <c r="BS171" t="s">
        <v>3600</v>
      </c>
      <c r="BT171" t="str">
        <f>HYPERLINK("https%3A%2F%2Fwww.webofscience.com%2Fwos%2Fwoscc%2Ffull-record%2FWOS:000467381000009","View Full Record in Web of Science")</f>
        <v>View Full Record in Web of Science</v>
      </c>
    </row>
    <row r="172" spans="1:72" x14ac:dyDescent="0.15">
      <c r="A172" t="s">
        <v>72</v>
      </c>
      <c r="B172" t="s">
        <v>3601</v>
      </c>
      <c r="C172" t="s">
        <v>74</v>
      </c>
      <c r="D172" t="s">
        <v>74</v>
      </c>
      <c r="E172" t="s">
        <v>74</v>
      </c>
      <c r="F172" t="s">
        <v>3602</v>
      </c>
      <c r="G172" t="s">
        <v>74</v>
      </c>
      <c r="H172" t="s">
        <v>74</v>
      </c>
      <c r="I172" t="s">
        <v>3603</v>
      </c>
      <c r="J172" t="s">
        <v>256</v>
      </c>
      <c r="K172" t="s">
        <v>74</v>
      </c>
      <c r="L172" t="s">
        <v>74</v>
      </c>
      <c r="M172" t="s">
        <v>78</v>
      </c>
      <c r="N172" t="s">
        <v>79</v>
      </c>
      <c r="O172" t="s">
        <v>74</v>
      </c>
      <c r="P172" t="s">
        <v>74</v>
      </c>
      <c r="Q172" t="s">
        <v>74</v>
      </c>
      <c r="R172" t="s">
        <v>74</v>
      </c>
      <c r="S172" t="s">
        <v>74</v>
      </c>
      <c r="T172" t="s">
        <v>74</v>
      </c>
      <c r="U172" t="s">
        <v>3604</v>
      </c>
      <c r="V172" t="s">
        <v>3605</v>
      </c>
      <c r="W172" t="s">
        <v>3606</v>
      </c>
      <c r="X172" t="s">
        <v>3607</v>
      </c>
      <c r="Y172" t="s">
        <v>3608</v>
      </c>
      <c r="Z172" t="s">
        <v>3609</v>
      </c>
      <c r="AA172" t="s">
        <v>74</v>
      </c>
      <c r="AB172" t="s">
        <v>74</v>
      </c>
      <c r="AC172" t="s">
        <v>3610</v>
      </c>
      <c r="AD172" t="s">
        <v>3610</v>
      </c>
      <c r="AE172" t="s">
        <v>3611</v>
      </c>
      <c r="AF172" t="s">
        <v>74</v>
      </c>
      <c r="AG172">
        <v>86</v>
      </c>
      <c r="AH172">
        <v>9</v>
      </c>
      <c r="AI172">
        <v>9</v>
      </c>
      <c r="AJ172">
        <v>1</v>
      </c>
      <c r="AK172">
        <v>5</v>
      </c>
      <c r="AL172" t="s">
        <v>269</v>
      </c>
      <c r="AM172" t="s">
        <v>270</v>
      </c>
      <c r="AN172" t="s">
        <v>271</v>
      </c>
      <c r="AO172" t="s">
        <v>272</v>
      </c>
      <c r="AP172" t="s">
        <v>273</v>
      </c>
      <c r="AQ172" t="s">
        <v>74</v>
      </c>
      <c r="AR172" t="s">
        <v>274</v>
      </c>
      <c r="AS172" t="s">
        <v>275</v>
      </c>
      <c r="AT172" t="s">
        <v>2547</v>
      </c>
      <c r="AU172">
        <v>2019</v>
      </c>
      <c r="AV172">
        <v>49</v>
      </c>
      <c r="AW172">
        <v>4</v>
      </c>
      <c r="AX172" t="s">
        <v>74</v>
      </c>
      <c r="AY172" t="s">
        <v>74</v>
      </c>
      <c r="AZ172" t="s">
        <v>74</v>
      </c>
      <c r="BA172" t="s">
        <v>74</v>
      </c>
      <c r="BB172">
        <v>1055</v>
      </c>
      <c r="BC172">
        <v>1074</v>
      </c>
      <c r="BD172" t="s">
        <v>74</v>
      </c>
      <c r="BE172" t="s">
        <v>3612</v>
      </c>
      <c r="BF172" t="str">
        <f>HYPERLINK("http://dx.doi.org/10.1175/JPO-D-18-0123.1","http://dx.doi.org/10.1175/JPO-D-18-0123.1")</f>
        <v>http://dx.doi.org/10.1175/JPO-D-18-0123.1</v>
      </c>
      <c r="BG172" t="s">
        <v>74</v>
      </c>
      <c r="BH172" t="s">
        <v>74</v>
      </c>
      <c r="BI172">
        <v>20</v>
      </c>
      <c r="BJ172" t="s">
        <v>277</v>
      </c>
      <c r="BK172" t="s">
        <v>102</v>
      </c>
      <c r="BL172" t="s">
        <v>277</v>
      </c>
      <c r="BM172" t="s">
        <v>3613</v>
      </c>
      <c r="BN172" t="s">
        <v>74</v>
      </c>
      <c r="BO172" t="s">
        <v>279</v>
      </c>
      <c r="BP172" t="s">
        <v>74</v>
      </c>
      <c r="BQ172" t="s">
        <v>74</v>
      </c>
      <c r="BR172" t="s">
        <v>107</v>
      </c>
      <c r="BS172" t="s">
        <v>3614</v>
      </c>
      <c r="BT172" t="str">
        <f>HYPERLINK("https%3A%2F%2Fwww.webofscience.com%2Fwos%2Fwoscc%2Ffull-record%2FWOS:000467640300002","View Full Record in Web of Science")</f>
        <v>View Full Record in Web of Science</v>
      </c>
    </row>
    <row r="173" spans="1:72" x14ac:dyDescent="0.15">
      <c r="A173" t="s">
        <v>72</v>
      </c>
      <c r="B173" t="s">
        <v>3615</v>
      </c>
      <c r="C173" t="s">
        <v>74</v>
      </c>
      <c r="D173" t="s">
        <v>74</v>
      </c>
      <c r="E173" t="s">
        <v>74</v>
      </c>
      <c r="F173" t="s">
        <v>3616</v>
      </c>
      <c r="G173" t="s">
        <v>74</v>
      </c>
      <c r="H173" t="s">
        <v>74</v>
      </c>
      <c r="I173" t="s">
        <v>3617</v>
      </c>
      <c r="J173" t="s">
        <v>3618</v>
      </c>
      <c r="K173" t="s">
        <v>74</v>
      </c>
      <c r="L173" t="s">
        <v>74</v>
      </c>
      <c r="M173" t="s">
        <v>78</v>
      </c>
      <c r="N173" t="s">
        <v>79</v>
      </c>
      <c r="O173" t="s">
        <v>74</v>
      </c>
      <c r="P173" t="s">
        <v>74</v>
      </c>
      <c r="Q173" t="s">
        <v>74</v>
      </c>
      <c r="R173" t="s">
        <v>74</v>
      </c>
      <c r="S173" t="s">
        <v>74</v>
      </c>
      <c r="T173" t="s">
        <v>3619</v>
      </c>
      <c r="U173" t="s">
        <v>3620</v>
      </c>
      <c r="V173" t="s">
        <v>3621</v>
      </c>
      <c r="W173" t="s">
        <v>3622</v>
      </c>
      <c r="X173" t="s">
        <v>3623</v>
      </c>
      <c r="Y173" t="s">
        <v>3624</v>
      </c>
      <c r="Z173" t="s">
        <v>3625</v>
      </c>
      <c r="AA173" t="s">
        <v>3626</v>
      </c>
      <c r="AB173" t="s">
        <v>3627</v>
      </c>
      <c r="AC173" t="s">
        <v>3628</v>
      </c>
      <c r="AD173" t="s">
        <v>3629</v>
      </c>
      <c r="AE173" t="s">
        <v>3630</v>
      </c>
      <c r="AF173" t="s">
        <v>74</v>
      </c>
      <c r="AG173">
        <v>45</v>
      </c>
      <c r="AH173">
        <v>8</v>
      </c>
      <c r="AI173">
        <v>8</v>
      </c>
      <c r="AJ173">
        <v>0</v>
      </c>
      <c r="AK173">
        <v>13</v>
      </c>
      <c r="AL173" t="s">
        <v>2011</v>
      </c>
      <c r="AM173" t="s">
        <v>2012</v>
      </c>
      <c r="AN173" t="s">
        <v>2013</v>
      </c>
      <c r="AO173" t="s">
        <v>3631</v>
      </c>
      <c r="AP173" t="s">
        <v>74</v>
      </c>
      <c r="AQ173" t="s">
        <v>74</v>
      </c>
      <c r="AR173" t="s">
        <v>3632</v>
      </c>
      <c r="AS173" t="s">
        <v>3633</v>
      </c>
      <c r="AT173" t="s">
        <v>2547</v>
      </c>
      <c r="AU173">
        <v>2019</v>
      </c>
      <c r="AV173">
        <v>17</v>
      </c>
      <c r="AW173">
        <v>4</v>
      </c>
      <c r="AX173" t="s">
        <v>74</v>
      </c>
      <c r="AY173" t="s">
        <v>74</v>
      </c>
      <c r="AZ173" t="s">
        <v>74</v>
      </c>
      <c r="BA173" t="s">
        <v>74</v>
      </c>
      <c r="BB173" t="s">
        <v>74</v>
      </c>
      <c r="BC173" t="s">
        <v>74</v>
      </c>
      <c r="BD173">
        <v>238</v>
      </c>
      <c r="BE173" t="s">
        <v>3634</v>
      </c>
      <c r="BF173" t="str">
        <f>HYPERLINK("http://dx.doi.org/10.3390/md17040238","http://dx.doi.org/10.3390/md17040238")</f>
        <v>http://dx.doi.org/10.3390/md17040238</v>
      </c>
      <c r="BG173" t="s">
        <v>74</v>
      </c>
      <c r="BH173" t="s">
        <v>74</v>
      </c>
      <c r="BI173">
        <v>9</v>
      </c>
      <c r="BJ173" t="s">
        <v>3635</v>
      </c>
      <c r="BK173" t="s">
        <v>102</v>
      </c>
      <c r="BL173" t="s">
        <v>3636</v>
      </c>
      <c r="BM173" t="s">
        <v>3637</v>
      </c>
      <c r="BN173">
        <v>31013612</v>
      </c>
      <c r="BO173" t="s">
        <v>879</v>
      </c>
      <c r="BP173" t="s">
        <v>74</v>
      </c>
      <c r="BQ173" t="s">
        <v>74</v>
      </c>
      <c r="BR173" t="s">
        <v>107</v>
      </c>
      <c r="BS173" t="s">
        <v>3638</v>
      </c>
      <c r="BT173" t="str">
        <f>HYPERLINK("https%3A%2F%2Fwww.webofscience.com%2Fwos%2Fwoscc%2Ffull-record%2FWOS:000467307100045","View Full Record in Web of Science")</f>
        <v>View Full Record in Web of Science</v>
      </c>
    </row>
    <row r="174" spans="1:72" x14ac:dyDescent="0.15">
      <c r="A174" t="s">
        <v>72</v>
      </c>
      <c r="B174" t="s">
        <v>3639</v>
      </c>
      <c r="C174" t="s">
        <v>74</v>
      </c>
      <c r="D174" t="s">
        <v>74</v>
      </c>
      <c r="E174" t="s">
        <v>74</v>
      </c>
      <c r="F174" t="s">
        <v>3640</v>
      </c>
      <c r="G174" t="s">
        <v>74</v>
      </c>
      <c r="H174" t="s">
        <v>74</v>
      </c>
      <c r="I174" t="s">
        <v>3641</v>
      </c>
      <c r="J174" t="s">
        <v>3618</v>
      </c>
      <c r="K174" t="s">
        <v>74</v>
      </c>
      <c r="L174" t="s">
        <v>74</v>
      </c>
      <c r="M174" t="s">
        <v>78</v>
      </c>
      <c r="N174" t="s">
        <v>79</v>
      </c>
      <c r="O174" t="s">
        <v>74</v>
      </c>
      <c r="P174" t="s">
        <v>74</v>
      </c>
      <c r="Q174" t="s">
        <v>74</v>
      </c>
      <c r="R174" t="s">
        <v>74</v>
      </c>
      <c r="S174" t="s">
        <v>74</v>
      </c>
      <c r="T174" t="s">
        <v>3642</v>
      </c>
      <c r="U174" t="s">
        <v>3643</v>
      </c>
      <c r="V174" t="s">
        <v>3644</v>
      </c>
      <c r="W174" t="s">
        <v>3645</v>
      </c>
      <c r="X174" t="s">
        <v>3646</v>
      </c>
      <c r="Y174" t="s">
        <v>3647</v>
      </c>
      <c r="Z174" t="s">
        <v>3648</v>
      </c>
      <c r="AA174" t="s">
        <v>3649</v>
      </c>
      <c r="AB174" t="s">
        <v>3650</v>
      </c>
      <c r="AC174" t="s">
        <v>3651</v>
      </c>
      <c r="AD174" t="s">
        <v>3652</v>
      </c>
      <c r="AE174" t="s">
        <v>3653</v>
      </c>
      <c r="AF174" t="s">
        <v>74</v>
      </c>
      <c r="AG174">
        <v>11</v>
      </c>
      <c r="AH174">
        <v>16</v>
      </c>
      <c r="AI174">
        <v>18</v>
      </c>
      <c r="AJ174">
        <v>2</v>
      </c>
      <c r="AK174">
        <v>14</v>
      </c>
      <c r="AL174" t="s">
        <v>2011</v>
      </c>
      <c r="AM174" t="s">
        <v>2012</v>
      </c>
      <c r="AN174" t="s">
        <v>2013</v>
      </c>
      <c r="AO174" t="s">
        <v>3631</v>
      </c>
      <c r="AP174" t="s">
        <v>74</v>
      </c>
      <c r="AQ174" t="s">
        <v>74</v>
      </c>
      <c r="AR174" t="s">
        <v>3632</v>
      </c>
      <c r="AS174" t="s">
        <v>3633</v>
      </c>
      <c r="AT174" t="s">
        <v>2547</v>
      </c>
      <c r="AU174">
        <v>2019</v>
      </c>
      <c r="AV174">
        <v>17</v>
      </c>
      <c r="AW174">
        <v>4</v>
      </c>
      <c r="AX174" t="s">
        <v>74</v>
      </c>
      <c r="AY174" t="s">
        <v>74</v>
      </c>
      <c r="AZ174" t="s">
        <v>74</v>
      </c>
      <c r="BA174" t="s">
        <v>74</v>
      </c>
      <c r="BB174" t="s">
        <v>74</v>
      </c>
      <c r="BC174" t="s">
        <v>74</v>
      </c>
      <c r="BD174">
        <v>230</v>
      </c>
      <c r="BE174" t="s">
        <v>3654</v>
      </c>
      <c r="BF174" t="str">
        <f>HYPERLINK("http://dx.doi.org/10.3390/md17040230","http://dx.doi.org/10.3390/md17040230")</f>
        <v>http://dx.doi.org/10.3390/md17040230</v>
      </c>
      <c r="BG174" t="s">
        <v>74</v>
      </c>
      <c r="BH174" t="s">
        <v>74</v>
      </c>
      <c r="BI174">
        <v>10</v>
      </c>
      <c r="BJ174" t="s">
        <v>3635</v>
      </c>
      <c r="BK174" t="s">
        <v>102</v>
      </c>
      <c r="BL174" t="s">
        <v>3636</v>
      </c>
      <c r="BM174" t="s">
        <v>3637</v>
      </c>
      <c r="BN174">
        <v>30999651</v>
      </c>
      <c r="BO174" t="s">
        <v>2020</v>
      </c>
      <c r="BP174" t="s">
        <v>74</v>
      </c>
      <c r="BQ174" t="s">
        <v>74</v>
      </c>
      <c r="BR174" t="s">
        <v>107</v>
      </c>
      <c r="BS174" t="s">
        <v>3655</v>
      </c>
      <c r="BT174" t="str">
        <f>HYPERLINK("https%3A%2F%2Fwww.webofscience.com%2Fwos%2Fwoscc%2Ffull-record%2FWOS:000467307100037","View Full Record in Web of Science")</f>
        <v>View Full Record in Web of Science</v>
      </c>
    </row>
    <row r="175" spans="1:72" x14ac:dyDescent="0.15">
      <c r="A175" t="s">
        <v>72</v>
      </c>
      <c r="B175" t="s">
        <v>3656</v>
      </c>
      <c r="C175" t="s">
        <v>74</v>
      </c>
      <c r="D175" t="s">
        <v>74</v>
      </c>
      <c r="E175" t="s">
        <v>74</v>
      </c>
      <c r="F175" t="s">
        <v>3657</v>
      </c>
      <c r="G175" t="s">
        <v>74</v>
      </c>
      <c r="H175" t="s">
        <v>74</v>
      </c>
      <c r="I175" t="s">
        <v>3658</v>
      </c>
      <c r="J175" t="s">
        <v>3659</v>
      </c>
      <c r="K175" t="s">
        <v>74</v>
      </c>
      <c r="L175" t="s">
        <v>74</v>
      </c>
      <c r="M175" t="s">
        <v>78</v>
      </c>
      <c r="N175" t="s">
        <v>79</v>
      </c>
      <c r="O175" t="s">
        <v>74</v>
      </c>
      <c r="P175" t="s">
        <v>74</v>
      </c>
      <c r="Q175" t="s">
        <v>74</v>
      </c>
      <c r="R175" t="s">
        <v>74</v>
      </c>
      <c r="S175" t="s">
        <v>74</v>
      </c>
      <c r="T175" t="s">
        <v>3660</v>
      </c>
      <c r="U175" t="s">
        <v>3661</v>
      </c>
      <c r="V175" t="s">
        <v>3662</v>
      </c>
      <c r="W175" t="s">
        <v>3663</v>
      </c>
      <c r="X175" t="s">
        <v>3664</v>
      </c>
      <c r="Y175" t="s">
        <v>3665</v>
      </c>
      <c r="Z175" t="s">
        <v>3666</v>
      </c>
      <c r="AA175" t="s">
        <v>3667</v>
      </c>
      <c r="AB175" t="s">
        <v>3668</v>
      </c>
      <c r="AC175" t="s">
        <v>3669</v>
      </c>
      <c r="AD175" t="s">
        <v>3669</v>
      </c>
      <c r="AE175" t="s">
        <v>3670</v>
      </c>
      <c r="AF175" t="s">
        <v>74</v>
      </c>
      <c r="AG175">
        <v>69</v>
      </c>
      <c r="AH175">
        <v>15</v>
      </c>
      <c r="AI175">
        <v>16</v>
      </c>
      <c r="AJ175">
        <v>5</v>
      </c>
      <c r="AK175">
        <v>15</v>
      </c>
      <c r="AL175" t="s">
        <v>378</v>
      </c>
      <c r="AM175" t="s">
        <v>93</v>
      </c>
      <c r="AN175" t="s">
        <v>379</v>
      </c>
      <c r="AO175" t="s">
        <v>3671</v>
      </c>
      <c r="AP175" t="s">
        <v>3672</v>
      </c>
      <c r="AQ175" t="s">
        <v>74</v>
      </c>
      <c r="AR175" t="s">
        <v>3673</v>
      </c>
      <c r="AS175" t="s">
        <v>3674</v>
      </c>
      <c r="AT175" t="s">
        <v>2547</v>
      </c>
      <c r="AU175">
        <v>2019</v>
      </c>
      <c r="AV175">
        <v>141</v>
      </c>
      <c r="AW175" t="s">
        <v>74</v>
      </c>
      <c r="AX175" t="s">
        <v>74</v>
      </c>
      <c r="AY175" t="s">
        <v>74</v>
      </c>
      <c r="AZ175" t="s">
        <v>74</v>
      </c>
      <c r="BA175" t="s">
        <v>74</v>
      </c>
      <c r="BB175">
        <v>194</v>
      </c>
      <c r="BC175">
        <v>204</v>
      </c>
      <c r="BD175" t="s">
        <v>74</v>
      </c>
      <c r="BE175" t="s">
        <v>3675</v>
      </c>
      <c r="BF175" t="str">
        <f>HYPERLINK("http://dx.doi.org/10.1016/j.marpolbul.2019.02.048","http://dx.doi.org/10.1016/j.marpolbul.2019.02.048")</f>
        <v>http://dx.doi.org/10.1016/j.marpolbul.2019.02.048</v>
      </c>
      <c r="BG175" t="s">
        <v>74</v>
      </c>
      <c r="BH175" t="s">
        <v>74</v>
      </c>
      <c r="BI175">
        <v>11</v>
      </c>
      <c r="BJ175" t="s">
        <v>829</v>
      </c>
      <c r="BK175" t="s">
        <v>102</v>
      </c>
      <c r="BL175" t="s">
        <v>830</v>
      </c>
      <c r="BM175" t="s">
        <v>3676</v>
      </c>
      <c r="BN175">
        <v>30955726</v>
      </c>
      <c r="BO175" t="s">
        <v>74</v>
      </c>
      <c r="BP175" t="s">
        <v>74</v>
      </c>
      <c r="BQ175" t="s">
        <v>74</v>
      </c>
      <c r="BR175" t="s">
        <v>107</v>
      </c>
      <c r="BS175" t="s">
        <v>3677</v>
      </c>
      <c r="BT175" t="str">
        <f>HYPERLINK("https%3A%2F%2Fwww.webofscience.com%2Fwos%2Fwoscc%2Ffull-record%2FWOS:000465509700024","View Full Record in Web of Science")</f>
        <v>View Full Record in Web of Science</v>
      </c>
    </row>
    <row r="176" spans="1:72" x14ac:dyDescent="0.15">
      <c r="A176" t="s">
        <v>72</v>
      </c>
      <c r="B176" t="s">
        <v>3678</v>
      </c>
      <c r="C176" t="s">
        <v>74</v>
      </c>
      <c r="D176" t="s">
        <v>74</v>
      </c>
      <c r="E176" t="s">
        <v>74</v>
      </c>
      <c r="F176" t="s">
        <v>3679</v>
      </c>
      <c r="G176" t="s">
        <v>74</v>
      </c>
      <c r="H176" t="s">
        <v>74</v>
      </c>
      <c r="I176" t="s">
        <v>3680</v>
      </c>
      <c r="J176" t="s">
        <v>3681</v>
      </c>
      <c r="K176" t="s">
        <v>74</v>
      </c>
      <c r="L176" t="s">
        <v>74</v>
      </c>
      <c r="M176" t="s">
        <v>78</v>
      </c>
      <c r="N176" t="s">
        <v>79</v>
      </c>
      <c r="O176" t="s">
        <v>74</v>
      </c>
      <c r="P176" t="s">
        <v>74</v>
      </c>
      <c r="Q176" t="s">
        <v>74</v>
      </c>
      <c r="R176" t="s">
        <v>74</v>
      </c>
      <c r="S176" t="s">
        <v>74</v>
      </c>
      <c r="T176" t="s">
        <v>74</v>
      </c>
      <c r="U176" t="s">
        <v>3682</v>
      </c>
      <c r="V176" t="s">
        <v>3683</v>
      </c>
      <c r="W176" t="s">
        <v>3684</v>
      </c>
      <c r="X176" t="s">
        <v>74</v>
      </c>
      <c r="Y176" t="s">
        <v>3685</v>
      </c>
      <c r="Z176" t="s">
        <v>3686</v>
      </c>
      <c r="AA176" t="s">
        <v>3687</v>
      </c>
      <c r="AB176" t="s">
        <v>3688</v>
      </c>
      <c r="AC176" t="s">
        <v>74</v>
      </c>
      <c r="AD176" t="s">
        <v>74</v>
      </c>
      <c r="AE176" t="s">
        <v>74</v>
      </c>
      <c r="AF176" t="s">
        <v>74</v>
      </c>
      <c r="AG176">
        <v>68</v>
      </c>
      <c r="AH176">
        <v>40</v>
      </c>
      <c r="AI176">
        <v>43</v>
      </c>
      <c r="AJ176">
        <v>0</v>
      </c>
      <c r="AK176">
        <v>6</v>
      </c>
      <c r="AL176" t="s">
        <v>2523</v>
      </c>
      <c r="AM176" t="s">
        <v>2524</v>
      </c>
      <c r="AN176" t="s">
        <v>2525</v>
      </c>
      <c r="AO176" t="s">
        <v>74</v>
      </c>
      <c r="AP176" t="s">
        <v>3689</v>
      </c>
      <c r="AQ176" t="s">
        <v>74</v>
      </c>
      <c r="AR176" t="s">
        <v>3690</v>
      </c>
      <c r="AS176" t="s">
        <v>3691</v>
      </c>
      <c r="AT176" t="s">
        <v>2547</v>
      </c>
      <c r="AU176">
        <v>2019</v>
      </c>
      <c r="AV176">
        <v>15</v>
      </c>
      <c r="AW176">
        <v>4</v>
      </c>
      <c r="AX176" t="s">
        <v>74</v>
      </c>
      <c r="AY176" t="s">
        <v>74</v>
      </c>
      <c r="AZ176" t="s">
        <v>74</v>
      </c>
      <c r="BA176" t="s">
        <v>74</v>
      </c>
      <c r="BB176" t="s">
        <v>74</v>
      </c>
      <c r="BC176" t="s">
        <v>74</v>
      </c>
      <c r="BD176" t="s">
        <v>3692</v>
      </c>
      <c r="BE176" t="s">
        <v>3693</v>
      </c>
      <c r="BF176" t="str">
        <f>HYPERLINK("http://dx.doi.org/10.1371/journal.pcbi.1006967","http://dx.doi.org/10.1371/journal.pcbi.1006967")</f>
        <v>http://dx.doi.org/10.1371/journal.pcbi.1006967</v>
      </c>
      <c r="BG176" t="s">
        <v>74</v>
      </c>
      <c r="BH176" t="s">
        <v>74</v>
      </c>
      <c r="BI176">
        <v>24</v>
      </c>
      <c r="BJ176" t="s">
        <v>3694</v>
      </c>
      <c r="BK176" t="s">
        <v>102</v>
      </c>
      <c r="BL176" t="s">
        <v>3695</v>
      </c>
      <c r="BM176" t="s">
        <v>3696</v>
      </c>
      <c r="BN176">
        <v>30958827</v>
      </c>
      <c r="BO176" t="s">
        <v>2020</v>
      </c>
      <c r="BP176" t="s">
        <v>74</v>
      </c>
      <c r="BQ176" t="s">
        <v>74</v>
      </c>
      <c r="BR176" t="s">
        <v>107</v>
      </c>
      <c r="BS176" t="s">
        <v>3697</v>
      </c>
      <c r="BT176" t="str">
        <f>HYPERLINK("https%3A%2F%2Fwww.webofscience.com%2Fwos%2Fwoscc%2Ffull-record%2FWOS:000467530600066","View Full Record in Web of Science")</f>
        <v>View Full Record in Web of Science</v>
      </c>
    </row>
    <row r="177" spans="1:72" x14ac:dyDescent="0.15">
      <c r="A177" t="s">
        <v>72</v>
      </c>
      <c r="B177" t="s">
        <v>3698</v>
      </c>
      <c r="C177" t="s">
        <v>74</v>
      </c>
      <c r="D177" t="s">
        <v>74</v>
      </c>
      <c r="E177" t="s">
        <v>74</v>
      </c>
      <c r="F177" t="s">
        <v>3699</v>
      </c>
      <c r="G177" t="s">
        <v>74</v>
      </c>
      <c r="H177" t="s">
        <v>74</v>
      </c>
      <c r="I177" t="s">
        <v>3700</v>
      </c>
      <c r="J177" t="s">
        <v>3701</v>
      </c>
      <c r="K177" t="s">
        <v>74</v>
      </c>
      <c r="L177" t="s">
        <v>74</v>
      </c>
      <c r="M177" t="s">
        <v>78</v>
      </c>
      <c r="N177" t="s">
        <v>79</v>
      </c>
      <c r="O177" t="s">
        <v>74</v>
      </c>
      <c r="P177" t="s">
        <v>74</v>
      </c>
      <c r="Q177" t="s">
        <v>74</v>
      </c>
      <c r="R177" t="s">
        <v>74</v>
      </c>
      <c r="S177" t="s">
        <v>74</v>
      </c>
      <c r="T177" t="s">
        <v>3702</v>
      </c>
      <c r="U177" t="s">
        <v>3703</v>
      </c>
      <c r="V177" t="s">
        <v>3704</v>
      </c>
      <c r="W177" t="s">
        <v>3705</v>
      </c>
      <c r="X177" t="s">
        <v>3706</v>
      </c>
      <c r="Y177" t="s">
        <v>3707</v>
      </c>
      <c r="Z177" t="s">
        <v>3708</v>
      </c>
      <c r="AA177" t="s">
        <v>3709</v>
      </c>
      <c r="AB177" t="s">
        <v>3710</v>
      </c>
      <c r="AC177" t="s">
        <v>3711</v>
      </c>
      <c r="AD177" t="s">
        <v>3712</v>
      </c>
      <c r="AE177" t="s">
        <v>3713</v>
      </c>
      <c r="AF177" t="s">
        <v>74</v>
      </c>
      <c r="AG177">
        <v>33</v>
      </c>
      <c r="AH177">
        <v>3</v>
      </c>
      <c r="AI177">
        <v>3</v>
      </c>
      <c r="AJ177">
        <v>1</v>
      </c>
      <c r="AK177">
        <v>10</v>
      </c>
      <c r="AL177" t="s">
        <v>153</v>
      </c>
      <c r="AM177" t="s">
        <v>154</v>
      </c>
      <c r="AN177" t="s">
        <v>155</v>
      </c>
      <c r="AO177" t="s">
        <v>3714</v>
      </c>
      <c r="AP177" t="s">
        <v>3715</v>
      </c>
      <c r="AQ177" t="s">
        <v>74</v>
      </c>
      <c r="AR177" t="s">
        <v>3716</v>
      </c>
      <c r="AS177" t="s">
        <v>3717</v>
      </c>
      <c r="AT177" t="s">
        <v>2547</v>
      </c>
      <c r="AU177">
        <v>2019</v>
      </c>
      <c r="AV177">
        <v>39</v>
      </c>
      <c r="AW177">
        <v>5</v>
      </c>
      <c r="AX177" t="s">
        <v>74</v>
      </c>
      <c r="AY177" t="s">
        <v>74</v>
      </c>
      <c r="AZ177" t="s">
        <v>74</v>
      </c>
      <c r="BA177" t="s">
        <v>74</v>
      </c>
      <c r="BB177">
        <v>2685</v>
      </c>
      <c r="BC177">
        <v>2696</v>
      </c>
      <c r="BD177" t="s">
        <v>74</v>
      </c>
      <c r="BE177" t="s">
        <v>3718</v>
      </c>
      <c r="BF177" t="str">
        <f>HYPERLINK("http://dx.doi.org/10.1002/joc.5981","http://dx.doi.org/10.1002/joc.5981")</f>
        <v>http://dx.doi.org/10.1002/joc.5981</v>
      </c>
      <c r="BG177" t="s">
        <v>74</v>
      </c>
      <c r="BH177" t="s">
        <v>74</v>
      </c>
      <c r="BI177">
        <v>12</v>
      </c>
      <c r="BJ177" t="s">
        <v>133</v>
      </c>
      <c r="BK177" t="s">
        <v>102</v>
      </c>
      <c r="BL177" t="s">
        <v>133</v>
      </c>
      <c r="BM177" t="s">
        <v>3719</v>
      </c>
      <c r="BN177" t="s">
        <v>74</v>
      </c>
      <c r="BO177" t="s">
        <v>198</v>
      </c>
      <c r="BP177" t="s">
        <v>74</v>
      </c>
      <c r="BQ177" t="s">
        <v>74</v>
      </c>
      <c r="BR177" t="s">
        <v>107</v>
      </c>
      <c r="BS177" t="s">
        <v>3720</v>
      </c>
      <c r="BT177" t="str">
        <f>HYPERLINK("https%3A%2F%2Fwww.webofscience.com%2Fwos%2Fwoscc%2Ffull-record%2FWOS:000467048900013","View Full Record in Web of Science")</f>
        <v>View Full Record in Web of Science</v>
      </c>
    </row>
    <row r="178" spans="1:72" x14ac:dyDescent="0.15">
      <c r="A178" t="s">
        <v>72</v>
      </c>
      <c r="B178" t="s">
        <v>3721</v>
      </c>
      <c r="C178" t="s">
        <v>74</v>
      </c>
      <c r="D178" t="s">
        <v>74</v>
      </c>
      <c r="E178" t="s">
        <v>74</v>
      </c>
      <c r="F178" t="s">
        <v>3722</v>
      </c>
      <c r="G178" t="s">
        <v>74</v>
      </c>
      <c r="H178" t="s">
        <v>74</v>
      </c>
      <c r="I178" t="s">
        <v>3723</v>
      </c>
      <c r="J178" t="s">
        <v>3724</v>
      </c>
      <c r="K178" t="s">
        <v>74</v>
      </c>
      <c r="L178" t="s">
        <v>74</v>
      </c>
      <c r="M178" t="s">
        <v>78</v>
      </c>
      <c r="N178" t="s">
        <v>79</v>
      </c>
      <c r="O178" t="s">
        <v>74</v>
      </c>
      <c r="P178" t="s">
        <v>74</v>
      </c>
      <c r="Q178" t="s">
        <v>74</v>
      </c>
      <c r="R178" t="s">
        <v>74</v>
      </c>
      <c r="S178" t="s">
        <v>74</v>
      </c>
      <c r="T178" t="s">
        <v>3725</v>
      </c>
      <c r="U178" t="s">
        <v>74</v>
      </c>
      <c r="V178" t="s">
        <v>3726</v>
      </c>
      <c r="W178" t="s">
        <v>3727</v>
      </c>
      <c r="X178" t="s">
        <v>3728</v>
      </c>
      <c r="Y178" t="s">
        <v>3729</v>
      </c>
      <c r="Z178" t="s">
        <v>3730</v>
      </c>
      <c r="AA178" t="s">
        <v>3731</v>
      </c>
      <c r="AB178" t="s">
        <v>3732</v>
      </c>
      <c r="AC178" t="s">
        <v>3733</v>
      </c>
      <c r="AD178" t="s">
        <v>3734</v>
      </c>
      <c r="AE178" t="s">
        <v>3735</v>
      </c>
      <c r="AF178" t="s">
        <v>74</v>
      </c>
      <c r="AG178">
        <v>32</v>
      </c>
      <c r="AH178">
        <v>11</v>
      </c>
      <c r="AI178">
        <v>12</v>
      </c>
      <c r="AJ178">
        <v>0</v>
      </c>
      <c r="AK178">
        <v>9</v>
      </c>
      <c r="AL178" t="s">
        <v>153</v>
      </c>
      <c r="AM178" t="s">
        <v>154</v>
      </c>
      <c r="AN178" t="s">
        <v>155</v>
      </c>
      <c r="AO178" t="s">
        <v>3736</v>
      </c>
      <c r="AP178" t="s">
        <v>3737</v>
      </c>
      <c r="AQ178" t="s">
        <v>74</v>
      </c>
      <c r="AR178" t="s">
        <v>3738</v>
      </c>
      <c r="AS178" t="s">
        <v>3739</v>
      </c>
      <c r="AT178" t="s">
        <v>2547</v>
      </c>
      <c r="AU178">
        <v>2019</v>
      </c>
      <c r="AV178">
        <v>29</v>
      </c>
      <c r="AW178">
        <v>4</v>
      </c>
      <c r="AX178" t="s">
        <v>74</v>
      </c>
      <c r="AY178" t="s">
        <v>74</v>
      </c>
      <c r="AZ178" t="s">
        <v>74</v>
      </c>
      <c r="BA178" t="s">
        <v>74</v>
      </c>
      <c r="BB178">
        <v>576</v>
      </c>
      <c r="BC178">
        <v>588</v>
      </c>
      <c r="BD178" t="s">
        <v>74</v>
      </c>
      <c r="BE178" t="s">
        <v>3740</v>
      </c>
      <c r="BF178" t="str">
        <f>HYPERLINK("http://dx.doi.org/10.1002/aqc.3032","http://dx.doi.org/10.1002/aqc.3032")</f>
        <v>http://dx.doi.org/10.1002/aqc.3032</v>
      </c>
      <c r="BG178" t="s">
        <v>74</v>
      </c>
      <c r="BH178" t="s">
        <v>74</v>
      </c>
      <c r="BI178">
        <v>13</v>
      </c>
      <c r="BJ178" t="s">
        <v>3741</v>
      </c>
      <c r="BK178" t="s">
        <v>102</v>
      </c>
      <c r="BL178" t="s">
        <v>3742</v>
      </c>
      <c r="BM178" t="s">
        <v>3743</v>
      </c>
      <c r="BN178" t="s">
        <v>74</v>
      </c>
      <c r="BO178" t="s">
        <v>74</v>
      </c>
      <c r="BP178" t="s">
        <v>74</v>
      </c>
      <c r="BQ178" t="s">
        <v>74</v>
      </c>
      <c r="BR178" t="s">
        <v>107</v>
      </c>
      <c r="BS178" t="s">
        <v>3744</v>
      </c>
      <c r="BT178" t="str">
        <f>HYPERLINK("https%3A%2F%2Fwww.webofscience.com%2Fwos%2Fwoscc%2Ffull-record%2FWOS:000465962300007","View Full Record in Web of Science")</f>
        <v>View Full Record in Web of Science</v>
      </c>
    </row>
    <row r="179" spans="1:72" x14ac:dyDescent="0.15">
      <c r="A179" t="s">
        <v>72</v>
      </c>
      <c r="B179" t="s">
        <v>3745</v>
      </c>
      <c r="C179" t="s">
        <v>74</v>
      </c>
      <c r="D179" t="s">
        <v>74</v>
      </c>
      <c r="E179" t="s">
        <v>74</v>
      </c>
      <c r="F179" t="s">
        <v>3746</v>
      </c>
      <c r="G179" t="s">
        <v>74</v>
      </c>
      <c r="H179" t="s">
        <v>74</v>
      </c>
      <c r="I179" t="s">
        <v>3747</v>
      </c>
      <c r="J179" t="s">
        <v>3748</v>
      </c>
      <c r="K179" t="s">
        <v>74</v>
      </c>
      <c r="L179" t="s">
        <v>74</v>
      </c>
      <c r="M179" t="s">
        <v>78</v>
      </c>
      <c r="N179" t="s">
        <v>79</v>
      </c>
      <c r="O179" t="s">
        <v>74</v>
      </c>
      <c r="P179" t="s">
        <v>74</v>
      </c>
      <c r="Q179" t="s">
        <v>74</v>
      </c>
      <c r="R179" t="s">
        <v>74</v>
      </c>
      <c r="S179" t="s">
        <v>74</v>
      </c>
      <c r="T179" t="s">
        <v>3749</v>
      </c>
      <c r="U179" t="s">
        <v>3750</v>
      </c>
      <c r="V179" t="s">
        <v>3751</v>
      </c>
      <c r="W179" t="s">
        <v>3752</v>
      </c>
      <c r="X179" t="s">
        <v>3753</v>
      </c>
      <c r="Y179" t="s">
        <v>3754</v>
      </c>
      <c r="Z179" t="s">
        <v>3755</v>
      </c>
      <c r="AA179" t="s">
        <v>3756</v>
      </c>
      <c r="AB179" t="s">
        <v>3757</v>
      </c>
      <c r="AC179" t="s">
        <v>3758</v>
      </c>
      <c r="AD179" t="s">
        <v>3759</v>
      </c>
      <c r="AE179" t="s">
        <v>3760</v>
      </c>
      <c r="AF179" t="s">
        <v>74</v>
      </c>
      <c r="AG179">
        <v>56</v>
      </c>
      <c r="AH179">
        <v>22</v>
      </c>
      <c r="AI179">
        <v>22</v>
      </c>
      <c r="AJ179">
        <v>1</v>
      </c>
      <c r="AK179">
        <v>7</v>
      </c>
      <c r="AL179" t="s">
        <v>153</v>
      </c>
      <c r="AM179" t="s">
        <v>154</v>
      </c>
      <c r="AN179" t="s">
        <v>155</v>
      </c>
      <c r="AO179" t="s">
        <v>3761</v>
      </c>
      <c r="AP179" t="s">
        <v>3762</v>
      </c>
      <c r="AQ179" t="s">
        <v>74</v>
      </c>
      <c r="AR179" t="s">
        <v>3763</v>
      </c>
      <c r="AS179" t="s">
        <v>3764</v>
      </c>
      <c r="AT179" t="s">
        <v>2547</v>
      </c>
      <c r="AU179">
        <v>2019</v>
      </c>
      <c r="AV179">
        <v>145</v>
      </c>
      <c r="AW179">
        <v>720</v>
      </c>
      <c r="AX179" t="s">
        <v>3765</v>
      </c>
      <c r="AY179" t="s">
        <v>74</v>
      </c>
      <c r="AZ179" t="s">
        <v>74</v>
      </c>
      <c r="BA179" t="s">
        <v>74</v>
      </c>
      <c r="BB179">
        <v>930</v>
      </c>
      <c r="BC179">
        <v>946</v>
      </c>
      <c r="BD179" t="s">
        <v>74</v>
      </c>
      <c r="BE179" t="s">
        <v>3766</v>
      </c>
      <c r="BF179" t="str">
        <f>HYPERLINK("http://dx.doi.org/10.1002/qj.3450","http://dx.doi.org/10.1002/qj.3450")</f>
        <v>http://dx.doi.org/10.1002/qj.3450</v>
      </c>
      <c r="BG179" t="s">
        <v>74</v>
      </c>
      <c r="BH179" t="s">
        <v>74</v>
      </c>
      <c r="BI179">
        <v>17</v>
      </c>
      <c r="BJ179" t="s">
        <v>133</v>
      </c>
      <c r="BK179" t="s">
        <v>102</v>
      </c>
      <c r="BL179" t="s">
        <v>133</v>
      </c>
      <c r="BM179" t="s">
        <v>3767</v>
      </c>
      <c r="BN179">
        <v>31068734</v>
      </c>
      <c r="BO179" t="s">
        <v>2808</v>
      </c>
      <c r="BP179" t="s">
        <v>74</v>
      </c>
      <c r="BQ179" t="s">
        <v>74</v>
      </c>
      <c r="BR179" t="s">
        <v>107</v>
      </c>
      <c r="BS179" t="s">
        <v>3768</v>
      </c>
      <c r="BT179" t="str">
        <f>HYPERLINK("https%3A%2F%2Fwww.webofscience.com%2Fwos%2Fwoscc%2Ffull-record%2FWOS:000465414100003","View Full Record in Web of Science")</f>
        <v>View Full Record in Web of Science</v>
      </c>
    </row>
    <row r="180" spans="1:72" x14ac:dyDescent="0.15">
      <c r="A180" t="s">
        <v>72</v>
      </c>
      <c r="B180" t="s">
        <v>3769</v>
      </c>
      <c r="C180" t="s">
        <v>74</v>
      </c>
      <c r="D180" t="s">
        <v>74</v>
      </c>
      <c r="E180" t="s">
        <v>74</v>
      </c>
      <c r="F180" t="s">
        <v>3770</v>
      </c>
      <c r="G180" t="s">
        <v>74</v>
      </c>
      <c r="H180" t="s">
        <v>74</v>
      </c>
      <c r="I180" t="s">
        <v>3771</v>
      </c>
      <c r="J180" t="s">
        <v>3748</v>
      </c>
      <c r="K180" t="s">
        <v>74</v>
      </c>
      <c r="L180" t="s">
        <v>74</v>
      </c>
      <c r="M180" t="s">
        <v>78</v>
      </c>
      <c r="N180" t="s">
        <v>79</v>
      </c>
      <c r="O180" t="s">
        <v>74</v>
      </c>
      <c r="P180" t="s">
        <v>74</v>
      </c>
      <c r="Q180" t="s">
        <v>74</v>
      </c>
      <c r="R180" t="s">
        <v>74</v>
      </c>
      <c r="S180" t="s">
        <v>74</v>
      </c>
      <c r="T180" t="s">
        <v>3772</v>
      </c>
      <c r="U180" t="s">
        <v>3773</v>
      </c>
      <c r="V180" t="s">
        <v>3774</v>
      </c>
      <c r="W180" t="s">
        <v>3775</v>
      </c>
      <c r="X180" t="s">
        <v>3776</v>
      </c>
      <c r="Y180" t="s">
        <v>3777</v>
      </c>
      <c r="Z180" t="s">
        <v>3778</v>
      </c>
      <c r="AA180" t="s">
        <v>3779</v>
      </c>
      <c r="AB180" t="s">
        <v>3780</v>
      </c>
      <c r="AC180" t="s">
        <v>3781</v>
      </c>
      <c r="AD180" t="s">
        <v>3782</v>
      </c>
      <c r="AE180" t="s">
        <v>3783</v>
      </c>
      <c r="AF180" t="s">
        <v>74</v>
      </c>
      <c r="AG180">
        <v>57</v>
      </c>
      <c r="AH180">
        <v>22</v>
      </c>
      <c r="AI180">
        <v>23</v>
      </c>
      <c r="AJ180">
        <v>1</v>
      </c>
      <c r="AK180">
        <v>4</v>
      </c>
      <c r="AL180" t="s">
        <v>153</v>
      </c>
      <c r="AM180" t="s">
        <v>154</v>
      </c>
      <c r="AN180" t="s">
        <v>155</v>
      </c>
      <c r="AO180" t="s">
        <v>3761</v>
      </c>
      <c r="AP180" t="s">
        <v>3762</v>
      </c>
      <c r="AQ180" t="s">
        <v>74</v>
      </c>
      <c r="AR180" t="s">
        <v>3763</v>
      </c>
      <c r="AS180" t="s">
        <v>3764</v>
      </c>
      <c r="AT180" t="s">
        <v>2547</v>
      </c>
      <c r="AU180">
        <v>2019</v>
      </c>
      <c r="AV180">
        <v>145</v>
      </c>
      <c r="AW180">
        <v>720</v>
      </c>
      <c r="AX180" t="s">
        <v>3765</v>
      </c>
      <c r="AY180" t="s">
        <v>74</v>
      </c>
      <c r="AZ180" t="s">
        <v>74</v>
      </c>
      <c r="BA180" t="s">
        <v>74</v>
      </c>
      <c r="BB180">
        <v>1165</v>
      </c>
      <c r="BC180">
        <v>1179</v>
      </c>
      <c r="BD180" t="s">
        <v>74</v>
      </c>
      <c r="BE180" t="s">
        <v>3784</v>
      </c>
      <c r="BF180" t="str">
        <f>HYPERLINK("http://dx.doi.org/10.1002/qj.3486","http://dx.doi.org/10.1002/qj.3486")</f>
        <v>http://dx.doi.org/10.1002/qj.3486</v>
      </c>
      <c r="BG180" t="s">
        <v>74</v>
      </c>
      <c r="BH180" t="s">
        <v>74</v>
      </c>
      <c r="BI180">
        <v>15</v>
      </c>
      <c r="BJ180" t="s">
        <v>133</v>
      </c>
      <c r="BK180" t="s">
        <v>102</v>
      </c>
      <c r="BL180" t="s">
        <v>133</v>
      </c>
      <c r="BM180" t="s">
        <v>3767</v>
      </c>
      <c r="BN180" t="s">
        <v>74</v>
      </c>
      <c r="BO180" t="s">
        <v>3785</v>
      </c>
      <c r="BP180" t="s">
        <v>74</v>
      </c>
      <c r="BQ180" t="s">
        <v>74</v>
      </c>
      <c r="BR180" t="s">
        <v>107</v>
      </c>
      <c r="BS180" t="s">
        <v>3786</v>
      </c>
      <c r="BT180" t="str">
        <f>HYPERLINK("https%3A%2F%2Fwww.webofscience.com%2Fwos%2Fwoscc%2Ffull-record%2FWOS:000465414100017","View Full Record in Web of Science")</f>
        <v>View Full Record in Web of Science</v>
      </c>
    </row>
    <row r="181" spans="1:72" x14ac:dyDescent="0.15">
      <c r="A181" t="s">
        <v>72</v>
      </c>
      <c r="B181" t="s">
        <v>3787</v>
      </c>
      <c r="C181" t="s">
        <v>74</v>
      </c>
      <c r="D181" t="s">
        <v>74</v>
      </c>
      <c r="E181" t="s">
        <v>74</v>
      </c>
      <c r="F181" t="s">
        <v>3788</v>
      </c>
      <c r="G181" t="s">
        <v>74</v>
      </c>
      <c r="H181" t="s">
        <v>74</v>
      </c>
      <c r="I181" t="s">
        <v>3789</v>
      </c>
      <c r="J181" t="s">
        <v>3748</v>
      </c>
      <c r="K181" t="s">
        <v>74</v>
      </c>
      <c r="L181" t="s">
        <v>74</v>
      </c>
      <c r="M181" t="s">
        <v>78</v>
      </c>
      <c r="N181" t="s">
        <v>79</v>
      </c>
      <c r="O181" t="s">
        <v>74</v>
      </c>
      <c r="P181" t="s">
        <v>74</v>
      </c>
      <c r="Q181" t="s">
        <v>74</v>
      </c>
      <c r="R181" t="s">
        <v>74</v>
      </c>
      <c r="S181" t="s">
        <v>74</v>
      </c>
      <c r="T181" t="s">
        <v>3790</v>
      </c>
      <c r="U181" t="s">
        <v>3791</v>
      </c>
      <c r="V181" t="s">
        <v>3792</v>
      </c>
      <c r="W181" t="s">
        <v>3793</v>
      </c>
      <c r="X181" t="s">
        <v>3794</v>
      </c>
      <c r="Y181" t="s">
        <v>3795</v>
      </c>
      <c r="Z181" t="s">
        <v>3796</v>
      </c>
      <c r="AA181" t="s">
        <v>3797</v>
      </c>
      <c r="AB181" t="s">
        <v>3798</v>
      </c>
      <c r="AC181" t="s">
        <v>3799</v>
      </c>
      <c r="AD181" t="s">
        <v>1798</v>
      </c>
      <c r="AE181" t="s">
        <v>3800</v>
      </c>
      <c r="AF181" t="s">
        <v>74</v>
      </c>
      <c r="AG181">
        <v>34</v>
      </c>
      <c r="AH181">
        <v>2</v>
      </c>
      <c r="AI181">
        <v>2</v>
      </c>
      <c r="AJ181">
        <v>0</v>
      </c>
      <c r="AK181">
        <v>7</v>
      </c>
      <c r="AL181" t="s">
        <v>153</v>
      </c>
      <c r="AM181" t="s">
        <v>154</v>
      </c>
      <c r="AN181" t="s">
        <v>155</v>
      </c>
      <c r="AO181" t="s">
        <v>3761</v>
      </c>
      <c r="AP181" t="s">
        <v>3762</v>
      </c>
      <c r="AQ181" t="s">
        <v>74</v>
      </c>
      <c r="AR181" t="s">
        <v>3763</v>
      </c>
      <c r="AS181" t="s">
        <v>3764</v>
      </c>
      <c r="AT181" t="s">
        <v>2547</v>
      </c>
      <c r="AU181">
        <v>2019</v>
      </c>
      <c r="AV181">
        <v>145</v>
      </c>
      <c r="AW181">
        <v>720</v>
      </c>
      <c r="AX181" t="s">
        <v>3765</v>
      </c>
      <c r="AY181" t="s">
        <v>74</v>
      </c>
      <c r="AZ181" t="s">
        <v>74</v>
      </c>
      <c r="BA181" t="s">
        <v>74</v>
      </c>
      <c r="BB181">
        <v>1267</v>
      </c>
      <c r="BC181">
        <v>1280</v>
      </c>
      <c r="BD181" t="s">
        <v>74</v>
      </c>
      <c r="BE181" t="s">
        <v>3801</v>
      </c>
      <c r="BF181" t="str">
        <f>HYPERLINK("http://dx.doi.org/10.1002/qj.3496","http://dx.doi.org/10.1002/qj.3496")</f>
        <v>http://dx.doi.org/10.1002/qj.3496</v>
      </c>
      <c r="BG181" t="s">
        <v>74</v>
      </c>
      <c r="BH181" t="s">
        <v>74</v>
      </c>
      <c r="BI181">
        <v>14</v>
      </c>
      <c r="BJ181" t="s">
        <v>133</v>
      </c>
      <c r="BK181" t="s">
        <v>102</v>
      </c>
      <c r="BL181" t="s">
        <v>133</v>
      </c>
      <c r="BM181" t="s">
        <v>3767</v>
      </c>
      <c r="BN181" t="s">
        <v>74</v>
      </c>
      <c r="BO181" t="s">
        <v>74</v>
      </c>
      <c r="BP181" t="s">
        <v>74</v>
      </c>
      <c r="BQ181" t="s">
        <v>74</v>
      </c>
      <c r="BR181" t="s">
        <v>107</v>
      </c>
      <c r="BS181" t="s">
        <v>3802</v>
      </c>
      <c r="BT181" t="str">
        <f>HYPERLINK("https%3A%2F%2Fwww.webofscience.com%2Fwos%2Fwoscc%2Ffull-record%2FWOS:000465414100023","View Full Record in Web of Science")</f>
        <v>View Full Record in Web of Science</v>
      </c>
    </row>
    <row r="182" spans="1:72" x14ac:dyDescent="0.15">
      <c r="A182" t="s">
        <v>72</v>
      </c>
      <c r="B182" t="s">
        <v>3803</v>
      </c>
      <c r="C182" t="s">
        <v>74</v>
      </c>
      <c r="D182" t="s">
        <v>74</v>
      </c>
      <c r="E182" t="s">
        <v>74</v>
      </c>
      <c r="F182" t="s">
        <v>3804</v>
      </c>
      <c r="G182" t="s">
        <v>74</v>
      </c>
      <c r="H182" t="s">
        <v>74</v>
      </c>
      <c r="I182" t="s">
        <v>3805</v>
      </c>
      <c r="J182" t="s">
        <v>344</v>
      </c>
      <c r="K182" t="s">
        <v>74</v>
      </c>
      <c r="L182" t="s">
        <v>74</v>
      </c>
      <c r="M182" t="s">
        <v>78</v>
      </c>
      <c r="N182" t="s">
        <v>79</v>
      </c>
      <c r="O182" t="s">
        <v>74</v>
      </c>
      <c r="P182" t="s">
        <v>74</v>
      </c>
      <c r="Q182" t="s">
        <v>74</v>
      </c>
      <c r="R182" t="s">
        <v>74</v>
      </c>
      <c r="S182" t="s">
        <v>74</v>
      </c>
      <c r="T182" t="s">
        <v>3806</v>
      </c>
      <c r="U182" t="s">
        <v>3807</v>
      </c>
      <c r="V182" t="s">
        <v>74</v>
      </c>
      <c r="W182" t="s">
        <v>3808</v>
      </c>
      <c r="X182" t="s">
        <v>3809</v>
      </c>
      <c r="Y182" t="s">
        <v>3810</v>
      </c>
      <c r="Z182" t="s">
        <v>3811</v>
      </c>
      <c r="AA182" t="s">
        <v>3812</v>
      </c>
      <c r="AB182" t="s">
        <v>3813</v>
      </c>
      <c r="AC182" t="s">
        <v>3814</v>
      </c>
      <c r="AD182" t="s">
        <v>3815</v>
      </c>
      <c r="AE182" t="s">
        <v>3816</v>
      </c>
      <c r="AF182" t="s">
        <v>74</v>
      </c>
      <c r="AG182">
        <v>67</v>
      </c>
      <c r="AH182">
        <v>8</v>
      </c>
      <c r="AI182">
        <v>8</v>
      </c>
      <c r="AJ182">
        <v>2</v>
      </c>
      <c r="AK182">
        <v>28</v>
      </c>
      <c r="AL182" t="s">
        <v>153</v>
      </c>
      <c r="AM182" t="s">
        <v>154</v>
      </c>
      <c r="AN182" t="s">
        <v>155</v>
      </c>
      <c r="AO182" t="s">
        <v>357</v>
      </c>
      <c r="AP182" t="s">
        <v>358</v>
      </c>
      <c r="AQ182" t="s">
        <v>74</v>
      </c>
      <c r="AR182" t="s">
        <v>359</v>
      </c>
      <c r="AS182" t="s">
        <v>360</v>
      </c>
      <c r="AT182" t="s">
        <v>2547</v>
      </c>
      <c r="AU182">
        <v>2019</v>
      </c>
      <c r="AV182">
        <v>222</v>
      </c>
      <c r="AW182">
        <v>2</v>
      </c>
      <c r="AX182" t="s">
        <v>74</v>
      </c>
      <c r="AY182" t="s">
        <v>74</v>
      </c>
      <c r="AZ182" t="s">
        <v>74</v>
      </c>
      <c r="BA182" t="s">
        <v>74</v>
      </c>
      <c r="BB182">
        <v>651</v>
      </c>
      <c r="BC182">
        <v>656</v>
      </c>
      <c r="BD182" t="s">
        <v>74</v>
      </c>
      <c r="BE182" t="s">
        <v>3817</v>
      </c>
      <c r="BF182" t="str">
        <f>HYPERLINK("http://dx.doi.org/10.1111/nph.15623","http://dx.doi.org/10.1111/nph.15623")</f>
        <v>http://dx.doi.org/10.1111/nph.15623</v>
      </c>
      <c r="BG182" t="s">
        <v>74</v>
      </c>
      <c r="BH182" t="s">
        <v>74</v>
      </c>
      <c r="BI182">
        <v>6</v>
      </c>
      <c r="BJ182" t="s">
        <v>362</v>
      </c>
      <c r="BK182" t="s">
        <v>102</v>
      </c>
      <c r="BL182" t="s">
        <v>362</v>
      </c>
      <c r="BM182" t="s">
        <v>3818</v>
      </c>
      <c r="BN182">
        <v>30506801</v>
      </c>
      <c r="BO182" t="s">
        <v>279</v>
      </c>
      <c r="BP182" t="s">
        <v>74</v>
      </c>
      <c r="BQ182" t="s">
        <v>74</v>
      </c>
      <c r="BR182" t="s">
        <v>107</v>
      </c>
      <c r="BS182" t="s">
        <v>3819</v>
      </c>
      <c r="BT182" t="str">
        <f>HYPERLINK("https%3A%2F%2Fwww.webofscience.com%2Fwos%2Fwoscc%2Ffull-record%2FWOS:000465446300003","View Full Record in Web of Science")</f>
        <v>View Full Record in Web of Science</v>
      </c>
    </row>
    <row r="183" spans="1:72" x14ac:dyDescent="0.15">
      <c r="A183" t="s">
        <v>72</v>
      </c>
      <c r="B183" t="s">
        <v>3820</v>
      </c>
      <c r="C183" t="s">
        <v>74</v>
      </c>
      <c r="D183" t="s">
        <v>74</v>
      </c>
      <c r="E183" t="s">
        <v>74</v>
      </c>
      <c r="F183" t="s">
        <v>3821</v>
      </c>
      <c r="G183" t="s">
        <v>74</v>
      </c>
      <c r="H183" t="s">
        <v>74</v>
      </c>
      <c r="I183" t="s">
        <v>3822</v>
      </c>
      <c r="J183" t="s">
        <v>3823</v>
      </c>
      <c r="K183" t="s">
        <v>74</v>
      </c>
      <c r="L183" t="s">
        <v>74</v>
      </c>
      <c r="M183" t="s">
        <v>78</v>
      </c>
      <c r="N183" t="s">
        <v>79</v>
      </c>
      <c r="O183" t="s">
        <v>74</v>
      </c>
      <c r="P183" t="s">
        <v>74</v>
      </c>
      <c r="Q183" t="s">
        <v>74</v>
      </c>
      <c r="R183" t="s">
        <v>74</v>
      </c>
      <c r="S183" t="s">
        <v>74</v>
      </c>
      <c r="T183" t="s">
        <v>3824</v>
      </c>
      <c r="U183" t="s">
        <v>3825</v>
      </c>
      <c r="V183" t="s">
        <v>3826</v>
      </c>
      <c r="W183" t="s">
        <v>3827</v>
      </c>
      <c r="X183" t="s">
        <v>3828</v>
      </c>
      <c r="Y183" t="s">
        <v>3829</v>
      </c>
      <c r="Z183" t="s">
        <v>3830</v>
      </c>
      <c r="AA183" t="s">
        <v>3831</v>
      </c>
      <c r="AB183" t="s">
        <v>3832</v>
      </c>
      <c r="AC183" t="s">
        <v>3833</v>
      </c>
      <c r="AD183" t="s">
        <v>3834</v>
      </c>
      <c r="AE183" t="s">
        <v>3835</v>
      </c>
      <c r="AF183" t="s">
        <v>74</v>
      </c>
      <c r="AG183">
        <v>46</v>
      </c>
      <c r="AH183">
        <v>6</v>
      </c>
      <c r="AI183">
        <v>7</v>
      </c>
      <c r="AJ183">
        <v>0</v>
      </c>
      <c r="AK183">
        <v>4</v>
      </c>
      <c r="AL183" t="s">
        <v>576</v>
      </c>
      <c r="AM183" t="s">
        <v>577</v>
      </c>
      <c r="AN183" t="s">
        <v>578</v>
      </c>
      <c r="AO183" t="s">
        <v>3836</v>
      </c>
      <c r="AP183" t="s">
        <v>3837</v>
      </c>
      <c r="AQ183" t="s">
        <v>74</v>
      </c>
      <c r="AR183" t="s">
        <v>3838</v>
      </c>
      <c r="AS183" t="s">
        <v>3839</v>
      </c>
      <c r="AT183" t="s">
        <v>2547</v>
      </c>
      <c r="AU183">
        <v>2019</v>
      </c>
      <c r="AV183">
        <v>364</v>
      </c>
      <c r="AW183">
        <v>4</v>
      </c>
      <c r="AX183" t="s">
        <v>74</v>
      </c>
      <c r="AY183" t="s">
        <v>74</v>
      </c>
      <c r="AZ183" t="s">
        <v>74</v>
      </c>
      <c r="BA183" t="s">
        <v>74</v>
      </c>
      <c r="BB183" t="s">
        <v>74</v>
      </c>
      <c r="BC183" t="s">
        <v>74</v>
      </c>
      <c r="BD183">
        <v>58</v>
      </c>
      <c r="BE183" t="s">
        <v>3840</v>
      </c>
      <c r="BF183" t="str">
        <f>HYPERLINK("http://dx.doi.org/10.1007/s10509-019-3548-6","http://dx.doi.org/10.1007/s10509-019-3548-6")</f>
        <v>http://dx.doi.org/10.1007/s10509-019-3548-6</v>
      </c>
      <c r="BG183" t="s">
        <v>74</v>
      </c>
      <c r="BH183" t="s">
        <v>74</v>
      </c>
      <c r="BI183">
        <v>14</v>
      </c>
      <c r="BJ183" t="s">
        <v>2579</v>
      </c>
      <c r="BK183" t="s">
        <v>102</v>
      </c>
      <c r="BL183" t="s">
        <v>2579</v>
      </c>
      <c r="BM183" t="s">
        <v>3841</v>
      </c>
      <c r="BN183" t="s">
        <v>74</v>
      </c>
      <c r="BO183" t="s">
        <v>74</v>
      </c>
      <c r="BP183" t="s">
        <v>74</v>
      </c>
      <c r="BQ183" t="s">
        <v>74</v>
      </c>
      <c r="BR183" t="s">
        <v>107</v>
      </c>
      <c r="BS183" t="s">
        <v>3842</v>
      </c>
      <c r="BT183" t="str">
        <f>HYPERLINK("https%3A%2F%2Fwww.webofscience.com%2Fwos%2Fwoscc%2Ffull-record%2FWOS:000464765700005","View Full Record in Web of Science")</f>
        <v>View Full Record in Web of Science</v>
      </c>
    </row>
    <row r="184" spans="1:72" x14ac:dyDescent="0.15">
      <c r="A184" t="s">
        <v>72</v>
      </c>
      <c r="B184" t="s">
        <v>3843</v>
      </c>
      <c r="C184" t="s">
        <v>74</v>
      </c>
      <c r="D184" t="s">
        <v>74</v>
      </c>
      <c r="E184" t="s">
        <v>74</v>
      </c>
      <c r="F184" t="s">
        <v>3844</v>
      </c>
      <c r="G184" t="s">
        <v>74</v>
      </c>
      <c r="H184" t="s">
        <v>74</v>
      </c>
      <c r="I184" t="s">
        <v>3845</v>
      </c>
      <c r="J184" t="s">
        <v>3846</v>
      </c>
      <c r="K184" t="s">
        <v>74</v>
      </c>
      <c r="L184" t="s">
        <v>74</v>
      </c>
      <c r="M184" t="s">
        <v>78</v>
      </c>
      <c r="N184" t="s">
        <v>79</v>
      </c>
      <c r="O184" t="s">
        <v>74</v>
      </c>
      <c r="P184" t="s">
        <v>74</v>
      </c>
      <c r="Q184" t="s">
        <v>74</v>
      </c>
      <c r="R184" t="s">
        <v>74</v>
      </c>
      <c r="S184" t="s">
        <v>74</v>
      </c>
      <c r="T184" t="s">
        <v>3847</v>
      </c>
      <c r="U184" t="s">
        <v>3848</v>
      </c>
      <c r="V184" t="s">
        <v>3849</v>
      </c>
      <c r="W184" t="s">
        <v>3850</v>
      </c>
      <c r="X184" t="s">
        <v>3851</v>
      </c>
      <c r="Y184" t="s">
        <v>3852</v>
      </c>
      <c r="Z184" t="s">
        <v>3853</v>
      </c>
      <c r="AA184" t="s">
        <v>3854</v>
      </c>
      <c r="AB184" t="s">
        <v>3855</v>
      </c>
      <c r="AC184" t="s">
        <v>3856</v>
      </c>
      <c r="AD184" t="s">
        <v>3857</v>
      </c>
      <c r="AE184" t="s">
        <v>3858</v>
      </c>
      <c r="AF184" t="s">
        <v>74</v>
      </c>
      <c r="AG184">
        <v>59</v>
      </c>
      <c r="AH184">
        <v>11</v>
      </c>
      <c r="AI184">
        <v>11</v>
      </c>
      <c r="AJ184">
        <v>0</v>
      </c>
      <c r="AK184">
        <v>8</v>
      </c>
      <c r="AL184" t="s">
        <v>378</v>
      </c>
      <c r="AM184" t="s">
        <v>93</v>
      </c>
      <c r="AN184" t="s">
        <v>379</v>
      </c>
      <c r="AO184" t="s">
        <v>3859</v>
      </c>
      <c r="AP184" t="s">
        <v>3860</v>
      </c>
      <c r="AQ184" t="s">
        <v>74</v>
      </c>
      <c r="AR184" t="s">
        <v>3861</v>
      </c>
      <c r="AS184" t="s">
        <v>3862</v>
      </c>
      <c r="AT184" t="s">
        <v>2710</v>
      </c>
      <c r="AU184">
        <v>2019</v>
      </c>
      <c r="AV184">
        <v>177</v>
      </c>
      <c r="AW184" t="s">
        <v>74</v>
      </c>
      <c r="AX184" t="s">
        <v>74</v>
      </c>
      <c r="AY184" t="s">
        <v>74</v>
      </c>
      <c r="AZ184" t="s">
        <v>74</v>
      </c>
      <c r="BA184" t="s">
        <v>74</v>
      </c>
      <c r="BB184">
        <v>1</v>
      </c>
      <c r="BC184">
        <v>14</v>
      </c>
      <c r="BD184" t="s">
        <v>74</v>
      </c>
      <c r="BE184" t="s">
        <v>3863</v>
      </c>
      <c r="BF184" t="str">
        <f>HYPERLINK("http://dx.doi.org/10.1016/j.csr.2019.03.001","http://dx.doi.org/10.1016/j.csr.2019.03.001")</f>
        <v>http://dx.doi.org/10.1016/j.csr.2019.03.001</v>
      </c>
      <c r="BG184" t="s">
        <v>74</v>
      </c>
      <c r="BH184" t="s">
        <v>74</v>
      </c>
      <c r="BI184">
        <v>14</v>
      </c>
      <c r="BJ184" t="s">
        <v>277</v>
      </c>
      <c r="BK184" t="s">
        <v>102</v>
      </c>
      <c r="BL184" t="s">
        <v>277</v>
      </c>
      <c r="BM184" t="s">
        <v>3864</v>
      </c>
      <c r="BN184" t="s">
        <v>74</v>
      </c>
      <c r="BO184" t="s">
        <v>74</v>
      </c>
      <c r="BP184" t="s">
        <v>74</v>
      </c>
      <c r="BQ184" t="s">
        <v>74</v>
      </c>
      <c r="BR184" t="s">
        <v>107</v>
      </c>
      <c r="BS184" t="s">
        <v>3865</v>
      </c>
      <c r="BT184" t="str">
        <f>HYPERLINK("https%3A%2F%2Fwww.webofscience.com%2Fwos%2Fwoscc%2Ffull-record%2FWOS:000464771500001","View Full Record in Web of Science")</f>
        <v>View Full Record in Web of Science</v>
      </c>
    </row>
    <row r="185" spans="1:72" x14ac:dyDescent="0.15">
      <c r="A185" t="s">
        <v>72</v>
      </c>
      <c r="B185" t="s">
        <v>3866</v>
      </c>
      <c r="C185" t="s">
        <v>74</v>
      </c>
      <c r="D185" t="s">
        <v>74</v>
      </c>
      <c r="E185" t="s">
        <v>74</v>
      </c>
      <c r="F185" t="s">
        <v>3867</v>
      </c>
      <c r="G185" t="s">
        <v>74</v>
      </c>
      <c r="H185" t="s">
        <v>74</v>
      </c>
      <c r="I185" t="s">
        <v>3868</v>
      </c>
      <c r="J185" t="s">
        <v>3869</v>
      </c>
      <c r="K185" t="s">
        <v>74</v>
      </c>
      <c r="L185" t="s">
        <v>74</v>
      </c>
      <c r="M185" t="s">
        <v>78</v>
      </c>
      <c r="N185" t="s">
        <v>79</v>
      </c>
      <c r="O185" t="s">
        <v>74</v>
      </c>
      <c r="P185" t="s">
        <v>74</v>
      </c>
      <c r="Q185" t="s">
        <v>74</v>
      </c>
      <c r="R185" t="s">
        <v>74</v>
      </c>
      <c r="S185" t="s">
        <v>74</v>
      </c>
      <c r="T185" t="s">
        <v>3870</v>
      </c>
      <c r="U185" t="s">
        <v>3871</v>
      </c>
      <c r="V185" t="s">
        <v>3872</v>
      </c>
      <c r="W185" t="s">
        <v>3873</v>
      </c>
      <c r="X185" t="s">
        <v>3874</v>
      </c>
      <c r="Y185" t="s">
        <v>3875</v>
      </c>
      <c r="Z185" t="s">
        <v>3876</v>
      </c>
      <c r="AA185" t="s">
        <v>3877</v>
      </c>
      <c r="AB185" t="s">
        <v>3878</v>
      </c>
      <c r="AC185" t="s">
        <v>3879</v>
      </c>
      <c r="AD185" t="s">
        <v>3880</v>
      </c>
      <c r="AE185" t="s">
        <v>3881</v>
      </c>
      <c r="AF185" t="s">
        <v>74</v>
      </c>
      <c r="AG185">
        <v>75</v>
      </c>
      <c r="AH185">
        <v>9</v>
      </c>
      <c r="AI185">
        <v>9</v>
      </c>
      <c r="AJ185">
        <v>1</v>
      </c>
      <c r="AK185">
        <v>18</v>
      </c>
      <c r="AL185" t="s">
        <v>550</v>
      </c>
      <c r="AM185" t="s">
        <v>551</v>
      </c>
      <c r="AN185" t="s">
        <v>552</v>
      </c>
      <c r="AO185" t="s">
        <v>3882</v>
      </c>
      <c r="AP185" t="s">
        <v>3883</v>
      </c>
      <c r="AQ185" t="s">
        <v>74</v>
      </c>
      <c r="AR185" t="s">
        <v>3884</v>
      </c>
      <c r="AS185" t="s">
        <v>3885</v>
      </c>
      <c r="AT185" t="s">
        <v>2547</v>
      </c>
      <c r="AU185">
        <v>2019</v>
      </c>
      <c r="AV185">
        <v>26</v>
      </c>
      <c r="AW185">
        <v>10</v>
      </c>
      <c r="AX185" t="s">
        <v>74</v>
      </c>
      <c r="AY185" t="s">
        <v>74</v>
      </c>
      <c r="AZ185" t="s">
        <v>74</v>
      </c>
      <c r="BA185" t="s">
        <v>74</v>
      </c>
      <c r="BB185">
        <v>9640</v>
      </c>
      <c r="BC185">
        <v>9648</v>
      </c>
      <c r="BD185" t="s">
        <v>74</v>
      </c>
      <c r="BE185" t="s">
        <v>3886</v>
      </c>
      <c r="BF185" t="str">
        <f>HYPERLINK("http://dx.doi.org/10.1007/s11356-019-04406-9","http://dx.doi.org/10.1007/s11356-019-04406-9")</f>
        <v>http://dx.doi.org/10.1007/s11356-019-04406-9</v>
      </c>
      <c r="BG185" t="s">
        <v>74</v>
      </c>
      <c r="BH185" t="s">
        <v>74</v>
      </c>
      <c r="BI185">
        <v>9</v>
      </c>
      <c r="BJ185" t="s">
        <v>2296</v>
      </c>
      <c r="BK185" t="s">
        <v>102</v>
      </c>
      <c r="BL185" t="s">
        <v>2297</v>
      </c>
      <c r="BM185" t="s">
        <v>3887</v>
      </c>
      <c r="BN185">
        <v>30729429</v>
      </c>
      <c r="BO185" t="s">
        <v>403</v>
      </c>
      <c r="BP185" t="s">
        <v>74</v>
      </c>
      <c r="BQ185" t="s">
        <v>74</v>
      </c>
      <c r="BR185" t="s">
        <v>107</v>
      </c>
      <c r="BS185" t="s">
        <v>3888</v>
      </c>
      <c r="BT185" t="str">
        <f>HYPERLINK("https%3A%2F%2Fwww.webofscience.com%2Fwos%2Fwoscc%2Ffull-record%2FWOS:000464852200020","View Full Record in Web of Science")</f>
        <v>View Full Record in Web of Science</v>
      </c>
    </row>
    <row r="186" spans="1:72" x14ac:dyDescent="0.15">
      <c r="A186" t="s">
        <v>72</v>
      </c>
      <c r="B186" t="s">
        <v>3889</v>
      </c>
      <c r="C186" t="s">
        <v>74</v>
      </c>
      <c r="D186" t="s">
        <v>74</v>
      </c>
      <c r="E186" t="s">
        <v>74</v>
      </c>
      <c r="F186" t="s">
        <v>3890</v>
      </c>
      <c r="G186" t="s">
        <v>74</v>
      </c>
      <c r="H186" t="s">
        <v>74</v>
      </c>
      <c r="I186" t="s">
        <v>3891</v>
      </c>
      <c r="J186" t="s">
        <v>3892</v>
      </c>
      <c r="K186" t="s">
        <v>74</v>
      </c>
      <c r="L186" t="s">
        <v>74</v>
      </c>
      <c r="M186" t="s">
        <v>78</v>
      </c>
      <c r="N186" t="s">
        <v>79</v>
      </c>
      <c r="O186" t="s">
        <v>74</v>
      </c>
      <c r="P186" t="s">
        <v>74</v>
      </c>
      <c r="Q186" t="s">
        <v>74</v>
      </c>
      <c r="R186" t="s">
        <v>74</v>
      </c>
      <c r="S186" t="s">
        <v>74</v>
      </c>
      <c r="T186" t="s">
        <v>3893</v>
      </c>
      <c r="U186" t="s">
        <v>3894</v>
      </c>
      <c r="V186" t="s">
        <v>3895</v>
      </c>
      <c r="W186" t="s">
        <v>3896</v>
      </c>
      <c r="X186" t="s">
        <v>3897</v>
      </c>
      <c r="Y186" t="s">
        <v>3898</v>
      </c>
      <c r="Z186" t="s">
        <v>3899</v>
      </c>
      <c r="AA186" t="s">
        <v>3900</v>
      </c>
      <c r="AB186" t="s">
        <v>3901</v>
      </c>
      <c r="AC186" t="s">
        <v>3902</v>
      </c>
      <c r="AD186" t="s">
        <v>3903</v>
      </c>
      <c r="AE186" t="s">
        <v>3904</v>
      </c>
      <c r="AF186" t="s">
        <v>74</v>
      </c>
      <c r="AG186">
        <v>70</v>
      </c>
      <c r="AH186">
        <v>4</v>
      </c>
      <c r="AI186">
        <v>4</v>
      </c>
      <c r="AJ186">
        <v>0</v>
      </c>
      <c r="AK186">
        <v>20</v>
      </c>
      <c r="AL186" t="s">
        <v>153</v>
      </c>
      <c r="AM186" t="s">
        <v>154</v>
      </c>
      <c r="AN186" t="s">
        <v>155</v>
      </c>
      <c r="AO186" t="s">
        <v>3905</v>
      </c>
      <c r="AP186" t="s">
        <v>3906</v>
      </c>
      <c r="AQ186" t="s">
        <v>74</v>
      </c>
      <c r="AR186" t="s">
        <v>3907</v>
      </c>
      <c r="AS186" t="s">
        <v>3908</v>
      </c>
      <c r="AT186" t="s">
        <v>2547</v>
      </c>
      <c r="AU186">
        <v>2019</v>
      </c>
      <c r="AV186">
        <v>55</v>
      </c>
      <c r="AW186">
        <v>2</v>
      </c>
      <c r="AX186" t="s">
        <v>74</v>
      </c>
      <c r="AY186" t="s">
        <v>74</v>
      </c>
      <c r="AZ186" t="s">
        <v>74</v>
      </c>
      <c r="BA186" t="s">
        <v>74</v>
      </c>
      <c r="BB186">
        <v>314</v>
      </c>
      <c r="BC186">
        <v>328</v>
      </c>
      <c r="BD186" t="s">
        <v>74</v>
      </c>
      <c r="BE186" t="s">
        <v>3909</v>
      </c>
      <c r="BF186" t="str">
        <f>HYPERLINK("http://dx.doi.org/10.1111/jpy.12813","http://dx.doi.org/10.1111/jpy.12813")</f>
        <v>http://dx.doi.org/10.1111/jpy.12813</v>
      </c>
      <c r="BG186" t="s">
        <v>74</v>
      </c>
      <c r="BH186" t="s">
        <v>74</v>
      </c>
      <c r="BI186">
        <v>15</v>
      </c>
      <c r="BJ186" t="s">
        <v>3910</v>
      </c>
      <c r="BK186" t="s">
        <v>102</v>
      </c>
      <c r="BL186" t="s">
        <v>3910</v>
      </c>
      <c r="BM186" t="s">
        <v>3911</v>
      </c>
      <c r="BN186">
        <v>30449029</v>
      </c>
      <c r="BO186" t="s">
        <v>2808</v>
      </c>
      <c r="BP186" t="s">
        <v>74</v>
      </c>
      <c r="BQ186" t="s">
        <v>74</v>
      </c>
      <c r="BR186" t="s">
        <v>107</v>
      </c>
      <c r="BS186" t="s">
        <v>3912</v>
      </c>
      <c r="BT186" t="str">
        <f>HYPERLINK("https%3A%2F%2Fwww.webofscience.com%2Fwos%2Fwoscc%2Ffull-record%2FWOS:000465097000006","View Full Record in Web of Science")</f>
        <v>View Full Record in Web of Science</v>
      </c>
    </row>
    <row r="187" spans="1:72" x14ac:dyDescent="0.15">
      <c r="A187" t="s">
        <v>72</v>
      </c>
      <c r="B187" t="s">
        <v>2211</v>
      </c>
      <c r="C187" t="s">
        <v>74</v>
      </c>
      <c r="D187" t="s">
        <v>74</v>
      </c>
      <c r="E187" t="s">
        <v>74</v>
      </c>
      <c r="F187" t="s">
        <v>2212</v>
      </c>
      <c r="G187" t="s">
        <v>74</v>
      </c>
      <c r="H187" t="s">
        <v>74</v>
      </c>
      <c r="I187" t="s">
        <v>3913</v>
      </c>
      <c r="J187" t="s">
        <v>3892</v>
      </c>
      <c r="K187" t="s">
        <v>74</v>
      </c>
      <c r="L187" t="s">
        <v>74</v>
      </c>
      <c r="M187" t="s">
        <v>78</v>
      </c>
      <c r="N187" t="s">
        <v>79</v>
      </c>
      <c r="O187" t="s">
        <v>74</v>
      </c>
      <c r="P187" t="s">
        <v>74</v>
      </c>
      <c r="Q187" t="s">
        <v>74</v>
      </c>
      <c r="R187" t="s">
        <v>74</v>
      </c>
      <c r="S187" t="s">
        <v>74</v>
      </c>
      <c r="T187" t="s">
        <v>3914</v>
      </c>
      <c r="U187" t="s">
        <v>3915</v>
      </c>
      <c r="V187" t="s">
        <v>3916</v>
      </c>
      <c r="W187" t="s">
        <v>3917</v>
      </c>
      <c r="X187" t="s">
        <v>2218</v>
      </c>
      <c r="Y187" t="s">
        <v>3918</v>
      </c>
      <c r="Z187" t="s">
        <v>2220</v>
      </c>
      <c r="AA187" t="s">
        <v>2221</v>
      </c>
      <c r="AB187" t="s">
        <v>2222</v>
      </c>
      <c r="AC187" t="s">
        <v>2223</v>
      </c>
      <c r="AD187" t="s">
        <v>2224</v>
      </c>
      <c r="AE187" t="s">
        <v>3919</v>
      </c>
      <c r="AF187" t="s">
        <v>74</v>
      </c>
      <c r="AG187">
        <v>101</v>
      </c>
      <c r="AH187">
        <v>14</v>
      </c>
      <c r="AI187">
        <v>14</v>
      </c>
      <c r="AJ187">
        <v>1</v>
      </c>
      <c r="AK187">
        <v>16</v>
      </c>
      <c r="AL187" t="s">
        <v>153</v>
      </c>
      <c r="AM187" t="s">
        <v>154</v>
      </c>
      <c r="AN187" t="s">
        <v>155</v>
      </c>
      <c r="AO187" t="s">
        <v>3905</v>
      </c>
      <c r="AP187" t="s">
        <v>3906</v>
      </c>
      <c r="AQ187" t="s">
        <v>74</v>
      </c>
      <c r="AR187" t="s">
        <v>3907</v>
      </c>
      <c r="AS187" t="s">
        <v>3908</v>
      </c>
      <c r="AT187" t="s">
        <v>2547</v>
      </c>
      <c r="AU187">
        <v>2019</v>
      </c>
      <c r="AV187">
        <v>55</v>
      </c>
      <c r="AW187">
        <v>2</v>
      </c>
      <c r="AX187" t="s">
        <v>74</v>
      </c>
      <c r="AY187" t="s">
        <v>74</v>
      </c>
      <c r="AZ187" t="s">
        <v>74</v>
      </c>
      <c r="BA187" t="s">
        <v>74</v>
      </c>
      <c r="BB187">
        <v>380</v>
      </c>
      <c r="BC187">
        <v>392</v>
      </c>
      <c r="BD187" t="s">
        <v>74</v>
      </c>
      <c r="BE187" t="s">
        <v>3920</v>
      </c>
      <c r="BF187" t="str">
        <f>HYPERLINK("http://dx.doi.org/10.1111/jpy.12820","http://dx.doi.org/10.1111/jpy.12820")</f>
        <v>http://dx.doi.org/10.1111/jpy.12820</v>
      </c>
      <c r="BG187" t="s">
        <v>74</v>
      </c>
      <c r="BH187" t="s">
        <v>74</v>
      </c>
      <c r="BI187">
        <v>13</v>
      </c>
      <c r="BJ187" t="s">
        <v>3910</v>
      </c>
      <c r="BK187" t="s">
        <v>102</v>
      </c>
      <c r="BL187" t="s">
        <v>3910</v>
      </c>
      <c r="BM187" t="s">
        <v>3911</v>
      </c>
      <c r="BN187">
        <v>30506918</v>
      </c>
      <c r="BO187" t="s">
        <v>74</v>
      </c>
      <c r="BP187" t="s">
        <v>74</v>
      </c>
      <c r="BQ187" t="s">
        <v>74</v>
      </c>
      <c r="BR187" t="s">
        <v>107</v>
      </c>
      <c r="BS187" t="s">
        <v>3921</v>
      </c>
      <c r="BT187" t="str">
        <f>HYPERLINK("https%3A%2F%2Fwww.webofscience.com%2Fwos%2Fwoscc%2Ffull-record%2FWOS:000465097000011","View Full Record in Web of Science")</f>
        <v>View Full Record in Web of Science</v>
      </c>
    </row>
    <row r="188" spans="1:72" x14ac:dyDescent="0.15">
      <c r="A188" t="s">
        <v>72</v>
      </c>
      <c r="B188" t="s">
        <v>3922</v>
      </c>
      <c r="C188" t="s">
        <v>74</v>
      </c>
      <c r="D188" t="s">
        <v>74</v>
      </c>
      <c r="E188" t="s">
        <v>74</v>
      </c>
      <c r="F188" t="s">
        <v>3923</v>
      </c>
      <c r="G188" t="s">
        <v>74</v>
      </c>
      <c r="H188" t="s">
        <v>74</v>
      </c>
      <c r="I188" t="s">
        <v>3924</v>
      </c>
      <c r="J188" t="s">
        <v>3925</v>
      </c>
      <c r="K188" t="s">
        <v>74</v>
      </c>
      <c r="L188" t="s">
        <v>74</v>
      </c>
      <c r="M188" t="s">
        <v>78</v>
      </c>
      <c r="N188" t="s">
        <v>79</v>
      </c>
      <c r="O188" t="s">
        <v>74</v>
      </c>
      <c r="P188" t="s">
        <v>74</v>
      </c>
      <c r="Q188" t="s">
        <v>74</v>
      </c>
      <c r="R188" t="s">
        <v>74</v>
      </c>
      <c r="S188" t="s">
        <v>74</v>
      </c>
      <c r="T188" t="s">
        <v>74</v>
      </c>
      <c r="U188" t="s">
        <v>3926</v>
      </c>
      <c r="V188" t="s">
        <v>3927</v>
      </c>
      <c r="W188" t="s">
        <v>3928</v>
      </c>
      <c r="X188" t="s">
        <v>3929</v>
      </c>
      <c r="Y188" t="s">
        <v>3930</v>
      </c>
      <c r="Z188" t="s">
        <v>3931</v>
      </c>
      <c r="AA188" t="s">
        <v>3932</v>
      </c>
      <c r="AB188" t="s">
        <v>3933</v>
      </c>
      <c r="AC188" t="s">
        <v>3934</v>
      </c>
      <c r="AD188" t="s">
        <v>3935</v>
      </c>
      <c r="AE188" t="s">
        <v>3936</v>
      </c>
      <c r="AF188" t="s">
        <v>74</v>
      </c>
      <c r="AG188">
        <v>73</v>
      </c>
      <c r="AH188">
        <v>11</v>
      </c>
      <c r="AI188">
        <v>12</v>
      </c>
      <c r="AJ188">
        <v>4</v>
      </c>
      <c r="AK188">
        <v>21</v>
      </c>
      <c r="AL188" t="s">
        <v>153</v>
      </c>
      <c r="AM188" t="s">
        <v>154</v>
      </c>
      <c r="AN188" t="s">
        <v>155</v>
      </c>
      <c r="AO188" t="s">
        <v>3937</v>
      </c>
      <c r="AP188" t="s">
        <v>74</v>
      </c>
      <c r="AQ188" t="s">
        <v>74</v>
      </c>
      <c r="AR188" t="s">
        <v>3938</v>
      </c>
      <c r="AS188" t="s">
        <v>3939</v>
      </c>
      <c r="AT188" t="s">
        <v>2547</v>
      </c>
      <c r="AU188">
        <v>2019</v>
      </c>
      <c r="AV188">
        <v>17</v>
      </c>
      <c r="AW188">
        <v>4</v>
      </c>
      <c r="AX188" t="s">
        <v>74</v>
      </c>
      <c r="AY188" t="s">
        <v>74</v>
      </c>
      <c r="AZ188" t="s">
        <v>74</v>
      </c>
      <c r="BA188" t="s">
        <v>74</v>
      </c>
      <c r="BB188">
        <v>292</v>
      </c>
      <c r="BC188">
        <v>303</v>
      </c>
      <c r="BD188" t="s">
        <v>74</v>
      </c>
      <c r="BE188" t="s">
        <v>3940</v>
      </c>
      <c r="BF188" t="str">
        <f>HYPERLINK("http://dx.doi.org/10.1002/lom3.10314","http://dx.doi.org/10.1002/lom3.10314")</f>
        <v>http://dx.doi.org/10.1002/lom3.10314</v>
      </c>
      <c r="BG188" t="s">
        <v>74</v>
      </c>
      <c r="BH188" t="s">
        <v>74</v>
      </c>
      <c r="BI188">
        <v>12</v>
      </c>
      <c r="BJ188" t="s">
        <v>249</v>
      </c>
      <c r="BK188" t="s">
        <v>102</v>
      </c>
      <c r="BL188" t="s">
        <v>250</v>
      </c>
      <c r="BM188" t="s">
        <v>3941</v>
      </c>
      <c r="BN188" t="s">
        <v>74</v>
      </c>
      <c r="BO188" t="s">
        <v>279</v>
      </c>
      <c r="BP188" t="s">
        <v>74</v>
      </c>
      <c r="BQ188" t="s">
        <v>74</v>
      </c>
      <c r="BR188" t="s">
        <v>107</v>
      </c>
      <c r="BS188" t="s">
        <v>3942</v>
      </c>
      <c r="BT188" t="str">
        <f>HYPERLINK("https%3A%2F%2Fwww.webofscience.com%2Fwos%2Fwoscc%2Ffull-record%2FWOS:000464952100005","View Full Record in Web of Science")</f>
        <v>View Full Record in Web of Science</v>
      </c>
    </row>
    <row r="189" spans="1:72" x14ac:dyDescent="0.15">
      <c r="A189" t="s">
        <v>72</v>
      </c>
      <c r="B189" t="s">
        <v>3943</v>
      </c>
      <c r="C189" t="s">
        <v>74</v>
      </c>
      <c r="D189" t="s">
        <v>74</v>
      </c>
      <c r="E189" t="s">
        <v>74</v>
      </c>
      <c r="F189" t="s">
        <v>3944</v>
      </c>
      <c r="G189" t="s">
        <v>74</v>
      </c>
      <c r="H189" t="s">
        <v>74</v>
      </c>
      <c r="I189" t="s">
        <v>3945</v>
      </c>
      <c r="J189" t="s">
        <v>3946</v>
      </c>
      <c r="K189" t="s">
        <v>74</v>
      </c>
      <c r="L189" t="s">
        <v>74</v>
      </c>
      <c r="M189" t="s">
        <v>78</v>
      </c>
      <c r="N189" t="s">
        <v>79</v>
      </c>
      <c r="O189" t="s">
        <v>74</v>
      </c>
      <c r="P189" t="s">
        <v>74</v>
      </c>
      <c r="Q189" t="s">
        <v>74</v>
      </c>
      <c r="R189" t="s">
        <v>74</v>
      </c>
      <c r="S189" t="s">
        <v>74</v>
      </c>
      <c r="T189" t="s">
        <v>3947</v>
      </c>
      <c r="U189" t="s">
        <v>3948</v>
      </c>
      <c r="V189" t="s">
        <v>3949</v>
      </c>
      <c r="W189" t="s">
        <v>3950</v>
      </c>
      <c r="X189" t="s">
        <v>3951</v>
      </c>
      <c r="Y189" t="s">
        <v>3952</v>
      </c>
      <c r="Z189" t="s">
        <v>3953</v>
      </c>
      <c r="AA189" t="s">
        <v>3954</v>
      </c>
      <c r="AB189" t="s">
        <v>3955</v>
      </c>
      <c r="AC189" t="s">
        <v>3956</v>
      </c>
      <c r="AD189" t="s">
        <v>3957</v>
      </c>
      <c r="AE189" t="s">
        <v>3958</v>
      </c>
      <c r="AF189" t="s">
        <v>74</v>
      </c>
      <c r="AG189">
        <v>58</v>
      </c>
      <c r="AH189">
        <v>19</v>
      </c>
      <c r="AI189">
        <v>21</v>
      </c>
      <c r="AJ189">
        <v>0</v>
      </c>
      <c r="AK189">
        <v>13</v>
      </c>
      <c r="AL189" t="s">
        <v>576</v>
      </c>
      <c r="AM189" t="s">
        <v>607</v>
      </c>
      <c r="AN189" t="s">
        <v>3493</v>
      </c>
      <c r="AO189" t="s">
        <v>3959</v>
      </c>
      <c r="AP189" t="s">
        <v>3960</v>
      </c>
      <c r="AQ189" t="s">
        <v>74</v>
      </c>
      <c r="AR189" t="s">
        <v>3961</v>
      </c>
      <c r="AS189" t="s">
        <v>3962</v>
      </c>
      <c r="AT189" t="s">
        <v>2547</v>
      </c>
      <c r="AU189">
        <v>2019</v>
      </c>
      <c r="AV189">
        <v>77</v>
      </c>
      <c r="AW189">
        <v>3</v>
      </c>
      <c r="AX189" t="s">
        <v>74</v>
      </c>
      <c r="AY189" t="s">
        <v>74</v>
      </c>
      <c r="AZ189" t="s">
        <v>74</v>
      </c>
      <c r="BA189" t="s">
        <v>74</v>
      </c>
      <c r="BB189">
        <v>587</v>
      </c>
      <c r="BC189">
        <v>596</v>
      </c>
      <c r="BD189" t="s">
        <v>74</v>
      </c>
      <c r="BE189" t="s">
        <v>3963</v>
      </c>
      <c r="BF189" t="str">
        <f>HYPERLINK("http://dx.doi.org/10.1007/s00248-018-1256-3","http://dx.doi.org/10.1007/s00248-018-1256-3")</f>
        <v>http://dx.doi.org/10.1007/s00248-018-1256-3</v>
      </c>
      <c r="BG189" t="s">
        <v>74</v>
      </c>
      <c r="BH189" t="s">
        <v>74</v>
      </c>
      <c r="BI189">
        <v>10</v>
      </c>
      <c r="BJ189" t="s">
        <v>3964</v>
      </c>
      <c r="BK189" t="s">
        <v>102</v>
      </c>
      <c r="BL189" t="s">
        <v>3965</v>
      </c>
      <c r="BM189" t="s">
        <v>3966</v>
      </c>
      <c r="BN189">
        <v>30187088</v>
      </c>
      <c r="BO189" t="s">
        <v>403</v>
      </c>
      <c r="BP189" t="s">
        <v>74</v>
      </c>
      <c r="BQ189" t="s">
        <v>74</v>
      </c>
      <c r="BR189" t="s">
        <v>107</v>
      </c>
      <c r="BS189" t="s">
        <v>3967</v>
      </c>
      <c r="BT189" t="str">
        <f>HYPERLINK("https%3A%2F%2Fwww.webofscience.com%2Fwos%2Fwoscc%2Ffull-record%2FWOS:000464747100003","View Full Record in Web of Science")</f>
        <v>View Full Record in Web of Science</v>
      </c>
    </row>
    <row r="190" spans="1:72" x14ac:dyDescent="0.15">
      <c r="A190" t="s">
        <v>72</v>
      </c>
      <c r="B190" t="s">
        <v>3968</v>
      </c>
      <c r="C190" t="s">
        <v>74</v>
      </c>
      <c r="D190" t="s">
        <v>74</v>
      </c>
      <c r="E190" t="s">
        <v>74</v>
      </c>
      <c r="F190" t="s">
        <v>3969</v>
      </c>
      <c r="G190" t="s">
        <v>74</v>
      </c>
      <c r="H190" t="s">
        <v>74</v>
      </c>
      <c r="I190" t="s">
        <v>3970</v>
      </c>
      <c r="J190" t="s">
        <v>3971</v>
      </c>
      <c r="K190" t="s">
        <v>74</v>
      </c>
      <c r="L190" t="s">
        <v>74</v>
      </c>
      <c r="M190" t="s">
        <v>78</v>
      </c>
      <c r="N190" t="s">
        <v>79</v>
      </c>
      <c r="O190" t="s">
        <v>74</v>
      </c>
      <c r="P190" t="s">
        <v>74</v>
      </c>
      <c r="Q190" t="s">
        <v>74</v>
      </c>
      <c r="R190" t="s">
        <v>74</v>
      </c>
      <c r="S190" t="s">
        <v>74</v>
      </c>
      <c r="T190" t="s">
        <v>3972</v>
      </c>
      <c r="U190" t="s">
        <v>3973</v>
      </c>
      <c r="V190" t="s">
        <v>3974</v>
      </c>
      <c r="W190" t="s">
        <v>3975</v>
      </c>
      <c r="X190" t="s">
        <v>3976</v>
      </c>
      <c r="Y190" t="s">
        <v>3977</v>
      </c>
      <c r="Z190" t="s">
        <v>3978</v>
      </c>
      <c r="AA190" t="s">
        <v>3979</v>
      </c>
      <c r="AB190" t="s">
        <v>3980</v>
      </c>
      <c r="AC190" t="s">
        <v>3981</v>
      </c>
      <c r="AD190" t="s">
        <v>3982</v>
      </c>
      <c r="AE190" t="s">
        <v>3983</v>
      </c>
      <c r="AF190" t="s">
        <v>74</v>
      </c>
      <c r="AG190">
        <v>43</v>
      </c>
      <c r="AH190">
        <v>10</v>
      </c>
      <c r="AI190">
        <v>10</v>
      </c>
      <c r="AJ190">
        <v>0</v>
      </c>
      <c r="AK190">
        <v>18</v>
      </c>
      <c r="AL190" t="s">
        <v>3984</v>
      </c>
      <c r="AM190" t="s">
        <v>1004</v>
      </c>
      <c r="AN190" t="s">
        <v>3985</v>
      </c>
      <c r="AO190" t="s">
        <v>3986</v>
      </c>
      <c r="AP190" t="s">
        <v>3987</v>
      </c>
      <c r="AQ190" t="s">
        <v>74</v>
      </c>
      <c r="AR190" t="s">
        <v>3988</v>
      </c>
      <c r="AS190" t="s">
        <v>3989</v>
      </c>
      <c r="AT190" t="s">
        <v>2547</v>
      </c>
      <c r="AU190">
        <v>2019</v>
      </c>
      <c r="AV190">
        <v>222</v>
      </c>
      <c r="AW190">
        <v>7</v>
      </c>
      <c r="AX190" t="s">
        <v>74</v>
      </c>
      <c r="AY190" t="s">
        <v>74</v>
      </c>
      <c r="AZ190" t="s">
        <v>74</v>
      </c>
      <c r="BA190" t="s">
        <v>74</v>
      </c>
      <c r="BB190" t="s">
        <v>74</v>
      </c>
      <c r="BC190" t="s">
        <v>74</v>
      </c>
      <c r="BD190" t="s">
        <v>3990</v>
      </c>
      <c r="BE190" t="s">
        <v>3991</v>
      </c>
      <c r="BF190" t="str">
        <f>HYPERLINK("http://dx.doi.org/10.1242/jeb.198622","http://dx.doi.org/10.1242/jeb.198622")</f>
        <v>http://dx.doi.org/10.1242/jeb.198622</v>
      </c>
      <c r="BG190" t="s">
        <v>74</v>
      </c>
      <c r="BH190" t="s">
        <v>74</v>
      </c>
      <c r="BI190">
        <v>10</v>
      </c>
      <c r="BJ190" t="s">
        <v>3992</v>
      </c>
      <c r="BK190" t="s">
        <v>102</v>
      </c>
      <c r="BL190" t="s">
        <v>3993</v>
      </c>
      <c r="BM190" t="s">
        <v>3994</v>
      </c>
      <c r="BN190">
        <v>30846536</v>
      </c>
      <c r="BO190" t="s">
        <v>198</v>
      </c>
      <c r="BP190" t="s">
        <v>74</v>
      </c>
      <c r="BQ190" t="s">
        <v>74</v>
      </c>
      <c r="BR190" t="s">
        <v>107</v>
      </c>
      <c r="BS190" t="s">
        <v>3995</v>
      </c>
      <c r="BT190" t="str">
        <f>HYPERLINK("https%3A%2F%2Fwww.webofscience.com%2Fwos%2Fwoscc%2Ffull-record%2FWOS:000464592800020","View Full Record in Web of Science")</f>
        <v>View Full Record in Web of Science</v>
      </c>
    </row>
    <row r="191" spans="1:72" x14ac:dyDescent="0.15">
      <c r="A191" t="s">
        <v>72</v>
      </c>
      <c r="B191" t="s">
        <v>3996</v>
      </c>
      <c r="C191" t="s">
        <v>74</v>
      </c>
      <c r="D191" t="s">
        <v>74</v>
      </c>
      <c r="E191" t="s">
        <v>74</v>
      </c>
      <c r="F191" t="s">
        <v>3997</v>
      </c>
      <c r="G191" t="s">
        <v>74</v>
      </c>
      <c r="H191" t="s">
        <v>74</v>
      </c>
      <c r="I191" t="s">
        <v>3998</v>
      </c>
      <c r="J191" t="s">
        <v>3999</v>
      </c>
      <c r="K191" t="s">
        <v>74</v>
      </c>
      <c r="L191" t="s">
        <v>74</v>
      </c>
      <c r="M191" t="s">
        <v>78</v>
      </c>
      <c r="N191" t="s">
        <v>79</v>
      </c>
      <c r="O191" t="s">
        <v>74</v>
      </c>
      <c r="P191" t="s">
        <v>74</v>
      </c>
      <c r="Q191" t="s">
        <v>74</v>
      </c>
      <c r="R191" t="s">
        <v>74</v>
      </c>
      <c r="S191" t="s">
        <v>74</v>
      </c>
      <c r="T191" t="s">
        <v>74</v>
      </c>
      <c r="U191" t="s">
        <v>4000</v>
      </c>
      <c r="V191" t="s">
        <v>4001</v>
      </c>
      <c r="W191" t="s">
        <v>4002</v>
      </c>
      <c r="X191" t="s">
        <v>4003</v>
      </c>
      <c r="Y191" t="s">
        <v>4004</v>
      </c>
      <c r="Z191" t="s">
        <v>4005</v>
      </c>
      <c r="AA191" t="s">
        <v>4006</v>
      </c>
      <c r="AB191" t="s">
        <v>4007</v>
      </c>
      <c r="AC191" t="s">
        <v>4008</v>
      </c>
      <c r="AD191" t="s">
        <v>4009</v>
      </c>
      <c r="AE191" t="s">
        <v>4010</v>
      </c>
      <c r="AF191" t="s">
        <v>74</v>
      </c>
      <c r="AG191">
        <v>83</v>
      </c>
      <c r="AH191">
        <v>24</v>
      </c>
      <c r="AI191">
        <v>26</v>
      </c>
      <c r="AJ191">
        <v>4</v>
      </c>
      <c r="AK191">
        <v>56</v>
      </c>
      <c r="AL191" t="s">
        <v>153</v>
      </c>
      <c r="AM191" t="s">
        <v>154</v>
      </c>
      <c r="AN191" t="s">
        <v>155</v>
      </c>
      <c r="AO191" t="s">
        <v>4011</v>
      </c>
      <c r="AP191" t="s">
        <v>4012</v>
      </c>
      <c r="AQ191" t="s">
        <v>74</v>
      </c>
      <c r="AR191" t="s">
        <v>4013</v>
      </c>
      <c r="AS191" t="s">
        <v>4014</v>
      </c>
      <c r="AT191" t="s">
        <v>2547</v>
      </c>
      <c r="AU191">
        <v>2019</v>
      </c>
      <c r="AV191">
        <v>21</v>
      </c>
      <c r="AW191">
        <v>4</v>
      </c>
      <c r="AX191" t="s">
        <v>74</v>
      </c>
      <c r="AY191" t="s">
        <v>74</v>
      </c>
      <c r="AZ191" t="s">
        <v>74</v>
      </c>
      <c r="BA191" t="s">
        <v>74</v>
      </c>
      <c r="BB191">
        <v>1466</v>
      </c>
      <c r="BC191">
        <v>1481</v>
      </c>
      <c r="BD191" t="s">
        <v>74</v>
      </c>
      <c r="BE191" t="s">
        <v>4015</v>
      </c>
      <c r="BF191" t="str">
        <f>HYPERLINK("http://dx.doi.org/10.1111/1462-2920.14580","http://dx.doi.org/10.1111/1462-2920.14580")</f>
        <v>http://dx.doi.org/10.1111/1462-2920.14580</v>
      </c>
      <c r="BG191" t="s">
        <v>74</v>
      </c>
      <c r="BH191" t="s">
        <v>74</v>
      </c>
      <c r="BI191">
        <v>16</v>
      </c>
      <c r="BJ191" t="s">
        <v>901</v>
      </c>
      <c r="BK191" t="s">
        <v>102</v>
      </c>
      <c r="BL191" t="s">
        <v>901</v>
      </c>
      <c r="BM191" t="s">
        <v>4016</v>
      </c>
      <c r="BN191">
        <v>30838733</v>
      </c>
      <c r="BO191" t="s">
        <v>403</v>
      </c>
      <c r="BP191" t="s">
        <v>74</v>
      </c>
      <c r="BQ191" t="s">
        <v>74</v>
      </c>
      <c r="BR191" t="s">
        <v>107</v>
      </c>
      <c r="BS191" t="s">
        <v>4017</v>
      </c>
      <c r="BT191" t="str">
        <f>HYPERLINK("https%3A%2F%2Fwww.webofscience.com%2Fwos%2Fwoscc%2Ffull-record%2FWOS:000464373000022","View Full Record in Web of Science")</f>
        <v>View Full Record in Web of Science</v>
      </c>
    </row>
    <row r="192" spans="1:72" x14ac:dyDescent="0.15">
      <c r="A192" t="s">
        <v>72</v>
      </c>
      <c r="B192" t="s">
        <v>4018</v>
      </c>
      <c r="C192" t="s">
        <v>74</v>
      </c>
      <c r="D192" t="s">
        <v>74</v>
      </c>
      <c r="E192" t="s">
        <v>74</v>
      </c>
      <c r="F192" t="s">
        <v>4019</v>
      </c>
      <c r="G192" t="s">
        <v>74</v>
      </c>
      <c r="H192" t="s">
        <v>74</v>
      </c>
      <c r="I192" t="s">
        <v>4020</v>
      </c>
      <c r="J192" t="s">
        <v>4021</v>
      </c>
      <c r="K192" t="s">
        <v>74</v>
      </c>
      <c r="L192" t="s">
        <v>74</v>
      </c>
      <c r="M192" t="s">
        <v>78</v>
      </c>
      <c r="N192" t="s">
        <v>79</v>
      </c>
      <c r="O192" t="s">
        <v>74</v>
      </c>
      <c r="P192" t="s">
        <v>74</v>
      </c>
      <c r="Q192" t="s">
        <v>74</v>
      </c>
      <c r="R192" t="s">
        <v>74</v>
      </c>
      <c r="S192" t="s">
        <v>74</v>
      </c>
      <c r="T192" t="s">
        <v>4022</v>
      </c>
      <c r="U192" t="s">
        <v>4023</v>
      </c>
      <c r="V192" t="s">
        <v>4024</v>
      </c>
      <c r="W192" t="s">
        <v>4025</v>
      </c>
      <c r="X192" t="s">
        <v>4026</v>
      </c>
      <c r="Y192" t="s">
        <v>4027</v>
      </c>
      <c r="Z192" t="s">
        <v>4028</v>
      </c>
      <c r="AA192" t="s">
        <v>4029</v>
      </c>
      <c r="AB192" t="s">
        <v>4030</v>
      </c>
      <c r="AC192" t="s">
        <v>4031</v>
      </c>
      <c r="AD192" t="s">
        <v>4032</v>
      </c>
      <c r="AE192" t="s">
        <v>4033</v>
      </c>
      <c r="AF192" t="s">
        <v>74</v>
      </c>
      <c r="AG192">
        <v>29</v>
      </c>
      <c r="AH192">
        <v>1</v>
      </c>
      <c r="AI192">
        <v>1</v>
      </c>
      <c r="AJ192">
        <v>0</v>
      </c>
      <c r="AK192">
        <v>2</v>
      </c>
      <c r="AL192" t="s">
        <v>4034</v>
      </c>
      <c r="AM192" t="s">
        <v>4035</v>
      </c>
      <c r="AN192" t="s">
        <v>4036</v>
      </c>
      <c r="AO192" t="s">
        <v>4037</v>
      </c>
      <c r="AP192" t="s">
        <v>4038</v>
      </c>
      <c r="AQ192" t="s">
        <v>74</v>
      </c>
      <c r="AR192" t="s">
        <v>4039</v>
      </c>
      <c r="AS192" t="s">
        <v>4040</v>
      </c>
      <c r="AT192" t="s">
        <v>2547</v>
      </c>
      <c r="AU192">
        <v>2019</v>
      </c>
      <c r="AV192">
        <v>47</v>
      </c>
      <c r="AW192">
        <v>1</v>
      </c>
      <c r="AX192" t="s">
        <v>74</v>
      </c>
      <c r="AY192" t="s">
        <v>74</v>
      </c>
      <c r="AZ192" t="s">
        <v>74</v>
      </c>
      <c r="BA192" t="s">
        <v>74</v>
      </c>
      <c r="BB192">
        <v>77</v>
      </c>
      <c r="BC192">
        <v>80</v>
      </c>
      <c r="BD192" t="s">
        <v>74</v>
      </c>
      <c r="BE192" t="s">
        <v>74</v>
      </c>
      <c r="BF192" t="s">
        <v>74</v>
      </c>
      <c r="BG192" t="s">
        <v>74</v>
      </c>
      <c r="BH192" t="s">
        <v>74</v>
      </c>
      <c r="BI192">
        <v>4</v>
      </c>
      <c r="BJ192" t="s">
        <v>4041</v>
      </c>
      <c r="BK192" t="s">
        <v>102</v>
      </c>
      <c r="BL192" t="s">
        <v>184</v>
      </c>
      <c r="BM192" t="s">
        <v>4042</v>
      </c>
      <c r="BN192" t="s">
        <v>74</v>
      </c>
      <c r="BO192" t="s">
        <v>74</v>
      </c>
      <c r="BP192" t="s">
        <v>74</v>
      </c>
      <c r="BQ192" t="s">
        <v>74</v>
      </c>
      <c r="BR192" t="s">
        <v>107</v>
      </c>
      <c r="BS192" t="s">
        <v>4043</v>
      </c>
      <c r="BT192" t="str">
        <f>HYPERLINK("https%3A%2F%2Fwww.webofscience.com%2Fwos%2Fwoscc%2Ffull-record%2FWOS:000464635500013","View Full Record in Web of Science")</f>
        <v>View Full Record in Web of Science</v>
      </c>
    </row>
    <row r="193" spans="1:72" x14ac:dyDescent="0.15">
      <c r="A193" t="s">
        <v>72</v>
      </c>
      <c r="B193" t="s">
        <v>4044</v>
      </c>
      <c r="C193" t="s">
        <v>74</v>
      </c>
      <c r="D193" t="s">
        <v>74</v>
      </c>
      <c r="E193" t="s">
        <v>74</v>
      </c>
      <c r="F193" t="s">
        <v>4045</v>
      </c>
      <c r="G193" t="s">
        <v>74</v>
      </c>
      <c r="H193" t="s">
        <v>74</v>
      </c>
      <c r="I193" t="s">
        <v>4046</v>
      </c>
      <c r="J193" t="s">
        <v>4021</v>
      </c>
      <c r="K193" t="s">
        <v>74</v>
      </c>
      <c r="L193" t="s">
        <v>74</v>
      </c>
      <c r="M193" t="s">
        <v>78</v>
      </c>
      <c r="N193" t="s">
        <v>79</v>
      </c>
      <c r="O193" t="s">
        <v>74</v>
      </c>
      <c r="P193" t="s">
        <v>74</v>
      </c>
      <c r="Q193" t="s">
        <v>74</v>
      </c>
      <c r="R193" t="s">
        <v>74</v>
      </c>
      <c r="S193" t="s">
        <v>74</v>
      </c>
      <c r="T193" t="s">
        <v>4047</v>
      </c>
      <c r="U193" t="s">
        <v>4048</v>
      </c>
      <c r="V193" t="s">
        <v>4049</v>
      </c>
      <c r="W193" t="s">
        <v>4050</v>
      </c>
      <c r="X193" t="s">
        <v>4051</v>
      </c>
      <c r="Y193" t="s">
        <v>4052</v>
      </c>
      <c r="Z193" t="s">
        <v>4053</v>
      </c>
      <c r="AA193" t="s">
        <v>4054</v>
      </c>
      <c r="AB193" t="s">
        <v>4055</v>
      </c>
      <c r="AC193" t="s">
        <v>4056</v>
      </c>
      <c r="AD193" t="s">
        <v>4057</v>
      </c>
      <c r="AE193" t="s">
        <v>4058</v>
      </c>
      <c r="AF193" t="s">
        <v>74</v>
      </c>
      <c r="AG193">
        <v>73</v>
      </c>
      <c r="AH193">
        <v>8</v>
      </c>
      <c r="AI193">
        <v>9</v>
      </c>
      <c r="AJ193">
        <v>1</v>
      </c>
      <c r="AK193">
        <v>16</v>
      </c>
      <c r="AL193" t="s">
        <v>4034</v>
      </c>
      <c r="AM193" t="s">
        <v>4035</v>
      </c>
      <c r="AN193" t="s">
        <v>4036</v>
      </c>
      <c r="AO193" t="s">
        <v>4037</v>
      </c>
      <c r="AP193" t="s">
        <v>4038</v>
      </c>
      <c r="AQ193" t="s">
        <v>74</v>
      </c>
      <c r="AR193" t="s">
        <v>4039</v>
      </c>
      <c r="AS193" t="s">
        <v>4040</v>
      </c>
      <c r="AT193" t="s">
        <v>2547</v>
      </c>
      <c r="AU193">
        <v>2019</v>
      </c>
      <c r="AV193">
        <v>47</v>
      </c>
      <c r="AW193">
        <v>1</v>
      </c>
      <c r="AX193" t="s">
        <v>74</v>
      </c>
      <c r="AY193" t="s">
        <v>74</v>
      </c>
      <c r="AZ193" t="s">
        <v>74</v>
      </c>
      <c r="BA193" t="s">
        <v>74</v>
      </c>
      <c r="BB193">
        <v>93</v>
      </c>
      <c r="BC193">
        <v>103</v>
      </c>
      <c r="BD193" t="s">
        <v>74</v>
      </c>
      <c r="BE193" t="s">
        <v>74</v>
      </c>
      <c r="BF193" t="s">
        <v>74</v>
      </c>
      <c r="BG193" t="s">
        <v>74</v>
      </c>
      <c r="BH193" t="s">
        <v>74</v>
      </c>
      <c r="BI193">
        <v>11</v>
      </c>
      <c r="BJ193" t="s">
        <v>4041</v>
      </c>
      <c r="BK193" t="s">
        <v>102</v>
      </c>
      <c r="BL193" t="s">
        <v>184</v>
      </c>
      <c r="BM193" t="s">
        <v>4042</v>
      </c>
      <c r="BN193" t="s">
        <v>74</v>
      </c>
      <c r="BO193" t="s">
        <v>74</v>
      </c>
      <c r="BP193" t="s">
        <v>74</v>
      </c>
      <c r="BQ193" t="s">
        <v>74</v>
      </c>
      <c r="BR193" t="s">
        <v>107</v>
      </c>
      <c r="BS193" t="s">
        <v>4059</v>
      </c>
      <c r="BT193" t="str">
        <f>HYPERLINK("https%3A%2F%2Fwww.webofscience.com%2Fwos%2Fwoscc%2Ffull-record%2FWOS:000464635500016","View Full Record in Web of Science")</f>
        <v>View Full Record in Web of Science</v>
      </c>
    </row>
    <row r="194" spans="1:72" x14ac:dyDescent="0.15">
      <c r="A194" t="s">
        <v>72</v>
      </c>
      <c r="B194" t="s">
        <v>4060</v>
      </c>
      <c r="C194" t="s">
        <v>74</v>
      </c>
      <c r="D194" t="s">
        <v>74</v>
      </c>
      <c r="E194" t="s">
        <v>74</v>
      </c>
      <c r="F194" t="s">
        <v>4061</v>
      </c>
      <c r="G194" t="s">
        <v>74</v>
      </c>
      <c r="H194" t="s">
        <v>74</v>
      </c>
      <c r="I194" t="s">
        <v>4062</v>
      </c>
      <c r="J194" t="s">
        <v>4063</v>
      </c>
      <c r="K194" t="s">
        <v>74</v>
      </c>
      <c r="L194" t="s">
        <v>74</v>
      </c>
      <c r="M194" t="s">
        <v>78</v>
      </c>
      <c r="N194" t="s">
        <v>79</v>
      </c>
      <c r="O194" t="s">
        <v>74</v>
      </c>
      <c r="P194" t="s">
        <v>74</v>
      </c>
      <c r="Q194" t="s">
        <v>74</v>
      </c>
      <c r="R194" t="s">
        <v>74</v>
      </c>
      <c r="S194" t="s">
        <v>74</v>
      </c>
      <c r="T194" t="s">
        <v>74</v>
      </c>
      <c r="U194" t="s">
        <v>4064</v>
      </c>
      <c r="V194" t="s">
        <v>4065</v>
      </c>
      <c r="W194" t="s">
        <v>4066</v>
      </c>
      <c r="X194" t="s">
        <v>4067</v>
      </c>
      <c r="Y194" t="s">
        <v>4068</v>
      </c>
      <c r="Z194" t="s">
        <v>4069</v>
      </c>
      <c r="AA194" t="s">
        <v>74</v>
      </c>
      <c r="AB194" t="s">
        <v>74</v>
      </c>
      <c r="AC194" t="s">
        <v>4070</v>
      </c>
      <c r="AD194" t="s">
        <v>4071</v>
      </c>
      <c r="AE194" t="s">
        <v>4072</v>
      </c>
      <c r="AF194" t="s">
        <v>74</v>
      </c>
      <c r="AG194">
        <v>48</v>
      </c>
      <c r="AH194">
        <v>45</v>
      </c>
      <c r="AI194">
        <v>50</v>
      </c>
      <c r="AJ194">
        <v>15</v>
      </c>
      <c r="AK194">
        <v>121</v>
      </c>
      <c r="AL194" t="s">
        <v>1486</v>
      </c>
      <c r="AM194" t="s">
        <v>126</v>
      </c>
      <c r="AN194" t="s">
        <v>1487</v>
      </c>
      <c r="AO194" t="s">
        <v>4073</v>
      </c>
      <c r="AP194" t="s">
        <v>74</v>
      </c>
      <c r="AQ194" t="s">
        <v>74</v>
      </c>
      <c r="AR194" t="s">
        <v>4074</v>
      </c>
      <c r="AS194" t="s">
        <v>4075</v>
      </c>
      <c r="AT194" t="s">
        <v>2547</v>
      </c>
      <c r="AU194">
        <v>2019</v>
      </c>
      <c r="AV194">
        <v>6</v>
      </c>
      <c r="AW194">
        <v>4</v>
      </c>
      <c r="AX194" t="s">
        <v>74</v>
      </c>
      <c r="AY194" t="s">
        <v>74</v>
      </c>
      <c r="AZ194" t="s">
        <v>74</v>
      </c>
      <c r="BA194" t="s">
        <v>74</v>
      </c>
      <c r="BB194">
        <v>235</v>
      </c>
      <c r="BC194">
        <v>242</v>
      </c>
      <c r="BD194" t="s">
        <v>74</v>
      </c>
      <c r="BE194" t="s">
        <v>4076</v>
      </c>
      <c r="BF194" t="str">
        <f>HYPERLINK("http://dx.doi.org/10.1021/acs.estlett.9b00131","http://dx.doi.org/10.1021/acs.estlett.9b00131")</f>
        <v>http://dx.doi.org/10.1021/acs.estlett.9b00131</v>
      </c>
      <c r="BG194" t="s">
        <v>74</v>
      </c>
      <c r="BH194" t="s">
        <v>74</v>
      </c>
      <c r="BI194">
        <v>15</v>
      </c>
      <c r="BJ194" t="s">
        <v>4077</v>
      </c>
      <c r="BK194" t="s">
        <v>102</v>
      </c>
      <c r="BL194" t="s">
        <v>4078</v>
      </c>
      <c r="BM194" t="s">
        <v>4079</v>
      </c>
      <c r="BN194" t="s">
        <v>74</v>
      </c>
      <c r="BO194" t="s">
        <v>74</v>
      </c>
      <c r="BP194" t="s">
        <v>74</v>
      </c>
      <c r="BQ194" t="s">
        <v>74</v>
      </c>
      <c r="BR194" t="s">
        <v>107</v>
      </c>
      <c r="BS194" t="s">
        <v>4080</v>
      </c>
      <c r="BT194" t="str">
        <f>HYPERLINK("https%3A%2F%2Fwww.webofscience.com%2Fwos%2Fwoscc%2Ffull-record%2FWOS:000464476900008","View Full Record in Web of Science")</f>
        <v>View Full Record in Web of Science</v>
      </c>
    </row>
    <row r="195" spans="1:72" x14ac:dyDescent="0.15">
      <c r="A195" t="s">
        <v>72</v>
      </c>
      <c r="B195" t="s">
        <v>4081</v>
      </c>
      <c r="C195" t="s">
        <v>74</v>
      </c>
      <c r="D195" t="s">
        <v>74</v>
      </c>
      <c r="E195" t="s">
        <v>74</v>
      </c>
      <c r="F195" t="s">
        <v>4082</v>
      </c>
      <c r="G195" t="s">
        <v>74</v>
      </c>
      <c r="H195" t="s">
        <v>74</v>
      </c>
      <c r="I195" t="s">
        <v>4083</v>
      </c>
      <c r="J195" t="s">
        <v>4084</v>
      </c>
      <c r="K195" t="s">
        <v>74</v>
      </c>
      <c r="L195" t="s">
        <v>74</v>
      </c>
      <c r="M195" t="s">
        <v>78</v>
      </c>
      <c r="N195" t="s">
        <v>590</v>
      </c>
      <c r="O195" t="s">
        <v>4085</v>
      </c>
      <c r="P195" t="s">
        <v>4086</v>
      </c>
      <c r="Q195" t="s">
        <v>4087</v>
      </c>
      <c r="R195" t="s">
        <v>74</v>
      </c>
      <c r="S195" t="s">
        <v>74</v>
      </c>
      <c r="T195" t="s">
        <v>4088</v>
      </c>
      <c r="U195" t="s">
        <v>4089</v>
      </c>
      <c r="V195" t="s">
        <v>4090</v>
      </c>
      <c r="W195" t="s">
        <v>4091</v>
      </c>
      <c r="X195" t="s">
        <v>4092</v>
      </c>
      <c r="Y195" t="s">
        <v>4093</v>
      </c>
      <c r="Z195" t="s">
        <v>4094</v>
      </c>
      <c r="AA195" t="s">
        <v>4095</v>
      </c>
      <c r="AB195" t="s">
        <v>4096</v>
      </c>
      <c r="AC195" t="s">
        <v>4097</v>
      </c>
      <c r="AD195" t="s">
        <v>4098</v>
      </c>
      <c r="AE195" t="s">
        <v>4099</v>
      </c>
      <c r="AF195" t="s">
        <v>74</v>
      </c>
      <c r="AG195">
        <v>62</v>
      </c>
      <c r="AH195">
        <v>9</v>
      </c>
      <c r="AI195">
        <v>11</v>
      </c>
      <c r="AJ195">
        <v>1</v>
      </c>
      <c r="AK195">
        <v>13</v>
      </c>
      <c r="AL195" t="s">
        <v>576</v>
      </c>
      <c r="AM195" t="s">
        <v>577</v>
      </c>
      <c r="AN195" t="s">
        <v>578</v>
      </c>
      <c r="AO195" t="s">
        <v>4100</v>
      </c>
      <c r="AP195" t="s">
        <v>4101</v>
      </c>
      <c r="AQ195" t="s">
        <v>74</v>
      </c>
      <c r="AR195" t="s">
        <v>4102</v>
      </c>
      <c r="AS195" t="s">
        <v>4103</v>
      </c>
      <c r="AT195" t="s">
        <v>2547</v>
      </c>
      <c r="AU195">
        <v>2019</v>
      </c>
      <c r="AV195">
        <v>31</v>
      </c>
      <c r="AW195">
        <v>2</v>
      </c>
      <c r="AX195" t="s">
        <v>74</v>
      </c>
      <c r="AY195" t="s">
        <v>74</v>
      </c>
      <c r="AZ195" t="s">
        <v>74</v>
      </c>
      <c r="BA195" t="s">
        <v>74</v>
      </c>
      <c r="BB195">
        <v>825</v>
      </c>
      <c r="BC195">
        <v>834</v>
      </c>
      <c r="BD195" t="s">
        <v>74</v>
      </c>
      <c r="BE195" t="s">
        <v>4104</v>
      </c>
      <c r="BF195" t="str">
        <f>HYPERLINK("http://dx.doi.org/10.1007/s10811-018-1592-1","http://dx.doi.org/10.1007/s10811-018-1592-1")</f>
        <v>http://dx.doi.org/10.1007/s10811-018-1592-1</v>
      </c>
      <c r="BG195" t="s">
        <v>74</v>
      </c>
      <c r="BH195" t="s">
        <v>74</v>
      </c>
      <c r="BI195">
        <v>10</v>
      </c>
      <c r="BJ195" t="s">
        <v>4105</v>
      </c>
      <c r="BK195" t="s">
        <v>615</v>
      </c>
      <c r="BL195" t="s">
        <v>4105</v>
      </c>
      <c r="BM195" t="s">
        <v>4106</v>
      </c>
      <c r="BN195" t="s">
        <v>74</v>
      </c>
      <c r="BO195" t="s">
        <v>74</v>
      </c>
      <c r="BP195" t="s">
        <v>74</v>
      </c>
      <c r="BQ195" t="s">
        <v>74</v>
      </c>
      <c r="BR195" t="s">
        <v>107</v>
      </c>
      <c r="BS195" t="s">
        <v>4107</v>
      </c>
      <c r="BT195" t="str">
        <f>HYPERLINK("https%3A%2F%2Fwww.webofscience.com%2Fwos%2Fwoscc%2Ffull-record%2FWOS:000463988500002","View Full Record in Web of Science")</f>
        <v>View Full Record in Web of Science</v>
      </c>
    </row>
    <row r="196" spans="1:72" x14ac:dyDescent="0.15">
      <c r="A196" t="s">
        <v>72</v>
      </c>
      <c r="B196" t="s">
        <v>4108</v>
      </c>
      <c r="C196" t="s">
        <v>74</v>
      </c>
      <c r="D196" t="s">
        <v>74</v>
      </c>
      <c r="E196" t="s">
        <v>74</v>
      </c>
      <c r="F196" t="s">
        <v>4109</v>
      </c>
      <c r="G196" t="s">
        <v>74</v>
      </c>
      <c r="H196" t="s">
        <v>74</v>
      </c>
      <c r="I196" t="s">
        <v>4110</v>
      </c>
      <c r="J196" t="s">
        <v>4084</v>
      </c>
      <c r="K196" t="s">
        <v>74</v>
      </c>
      <c r="L196" t="s">
        <v>74</v>
      </c>
      <c r="M196" t="s">
        <v>78</v>
      </c>
      <c r="N196" t="s">
        <v>590</v>
      </c>
      <c r="O196" t="s">
        <v>4085</v>
      </c>
      <c r="P196" t="s">
        <v>4086</v>
      </c>
      <c r="Q196" t="s">
        <v>4087</v>
      </c>
      <c r="R196" t="s">
        <v>74</v>
      </c>
      <c r="S196" t="s">
        <v>74</v>
      </c>
      <c r="T196" t="s">
        <v>4111</v>
      </c>
      <c r="U196" t="s">
        <v>4112</v>
      </c>
      <c r="V196" t="s">
        <v>4113</v>
      </c>
      <c r="W196" t="s">
        <v>4114</v>
      </c>
      <c r="X196" t="s">
        <v>4115</v>
      </c>
      <c r="Y196" t="s">
        <v>4116</v>
      </c>
      <c r="Z196" t="s">
        <v>4117</v>
      </c>
      <c r="AA196" t="s">
        <v>4118</v>
      </c>
      <c r="AB196" t="s">
        <v>4119</v>
      </c>
      <c r="AC196" t="s">
        <v>4120</v>
      </c>
      <c r="AD196" t="s">
        <v>4121</v>
      </c>
      <c r="AE196" t="s">
        <v>4122</v>
      </c>
      <c r="AF196" t="s">
        <v>74</v>
      </c>
      <c r="AG196">
        <v>63</v>
      </c>
      <c r="AH196">
        <v>7</v>
      </c>
      <c r="AI196">
        <v>7</v>
      </c>
      <c r="AJ196">
        <v>1</v>
      </c>
      <c r="AK196">
        <v>17</v>
      </c>
      <c r="AL196" t="s">
        <v>576</v>
      </c>
      <c r="AM196" t="s">
        <v>577</v>
      </c>
      <c r="AN196" t="s">
        <v>578</v>
      </c>
      <c r="AO196" t="s">
        <v>4100</v>
      </c>
      <c r="AP196" t="s">
        <v>4101</v>
      </c>
      <c r="AQ196" t="s">
        <v>74</v>
      </c>
      <c r="AR196" t="s">
        <v>4102</v>
      </c>
      <c r="AS196" t="s">
        <v>4103</v>
      </c>
      <c r="AT196" t="s">
        <v>2547</v>
      </c>
      <c r="AU196">
        <v>2019</v>
      </c>
      <c r="AV196">
        <v>31</v>
      </c>
      <c r="AW196">
        <v>2</v>
      </c>
      <c r="AX196" t="s">
        <v>74</v>
      </c>
      <c r="AY196" t="s">
        <v>74</v>
      </c>
      <c r="AZ196" t="s">
        <v>74</v>
      </c>
      <c r="BA196" t="s">
        <v>74</v>
      </c>
      <c r="BB196">
        <v>905</v>
      </c>
      <c r="BC196">
        <v>913</v>
      </c>
      <c r="BD196" t="s">
        <v>74</v>
      </c>
      <c r="BE196" t="s">
        <v>4123</v>
      </c>
      <c r="BF196" t="str">
        <f>HYPERLINK("http://dx.doi.org/10.1007/s10811-018-1675-z","http://dx.doi.org/10.1007/s10811-018-1675-z")</f>
        <v>http://dx.doi.org/10.1007/s10811-018-1675-z</v>
      </c>
      <c r="BG196" t="s">
        <v>74</v>
      </c>
      <c r="BH196" t="s">
        <v>74</v>
      </c>
      <c r="BI196">
        <v>9</v>
      </c>
      <c r="BJ196" t="s">
        <v>4105</v>
      </c>
      <c r="BK196" t="s">
        <v>615</v>
      </c>
      <c r="BL196" t="s">
        <v>4105</v>
      </c>
      <c r="BM196" t="s">
        <v>4106</v>
      </c>
      <c r="BN196" t="s">
        <v>74</v>
      </c>
      <c r="BO196" t="s">
        <v>74</v>
      </c>
      <c r="BP196" t="s">
        <v>74</v>
      </c>
      <c r="BQ196" t="s">
        <v>74</v>
      </c>
      <c r="BR196" t="s">
        <v>107</v>
      </c>
      <c r="BS196" t="s">
        <v>4124</v>
      </c>
      <c r="BT196" t="str">
        <f>HYPERLINK("https%3A%2F%2Fwww.webofscience.com%2Fwos%2Fwoscc%2Ffull-record%2FWOS:000463988500009","View Full Record in Web of Science")</f>
        <v>View Full Record in Web of Science</v>
      </c>
    </row>
    <row r="197" spans="1:72" x14ac:dyDescent="0.15">
      <c r="A197" t="s">
        <v>72</v>
      </c>
      <c r="B197" t="s">
        <v>4125</v>
      </c>
      <c r="C197" t="s">
        <v>74</v>
      </c>
      <c r="D197" t="s">
        <v>74</v>
      </c>
      <c r="E197" t="s">
        <v>74</v>
      </c>
      <c r="F197" t="s">
        <v>4126</v>
      </c>
      <c r="G197" t="s">
        <v>74</v>
      </c>
      <c r="H197" t="s">
        <v>74</v>
      </c>
      <c r="I197" t="s">
        <v>4127</v>
      </c>
      <c r="J197" t="s">
        <v>4084</v>
      </c>
      <c r="K197" t="s">
        <v>74</v>
      </c>
      <c r="L197" t="s">
        <v>74</v>
      </c>
      <c r="M197" t="s">
        <v>78</v>
      </c>
      <c r="N197" t="s">
        <v>590</v>
      </c>
      <c r="O197" t="s">
        <v>4085</v>
      </c>
      <c r="P197" t="s">
        <v>4086</v>
      </c>
      <c r="Q197" t="s">
        <v>4087</v>
      </c>
      <c r="R197" t="s">
        <v>74</v>
      </c>
      <c r="S197" t="s">
        <v>74</v>
      </c>
      <c r="T197" t="s">
        <v>4128</v>
      </c>
      <c r="U197" t="s">
        <v>4129</v>
      </c>
      <c r="V197" t="s">
        <v>4130</v>
      </c>
      <c r="W197" t="s">
        <v>4131</v>
      </c>
      <c r="X197" t="s">
        <v>4132</v>
      </c>
      <c r="Y197" t="s">
        <v>4133</v>
      </c>
      <c r="Z197" t="s">
        <v>4134</v>
      </c>
      <c r="AA197" t="s">
        <v>4135</v>
      </c>
      <c r="AB197" t="s">
        <v>4136</v>
      </c>
      <c r="AC197" t="s">
        <v>4137</v>
      </c>
      <c r="AD197" t="s">
        <v>4138</v>
      </c>
      <c r="AE197" t="s">
        <v>4139</v>
      </c>
      <c r="AF197" t="s">
        <v>74</v>
      </c>
      <c r="AG197">
        <v>48</v>
      </c>
      <c r="AH197">
        <v>10</v>
      </c>
      <c r="AI197">
        <v>10</v>
      </c>
      <c r="AJ197">
        <v>3</v>
      </c>
      <c r="AK197">
        <v>36</v>
      </c>
      <c r="AL197" t="s">
        <v>576</v>
      </c>
      <c r="AM197" t="s">
        <v>577</v>
      </c>
      <c r="AN197" t="s">
        <v>578</v>
      </c>
      <c r="AO197" t="s">
        <v>4100</v>
      </c>
      <c r="AP197" t="s">
        <v>4101</v>
      </c>
      <c r="AQ197" t="s">
        <v>74</v>
      </c>
      <c r="AR197" t="s">
        <v>4102</v>
      </c>
      <c r="AS197" t="s">
        <v>4103</v>
      </c>
      <c r="AT197" t="s">
        <v>2547</v>
      </c>
      <c r="AU197">
        <v>2019</v>
      </c>
      <c r="AV197">
        <v>31</v>
      </c>
      <c r="AW197">
        <v>2</v>
      </c>
      <c r="AX197" t="s">
        <v>74</v>
      </c>
      <c r="AY197" t="s">
        <v>74</v>
      </c>
      <c r="AZ197" t="s">
        <v>74</v>
      </c>
      <c r="BA197" t="s">
        <v>74</v>
      </c>
      <c r="BB197">
        <v>915</v>
      </c>
      <c r="BC197">
        <v>928</v>
      </c>
      <c r="BD197" t="s">
        <v>74</v>
      </c>
      <c r="BE197" t="s">
        <v>4140</v>
      </c>
      <c r="BF197" t="str">
        <f>HYPERLINK("http://dx.doi.org/10.1007/s10811-018-1693-x","http://dx.doi.org/10.1007/s10811-018-1693-x")</f>
        <v>http://dx.doi.org/10.1007/s10811-018-1693-x</v>
      </c>
      <c r="BG197" t="s">
        <v>74</v>
      </c>
      <c r="BH197" t="s">
        <v>74</v>
      </c>
      <c r="BI197">
        <v>14</v>
      </c>
      <c r="BJ197" t="s">
        <v>4105</v>
      </c>
      <c r="BK197" t="s">
        <v>615</v>
      </c>
      <c r="BL197" t="s">
        <v>4105</v>
      </c>
      <c r="BM197" t="s">
        <v>4106</v>
      </c>
      <c r="BN197" t="s">
        <v>74</v>
      </c>
      <c r="BO197" t="s">
        <v>403</v>
      </c>
      <c r="BP197" t="s">
        <v>74</v>
      </c>
      <c r="BQ197" t="s">
        <v>74</v>
      </c>
      <c r="BR197" t="s">
        <v>107</v>
      </c>
      <c r="BS197" t="s">
        <v>4141</v>
      </c>
      <c r="BT197" t="str">
        <f>HYPERLINK("https%3A%2F%2Fwww.webofscience.com%2Fwos%2Fwoscc%2Ffull-record%2FWOS:000463988500010","View Full Record in Web of Science")</f>
        <v>View Full Record in Web of Science</v>
      </c>
    </row>
    <row r="198" spans="1:72" x14ac:dyDescent="0.15">
      <c r="A198" t="s">
        <v>72</v>
      </c>
      <c r="B198" t="s">
        <v>4142</v>
      </c>
      <c r="C198" t="s">
        <v>74</v>
      </c>
      <c r="D198" t="s">
        <v>74</v>
      </c>
      <c r="E198" t="s">
        <v>74</v>
      </c>
      <c r="F198" t="s">
        <v>4143</v>
      </c>
      <c r="G198" t="s">
        <v>74</v>
      </c>
      <c r="H198" t="s">
        <v>74</v>
      </c>
      <c r="I198" t="s">
        <v>4144</v>
      </c>
      <c r="J198" t="s">
        <v>4084</v>
      </c>
      <c r="K198" t="s">
        <v>74</v>
      </c>
      <c r="L198" t="s">
        <v>74</v>
      </c>
      <c r="M198" t="s">
        <v>78</v>
      </c>
      <c r="N198" t="s">
        <v>590</v>
      </c>
      <c r="O198" t="s">
        <v>4085</v>
      </c>
      <c r="P198" t="s">
        <v>4086</v>
      </c>
      <c r="Q198" t="s">
        <v>4087</v>
      </c>
      <c r="R198" t="s">
        <v>74</v>
      </c>
      <c r="S198" t="s">
        <v>74</v>
      </c>
      <c r="T198" t="s">
        <v>4145</v>
      </c>
      <c r="U198" t="s">
        <v>4146</v>
      </c>
      <c r="V198" t="s">
        <v>4147</v>
      </c>
      <c r="W198" t="s">
        <v>4148</v>
      </c>
      <c r="X198" t="s">
        <v>4149</v>
      </c>
      <c r="Y198" t="s">
        <v>4150</v>
      </c>
      <c r="Z198" t="s">
        <v>4151</v>
      </c>
      <c r="AA198" t="s">
        <v>4152</v>
      </c>
      <c r="AB198" t="s">
        <v>4153</v>
      </c>
      <c r="AC198" t="s">
        <v>4154</v>
      </c>
      <c r="AD198" t="s">
        <v>4155</v>
      </c>
      <c r="AE198" t="s">
        <v>4156</v>
      </c>
      <c r="AF198" t="s">
        <v>74</v>
      </c>
      <c r="AG198">
        <v>79</v>
      </c>
      <c r="AH198">
        <v>13</v>
      </c>
      <c r="AI198">
        <v>13</v>
      </c>
      <c r="AJ198">
        <v>0</v>
      </c>
      <c r="AK198">
        <v>16</v>
      </c>
      <c r="AL198" t="s">
        <v>576</v>
      </c>
      <c r="AM198" t="s">
        <v>577</v>
      </c>
      <c r="AN198" t="s">
        <v>578</v>
      </c>
      <c r="AO198" t="s">
        <v>4100</v>
      </c>
      <c r="AP198" t="s">
        <v>4101</v>
      </c>
      <c r="AQ198" t="s">
        <v>74</v>
      </c>
      <c r="AR198" t="s">
        <v>4102</v>
      </c>
      <c r="AS198" t="s">
        <v>4103</v>
      </c>
      <c r="AT198" t="s">
        <v>2547</v>
      </c>
      <c r="AU198">
        <v>2019</v>
      </c>
      <c r="AV198">
        <v>31</v>
      </c>
      <c r="AW198">
        <v>2</v>
      </c>
      <c r="AX198" t="s">
        <v>74</v>
      </c>
      <c r="AY198" t="s">
        <v>74</v>
      </c>
      <c r="AZ198" t="s">
        <v>74</v>
      </c>
      <c r="BA198" t="s">
        <v>74</v>
      </c>
      <c r="BB198">
        <v>939</v>
      </c>
      <c r="BC198">
        <v>949</v>
      </c>
      <c r="BD198" t="s">
        <v>74</v>
      </c>
      <c r="BE198" t="s">
        <v>4157</v>
      </c>
      <c r="BF198" t="str">
        <f>HYPERLINK("http://dx.doi.org/10.1007/s10811-018-1656-2","http://dx.doi.org/10.1007/s10811-018-1656-2")</f>
        <v>http://dx.doi.org/10.1007/s10811-018-1656-2</v>
      </c>
      <c r="BG198" t="s">
        <v>74</v>
      </c>
      <c r="BH198" t="s">
        <v>74</v>
      </c>
      <c r="BI198">
        <v>11</v>
      </c>
      <c r="BJ198" t="s">
        <v>4105</v>
      </c>
      <c r="BK198" t="s">
        <v>615</v>
      </c>
      <c r="BL198" t="s">
        <v>4105</v>
      </c>
      <c r="BM198" t="s">
        <v>4106</v>
      </c>
      <c r="BN198" t="s">
        <v>74</v>
      </c>
      <c r="BO198" t="s">
        <v>403</v>
      </c>
      <c r="BP198" t="s">
        <v>74</v>
      </c>
      <c r="BQ198" t="s">
        <v>74</v>
      </c>
      <c r="BR198" t="s">
        <v>107</v>
      </c>
      <c r="BS198" t="s">
        <v>4158</v>
      </c>
      <c r="BT198" t="str">
        <f>HYPERLINK("https%3A%2F%2Fwww.webofscience.com%2Fwos%2Fwoscc%2Ffull-record%2FWOS:000463988500013","View Full Record in Web of Science")</f>
        <v>View Full Record in Web of Science</v>
      </c>
    </row>
    <row r="199" spans="1:72" x14ac:dyDescent="0.15">
      <c r="A199" t="s">
        <v>72</v>
      </c>
      <c r="B199" t="s">
        <v>4159</v>
      </c>
      <c r="C199" t="s">
        <v>74</v>
      </c>
      <c r="D199" t="s">
        <v>74</v>
      </c>
      <c r="E199" t="s">
        <v>74</v>
      </c>
      <c r="F199" t="s">
        <v>4160</v>
      </c>
      <c r="G199" t="s">
        <v>74</v>
      </c>
      <c r="H199" t="s">
        <v>74</v>
      </c>
      <c r="I199" t="s">
        <v>4161</v>
      </c>
      <c r="J199" t="s">
        <v>4084</v>
      </c>
      <c r="K199" t="s">
        <v>74</v>
      </c>
      <c r="L199" t="s">
        <v>74</v>
      </c>
      <c r="M199" t="s">
        <v>78</v>
      </c>
      <c r="N199" t="s">
        <v>79</v>
      </c>
      <c r="O199" t="s">
        <v>74</v>
      </c>
      <c r="P199" t="s">
        <v>74</v>
      </c>
      <c r="Q199" t="s">
        <v>74</v>
      </c>
      <c r="R199" t="s">
        <v>74</v>
      </c>
      <c r="S199" t="s">
        <v>74</v>
      </c>
      <c r="T199" t="s">
        <v>4162</v>
      </c>
      <c r="U199" t="s">
        <v>4163</v>
      </c>
      <c r="V199" t="s">
        <v>4164</v>
      </c>
      <c r="W199" t="s">
        <v>4165</v>
      </c>
      <c r="X199" t="s">
        <v>4166</v>
      </c>
      <c r="Y199" t="s">
        <v>4167</v>
      </c>
      <c r="Z199" t="s">
        <v>4168</v>
      </c>
      <c r="AA199" t="s">
        <v>4169</v>
      </c>
      <c r="AB199" t="s">
        <v>4170</v>
      </c>
      <c r="AC199" t="s">
        <v>4171</v>
      </c>
      <c r="AD199" t="s">
        <v>4172</v>
      </c>
      <c r="AE199" t="s">
        <v>4173</v>
      </c>
      <c r="AF199" t="s">
        <v>74</v>
      </c>
      <c r="AG199">
        <v>27</v>
      </c>
      <c r="AH199">
        <v>21</v>
      </c>
      <c r="AI199">
        <v>25</v>
      </c>
      <c r="AJ199">
        <v>2</v>
      </c>
      <c r="AK199">
        <v>16</v>
      </c>
      <c r="AL199" t="s">
        <v>576</v>
      </c>
      <c r="AM199" t="s">
        <v>577</v>
      </c>
      <c r="AN199" t="s">
        <v>578</v>
      </c>
      <c r="AO199" t="s">
        <v>4100</v>
      </c>
      <c r="AP199" t="s">
        <v>4101</v>
      </c>
      <c r="AQ199" t="s">
        <v>74</v>
      </c>
      <c r="AR199" t="s">
        <v>4102</v>
      </c>
      <c r="AS199" t="s">
        <v>4103</v>
      </c>
      <c r="AT199" t="s">
        <v>2547</v>
      </c>
      <c r="AU199">
        <v>2019</v>
      </c>
      <c r="AV199">
        <v>31</v>
      </c>
      <c r="AW199">
        <v>2</v>
      </c>
      <c r="AX199" t="s">
        <v>74</v>
      </c>
      <c r="AY199" t="s">
        <v>74</v>
      </c>
      <c r="AZ199" t="s">
        <v>74</v>
      </c>
      <c r="BA199" t="s">
        <v>74</v>
      </c>
      <c r="BB199">
        <v>1239</v>
      </c>
      <c r="BC199">
        <v>1250</v>
      </c>
      <c r="BD199" t="s">
        <v>74</v>
      </c>
      <c r="BE199" t="s">
        <v>4174</v>
      </c>
      <c r="BF199" t="str">
        <f>HYPERLINK("http://dx.doi.org/10.1007/s10811-018-1641-9","http://dx.doi.org/10.1007/s10811-018-1641-9")</f>
        <v>http://dx.doi.org/10.1007/s10811-018-1641-9</v>
      </c>
      <c r="BG199" t="s">
        <v>74</v>
      </c>
      <c r="BH199" t="s">
        <v>74</v>
      </c>
      <c r="BI199">
        <v>12</v>
      </c>
      <c r="BJ199" t="s">
        <v>4105</v>
      </c>
      <c r="BK199" t="s">
        <v>102</v>
      </c>
      <c r="BL199" t="s">
        <v>4105</v>
      </c>
      <c r="BM199" t="s">
        <v>4106</v>
      </c>
      <c r="BN199" t="s">
        <v>74</v>
      </c>
      <c r="BO199" t="s">
        <v>403</v>
      </c>
      <c r="BP199" t="s">
        <v>74</v>
      </c>
      <c r="BQ199" t="s">
        <v>74</v>
      </c>
      <c r="BR199" t="s">
        <v>107</v>
      </c>
      <c r="BS199" t="s">
        <v>4175</v>
      </c>
      <c r="BT199" t="str">
        <f>HYPERLINK("https%3A%2F%2Fwww.webofscience.com%2Fwos%2Fwoscc%2Ffull-record%2FWOS:000463988500041","View Full Record in Web of Science")</f>
        <v>View Full Record in Web of Science</v>
      </c>
    </row>
    <row r="200" spans="1:72" x14ac:dyDescent="0.15">
      <c r="A200" t="s">
        <v>72</v>
      </c>
      <c r="B200" t="s">
        <v>4176</v>
      </c>
      <c r="C200" t="s">
        <v>74</v>
      </c>
      <c r="D200" t="s">
        <v>74</v>
      </c>
      <c r="E200" t="s">
        <v>74</v>
      </c>
      <c r="F200" t="s">
        <v>4177</v>
      </c>
      <c r="G200" t="s">
        <v>74</v>
      </c>
      <c r="H200" t="s">
        <v>74</v>
      </c>
      <c r="I200" t="s">
        <v>4178</v>
      </c>
      <c r="J200" t="s">
        <v>4179</v>
      </c>
      <c r="K200" t="s">
        <v>74</v>
      </c>
      <c r="L200" t="s">
        <v>74</v>
      </c>
      <c r="M200" t="s">
        <v>78</v>
      </c>
      <c r="N200" t="s">
        <v>79</v>
      </c>
      <c r="O200" t="s">
        <v>74</v>
      </c>
      <c r="P200" t="s">
        <v>74</v>
      </c>
      <c r="Q200" t="s">
        <v>74</v>
      </c>
      <c r="R200" t="s">
        <v>74</v>
      </c>
      <c r="S200" t="s">
        <v>74</v>
      </c>
      <c r="T200" t="s">
        <v>4180</v>
      </c>
      <c r="U200" t="s">
        <v>4181</v>
      </c>
      <c r="V200" t="s">
        <v>4182</v>
      </c>
      <c r="W200" t="s">
        <v>4183</v>
      </c>
      <c r="X200" t="s">
        <v>4184</v>
      </c>
      <c r="Y200" t="s">
        <v>4185</v>
      </c>
      <c r="Z200" t="s">
        <v>4186</v>
      </c>
      <c r="AA200" t="s">
        <v>74</v>
      </c>
      <c r="AB200" t="s">
        <v>74</v>
      </c>
      <c r="AC200" t="s">
        <v>4187</v>
      </c>
      <c r="AD200" t="s">
        <v>4188</v>
      </c>
      <c r="AE200" t="s">
        <v>4189</v>
      </c>
      <c r="AF200" t="s">
        <v>74</v>
      </c>
      <c r="AG200">
        <v>82</v>
      </c>
      <c r="AH200">
        <v>5</v>
      </c>
      <c r="AI200">
        <v>6</v>
      </c>
      <c r="AJ200">
        <v>0</v>
      </c>
      <c r="AK200">
        <v>4</v>
      </c>
      <c r="AL200" t="s">
        <v>153</v>
      </c>
      <c r="AM200" t="s">
        <v>154</v>
      </c>
      <c r="AN200" t="s">
        <v>155</v>
      </c>
      <c r="AO200" t="s">
        <v>4190</v>
      </c>
      <c r="AP200" t="s">
        <v>4191</v>
      </c>
      <c r="AQ200" t="s">
        <v>74</v>
      </c>
      <c r="AR200" t="s">
        <v>4192</v>
      </c>
      <c r="AS200" t="s">
        <v>4193</v>
      </c>
      <c r="AT200" t="s">
        <v>2547</v>
      </c>
      <c r="AU200">
        <v>2019</v>
      </c>
      <c r="AV200">
        <v>44</v>
      </c>
      <c r="AW200">
        <v>5</v>
      </c>
      <c r="AX200" t="s">
        <v>74</v>
      </c>
      <c r="AY200" t="s">
        <v>74</v>
      </c>
      <c r="AZ200" t="s">
        <v>74</v>
      </c>
      <c r="BA200" t="s">
        <v>74</v>
      </c>
      <c r="BB200">
        <v>1148</v>
      </c>
      <c r="BC200">
        <v>1162</v>
      </c>
      <c r="BD200" t="s">
        <v>74</v>
      </c>
      <c r="BE200" t="s">
        <v>4194</v>
      </c>
      <c r="BF200" t="str">
        <f>HYPERLINK("http://dx.doi.org/10.1002/esp.4565","http://dx.doi.org/10.1002/esp.4565")</f>
        <v>http://dx.doi.org/10.1002/esp.4565</v>
      </c>
      <c r="BG200" t="s">
        <v>74</v>
      </c>
      <c r="BH200" t="s">
        <v>74</v>
      </c>
      <c r="BI200">
        <v>15</v>
      </c>
      <c r="BJ200" t="s">
        <v>1142</v>
      </c>
      <c r="BK200" t="s">
        <v>102</v>
      </c>
      <c r="BL200" t="s">
        <v>1143</v>
      </c>
      <c r="BM200" t="s">
        <v>4195</v>
      </c>
      <c r="BN200" t="s">
        <v>74</v>
      </c>
      <c r="BO200" t="s">
        <v>645</v>
      </c>
      <c r="BP200" t="s">
        <v>74</v>
      </c>
      <c r="BQ200" t="s">
        <v>74</v>
      </c>
      <c r="BR200" t="s">
        <v>107</v>
      </c>
      <c r="BS200" t="s">
        <v>4196</v>
      </c>
      <c r="BT200" t="str">
        <f>HYPERLINK("https%3A%2F%2Fwww.webofscience.com%2Fwos%2Fwoscc%2Ffull-record%2FWOS:000463953500012","View Full Record in Web of Science")</f>
        <v>View Full Record in Web of Science</v>
      </c>
    </row>
    <row r="201" spans="1:72" x14ac:dyDescent="0.15">
      <c r="A201" t="s">
        <v>72</v>
      </c>
      <c r="B201" t="s">
        <v>4197</v>
      </c>
      <c r="C201" t="s">
        <v>74</v>
      </c>
      <c r="D201" t="s">
        <v>74</v>
      </c>
      <c r="E201" t="s">
        <v>74</v>
      </c>
      <c r="F201" t="s">
        <v>4198</v>
      </c>
      <c r="G201" t="s">
        <v>74</v>
      </c>
      <c r="H201" t="s">
        <v>74</v>
      </c>
      <c r="I201" t="s">
        <v>4199</v>
      </c>
      <c r="J201" t="s">
        <v>4200</v>
      </c>
      <c r="K201" t="s">
        <v>74</v>
      </c>
      <c r="L201" t="s">
        <v>74</v>
      </c>
      <c r="M201" t="s">
        <v>78</v>
      </c>
      <c r="N201" t="s">
        <v>79</v>
      </c>
      <c r="O201" t="s">
        <v>74</v>
      </c>
      <c r="P201" t="s">
        <v>74</v>
      </c>
      <c r="Q201" t="s">
        <v>74</v>
      </c>
      <c r="R201" t="s">
        <v>74</v>
      </c>
      <c r="S201" t="s">
        <v>74</v>
      </c>
      <c r="T201" t="s">
        <v>4201</v>
      </c>
      <c r="U201" t="s">
        <v>4202</v>
      </c>
      <c r="V201" t="s">
        <v>4203</v>
      </c>
      <c r="W201" t="s">
        <v>4204</v>
      </c>
      <c r="X201" t="s">
        <v>4205</v>
      </c>
      <c r="Y201" t="s">
        <v>4206</v>
      </c>
      <c r="Z201" t="s">
        <v>4207</v>
      </c>
      <c r="AA201" t="s">
        <v>4208</v>
      </c>
      <c r="AB201" t="s">
        <v>4209</v>
      </c>
      <c r="AC201" t="s">
        <v>4210</v>
      </c>
      <c r="AD201" t="s">
        <v>4211</v>
      </c>
      <c r="AE201" t="s">
        <v>4212</v>
      </c>
      <c r="AF201" t="s">
        <v>74</v>
      </c>
      <c r="AG201">
        <v>46</v>
      </c>
      <c r="AH201">
        <v>3</v>
      </c>
      <c r="AI201">
        <v>4</v>
      </c>
      <c r="AJ201">
        <v>0</v>
      </c>
      <c r="AK201">
        <v>18</v>
      </c>
      <c r="AL201" t="s">
        <v>4213</v>
      </c>
      <c r="AM201" t="s">
        <v>4214</v>
      </c>
      <c r="AN201" t="s">
        <v>4215</v>
      </c>
      <c r="AO201" t="s">
        <v>4216</v>
      </c>
      <c r="AP201" t="s">
        <v>4217</v>
      </c>
      <c r="AQ201" t="s">
        <v>74</v>
      </c>
      <c r="AR201" t="s">
        <v>4218</v>
      </c>
      <c r="AS201" t="s">
        <v>4219</v>
      </c>
      <c r="AT201" t="s">
        <v>2547</v>
      </c>
      <c r="AU201">
        <v>2019</v>
      </c>
      <c r="AV201">
        <v>13</v>
      </c>
      <c r="AW201">
        <v>2</v>
      </c>
      <c r="AX201" t="s">
        <v>74</v>
      </c>
      <c r="AY201" t="s">
        <v>74</v>
      </c>
      <c r="AZ201" t="s">
        <v>74</v>
      </c>
      <c r="BA201" t="s">
        <v>74</v>
      </c>
      <c r="BB201">
        <v>253</v>
      </c>
      <c r="BC201">
        <v>263</v>
      </c>
      <c r="BD201" t="s">
        <v>74</v>
      </c>
      <c r="BE201" t="s">
        <v>4220</v>
      </c>
      <c r="BF201" t="str">
        <f>HYPERLINK("http://dx.doi.org/10.1007/s41742-019-00169-w","http://dx.doi.org/10.1007/s41742-019-00169-w")</f>
        <v>http://dx.doi.org/10.1007/s41742-019-00169-w</v>
      </c>
      <c r="BG201" t="s">
        <v>74</v>
      </c>
      <c r="BH201" t="s">
        <v>74</v>
      </c>
      <c r="BI201">
        <v>11</v>
      </c>
      <c r="BJ201" t="s">
        <v>2296</v>
      </c>
      <c r="BK201" t="s">
        <v>102</v>
      </c>
      <c r="BL201" t="s">
        <v>2297</v>
      </c>
      <c r="BM201" t="s">
        <v>4221</v>
      </c>
      <c r="BN201" t="s">
        <v>74</v>
      </c>
      <c r="BO201" t="s">
        <v>74</v>
      </c>
      <c r="BP201" t="s">
        <v>74</v>
      </c>
      <c r="BQ201" t="s">
        <v>74</v>
      </c>
      <c r="BR201" t="s">
        <v>107</v>
      </c>
      <c r="BS201" t="s">
        <v>4222</v>
      </c>
      <c r="BT201" t="str">
        <f>HYPERLINK("https%3A%2F%2Fwww.webofscience.com%2Fwos%2Fwoscc%2Ffull-record%2FWOS:000463677300003","View Full Record in Web of Science")</f>
        <v>View Full Record in Web of Science</v>
      </c>
    </row>
    <row r="202" spans="1:72" x14ac:dyDescent="0.15">
      <c r="A202" t="s">
        <v>72</v>
      </c>
      <c r="B202" t="s">
        <v>4223</v>
      </c>
      <c r="C202" t="s">
        <v>74</v>
      </c>
      <c r="D202" t="s">
        <v>74</v>
      </c>
      <c r="E202" t="s">
        <v>74</v>
      </c>
      <c r="F202" t="s">
        <v>4224</v>
      </c>
      <c r="G202" t="s">
        <v>74</v>
      </c>
      <c r="H202" t="s">
        <v>74</v>
      </c>
      <c r="I202" t="s">
        <v>4225</v>
      </c>
      <c r="J202" t="s">
        <v>4226</v>
      </c>
      <c r="K202" t="s">
        <v>74</v>
      </c>
      <c r="L202" t="s">
        <v>74</v>
      </c>
      <c r="M202" t="s">
        <v>78</v>
      </c>
      <c r="N202" t="s">
        <v>79</v>
      </c>
      <c r="O202" t="s">
        <v>74</v>
      </c>
      <c r="P202" t="s">
        <v>74</v>
      </c>
      <c r="Q202" t="s">
        <v>74</v>
      </c>
      <c r="R202" t="s">
        <v>74</v>
      </c>
      <c r="S202" t="s">
        <v>74</v>
      </c>
      <c r="T202" t="s">
        <v>74</v>
      </c>
      <c r="U202" t="s">
        <v>74</v>
      </c>
      <c r="V202" t="s">
        <v>74</v>
      </c>
      <c r="W202" t="s">
        <v>4227</v>
      </c>
      <c r="X202" t="s">
        <v>933</v>
      </c>
      <c r="Y202" t="s">
        <v>4228</v>
      </c>
      <c r="Z202" t="s">
        <v>74</v>
      </c>
      <c r="AA202" t="s">
        <v>4229</v>
      </c>
      <c r="AB202" t="s">
        <v>4230</v>
      </c>
      <c r="AC202" t="s">
        <v>4231</v>
      </c>
      <c r="AD202" t="s">
        <v>4232</v>
      </c>
      <c r="AE202" t="s">
        <v>4233</v>
      </c>
      <c r="AF202" t="s">
        <v>74</v>
      </c>
      <c r="AG202">
        <v>4</v>
      </c>
      <c r="AH202">
        <v>1</v>
      </c>
      <c r="AI202">
        <v>1</v>
      </c>
      <c r="AJ202">
        <v>0</v>
      </c>
      <c r="AK202">
        <v>2</v>
      </c>
      <c r="AL202" t="s">
        <v>92</v>
      </c>
      <c r="AM202" t="s">
        <v>93</v>
      </c>
      <c r="AN202" t="s">
        <v>94</v>
      </c>
      <c r="AO202" t="s">
        <v>4234</v>
      </c>
      <c r="AP202" t="s">
        <v>4235</v>
      </c>
      <c r="AQ202" t="s">
        <v>74</v>
      </c>
      <c r="AR202" t="s">
        <v>4236</v>
      </c>
      <c r="AS202" t="s">
        <v>4237</v>
      </c>
      <c r="AT202" t="s">
        <v>2547</v>
      </c>
      <c r="AU202">
        <v>2019</v>
      </c>
      <c r="AV202">
        <v>60</v>
      </c>
      <c r="AW202">
        <v>2</v>
      </c>
      <c r="AX202" t="s">
        <v>74</v>
      </c>
      <c r="AY202" t="s">
        <v>74</v>
      </c>
      <c r="AZ202" t="s">
        <v>74</v>
      </c>
      <c r="BA202" t="s">
        <v>74</v>
      </c>
      <c r="BB202">
        <v>18</v>
      </c>
      <c r="BC202">
        <v>21</v>
      </c>
      <c r="BD202" t="s">
        <v>74</v>
      </c>
      <c r="BE202" t="s">
        <v>4238</v>
      </c>
      <c r="BF202" t="str">
        <f>HYPERLINK("http://dx.doi.org/10.1093/astrogeo/atz097","http://dx.doi.org/10.1093/astrogeo/atz097")</f>
        <v>http://dx.doi.org/10.1093/astrogeo/atz097</v>
      </c>
      <c r="BG202" t="s">
        <v>74</v>
      </c>
      <c r="BH202" t="s">
        <v>74</v>
      </c>
      <c r="BI202">
        <v>4</v>
      </c>
      <c r="BJ202" t="s">
        <v>4239</v>
      </c>
      <c r="BK202" t="s">
        <v>102</v>
      </c>
      <c r="BL202" t="s">
        <v>4239</v>
      </c>
      <c r="BM202" t="s">
        <v>4240</v>
      </c>
      <c r="BN202" t="s">
        <v>74</v>
      </c>
      <c r="BO202" t="s">
        <v>2614</v>
      </c>
      <c r="BP202" t="s">
        <v>74</v>
      </c>
      <c r="BQ202" t="s">
        <v>74</v>
      </c>
      <c r="BR202" t="s">
        <v>107</v>
      </c>
      <c r="BS202" t="s">
        <v>4241</v>
      </c>
      <c r="BT202" t="str">
        <f>HYPERLINK("https%3A%2F%2Fwww.webofscience.com%2Fwos%2Fwoscc%2Ffull-record%2FWOS:000463711800041","View Full Record in Web of Science")</f>
        <v>View Full Record in Web of Science</v>
      </c>
    </row>
    <row r="203" spans="1:72" x14ac:dyDescent="0.15">
      <c r="A203" t="s">
        <v>72</v>
      </c>
      <c r="B203" t="s">
        <v>4242</v>
      </c>
      <c r="C203" t="s">
        <v>74</v>
      </c>
      <c r="D203" t="s">
        <v>74</v>
      </c>
      <c r="E203" t="s">
        <v>74</v>
      </c>
      <c r="F203" t="s">
        <v>4243</v>
      </c>
      <c r="G203" t="s">
        <v>74</v>
      </c>
      <c r="H203" t="s">
        <v>74</v>
      </c>
      <c r="I203" t="s">
        <v>4244</v>
      </c>
      <c r="J203" t="s">
        <v>4245</v>
      </c>
      <c r="K203" t="s">
        <v>74</v>
      </c>
      <c r="L203" t="s">
        <v>74</v>
      </c>
      <c r="M203" t="s">
        <v>78</v>
      </c>
      <c r="N203" t="s">
        <v>79</v>
      </c>
      <c r="O203" t="s">
        <v>74</v>
      </c>
      <c r="P203" t="s">
        <v>74</v>
      </c>
      <c r="Q203" t="s">
        <v>74</v>
      </c>
      <c r="R203" t="s">
        <v>74</v>
      </c>
      <c r="S203" t="s">
        <v>74</v>
      </c>
      <c r="T203" t="s">
        <v>74</v>
      </c>
      <c r="U203" t="s">
        <v>4246</v>
      </c>
      <c r="V203" t="s">
        <v>4247</v>
      </c>
      <c r="W203" t="s">
        <v>4248</v>
      </c>
      <c r="X203" t="s">
        <v>4249</v>
      </c>
      <c r="Y203" t="s">
        <v>4250</v>
      </c>
      <c r="Z203" t="s">
        <v>4251</v>
      </c>
      <c r="AA203" t="s">
        <v>4252</v>
      </c>
      <c r="AB203" t="s">
        <v>4253</v>
      </c>
      <c r="AC203" t="s">
        <v>4254</v>
      </c>
      <c r="AD203" t="s">
        <v>4255</v>
      </c>
      <c r="AE203" t="s">
        <v>4256</v>
      </c>
      <c r="AF203" t="s">
        <v>74</v>
      </c>
      <c r="AG203">
        <v>92</v>
      </c>
      <c r="AH203">
        <v>23</v>
      </c>
      <c r="AI203">
        <v>26</v>
      </c>
      <c r="AJ203">
        <v>0</v>
      </c>
      <c r="AK203">
        <v>29</v>
      </c>
      <c r="AL203" t="s">
        <v>153</v>
      </c>
      <c r="AM203" t="s">
        <v>154</v>
      </c>
      <c r="AN203" t="s">
        <v>155</v>
      </c>
      <c r="AO203" t="s">
        <v>4257</v>
      </c>
      <c r="AP203" t="s">
        <v>4258</v>
      </c>
      <c r="AQ203" t="s">
        <v>74</v>
      </c>
      <c r="AR203" t="s">
        <v>4245</v>
      </c>
      <c r="AS203" t="s">
        <v>4259</v>
      </c>
      <c r="AT203" t="s">
        <v>2547</v>
      </c>
      <c r="AU203">
        <v>2019</v>
      </c>
      <c r="AV203">
        <v>48</v>
      </c>
      <c r="AW203">
        <v>2</v>
      </c>
      <c r="AX203" t="s">
        <v>74</v>
      </c>
      <c r="AY203" t="s">
        <v>74</v>
      </c>
      <c r="AZ203" t="s">
        <v>247</v>
      </c>
      <c r="BA203" t="s">
        <v>74</v>
      </c>
      <c r="BB203">
        <v>330</v>
      </c>
      <c r="BC203">
        <v>348</v>
      </c>
      <c r="BD203" t="s">
        <v>74</v>
      </c>
      <c r="BE203" t="s">
        <v>4260</v>
      </c>
      <c r="BF203" t="str">
        <f>HYPERLINK("http://dx.doi.org/10.1111/bor.12379","http://dx.doi.org/10.1111/bor.12379")</f>
        <v>http://dx.doi.org/10.1111/bor.12379</v>
      </c>
      <c r="BG203" t="s">
        <v>74</v>
      </c>
      <c r="BH203" t="s">
        <v>74</v>
      </c>
      <c r="BI203">
        <v>19</v>
      </c>
      <c r="BJ203" t="s">
        <v>1142</v>
      </c>
      <c r="BK203" t="s">
        <v>102</v>
      </c>
      <c r="BL203" t="s">
        <v>1143</v>
      </c>
      <c r="BM203" t="s">
        <v>4261</v>
      </c>
      <c r="BN203" t="s">
        <v>74</v>
      </c>
      <c r="BO203" t="s">
        <v>74</v>
      </c>
      <c r="BP203" t="s">
        <v>74</v>
      </c>
      <c r="BQ203" t="s">
        <v>74</v>
      </c>
      <c r="BR203" t="s">
        <v>107</v>
      </c>
      <c r="BS203" t="s">
        <v>4262</v>
      </c>
      <c r="BT203" t="str">
        <f>HYPERLINK("https%3A%2F%2Fwww.webofscience.com%2Fwos%2Fwoscc%2Ffull-record%2FWOS:000463748900006","View Full Record in Web of Science")</f>
        <v>View Full Record in Web of Science</v>
      </c>
    </row>
    <row r="204" spans="1:72" x14ac:dyDescent="0.15">
      <c r="A204" t="s">
        <v>72</v>
      </c>
      <c r="B204" t="s">
        <v>4263</v>
      </c>
      <c r="C204" t="s">
        <v>74</v>
      </c>
      <c r="D204" t="s">
        <v>74</v>
      </c>
      <c r="E204" t="s">
        <v>74</v>
      </c>
      <c r="F204" t="s">
        <v>4264</v>
      </c>
      <c r="G204" t="s">
        <v>74</v>
      </c>
      <c r="H204" t="s">
        <v>74</v>
      </c>
      <c r="I204" t="s">
        <v>4265</v>
      </c>
      <c r="J204" t="s">
        <v>4245</v>
      </c>
      <c r="K204" t="s">
        <v>74</v>
      </c>
      <c r="L204" t="s">
        <v>74</v>
      </c>
      <c r="M204" t="s">
        <v>78</v>
      </c>
      <c r="N204" t="s">
        <v>79</v>
      </c>
      <c r="O204" t="s">
        <v>74</v>
      </c>
      <c r="P204" t="s">
        <v>74</v>
      </c>
      <c r="Q204" t="s">
        <v>74</v>
      </c>
      <c r="R204" t="s">
        <v>74</v>
      </c>
      <c r="S204" t="s">
        <v>74</v>
      </c>
      <c r="T204" t="s">
        <v>74</v>
      </c>
      <c r="U204" t="s">
        <v>4266</v>
      </c>
      <c r="V204" t="s">
        <v>4267</v>
      </c>
      <c r="W204" t="s">
        <v>4268</v>
      </c>
      <c r="X204" t="s">
        <v>4269</v>
      </c>
      <c r="Y204" t="s">
        <v>4270</v>
      </c>
      <c r="Z204" t="s">
        <v>4271</v>
      </c>
      <c r="AA204" t="s">
        <v>4272</v>
      </c>
      <c r="AB204" t="s">
        <v>4273</v>
      </c>
      <c r="AC204" t="s">
        <v>4274</v>
      </c>
      <c r="AD204" t="s">
        <v>4275</v>
      </c>
      <c r="AE204" t="s">
        <v>4276</v>
      </c>
      <c r="AF204" t="s">
        <v>74</v>
      </c>
      <c r="AG204">
        <v>65</v>
      </c>
      <c r="AH204">
        <v>14</v>
      </c>
      <c r="AI204">
        <v>14</v>
      </c>
      <c r="AJ204">
        <v>0</v>
      </c>
      <c r="AK204">
        <v>21</v>
      </c>
      <c r="AL204" t="s">
        <v>153</v>
      </c>
      <c r="AM204" t="s">
        <v>154</v>
      </c>
      <c r="AN204" t="s">
        <v>155</v>
      </c>
      <c r="AO204" t="s">
        <v>4257</v>
      </c>
      <c r="AP204" t="s">
        <v>4258</v>
      </c>
      <c r="AQ204" t="s">
        <v>74</v>
      </c>
      <c r="AR204" t="s">
        <v>4245</v>
      </c>
      <c r="AS204" t="s">
        <v>4259</v>
      </c>
      <c r="AT204" t="s">
        <v>2547</v>
      </c>
      <c r="AU204">
        <v>2019</v>
      </c>
      <c r="AV204">
        <v>48</v>
      </c>
      <c r="AW204">
        <v>2</v>
      </c>
      <c r="AX204" t="s">
        <v>74</v>
      </c>
      <c r="AY204" t="s">
        <v>74</v>
      </c>
      <c r="AZ204" t="s">
        <v>247</v>
      </c>
      <c r="BA204" t="s">
        <v>74</v>
      </c>
      <c r="BB204">
        <v>349</v>
      </c>
      <c r="BC204">
        <v>360</v>
      </c>
      <c r="BD204" t="s">
        <v>74</v>
      </c>
      <c r="BE204" t="s">
        <v>4277</v>
      </c>
      <c r="BF204" t="str">
        <f>HYPERLINK("http://dx.doi.org/10.1111/bor.12376","http://dx.doi.org/10.1111/bor.12376")</f>
        <v>http://dx.doi.org/10.1111/bor.12376</v>
      </c>
      <c r="BG204" t="s">
        <v>74</v>
      </c>
      <c r="BH204" t="s">
        <v>74</v>
      </c>
      <c r="BI204">
        <v>12</v>
      </c>
      <c r="BJ204" t="s">
        <v>1142</v>
      </c>
      <c r="BK204" t="s">
        <v>102</v>
      </c>
      <c r="BL204" t="s">
        <v>1143</v>
      </c>
      <c r="BM204" t="s">
        <v>4261</v>
      </c>
      <c r="BN204" t="s">
        <v>74</v>
      </c>
      <c r="BO204" t="s">
        <v>74</v>
      </c>
      <c r="BP204" t="s">
        <v>74</v>
      </c>
      <c r="BQ204" t="s">
        <v>74</v>
      </c>
      <c r="BR204" t="s">
        <v>107</v>
      </c>
      <c r="BS204" t="s">
        <v>4278</v>
      </c>
      <c r="BT204" t="str">
        <f>HYPERLINK("https%3A%2F%2Fwww.webofscience.com%2Fwos%2Fwoscc%2Ffull-record%2FWOS:000463748900007","View Full Record in Web of Science")</f>
        <v>View Full Record in Web of Science</v>
      </c>
    </row>
    <row r="205" spans="1:72" x14ac:dyDescent="0.15">
      <c r="A205" t="s">
        <v>72</v>
      </c>
      <c r="B205" t="s">
        <v>4279</v>
      </c>
      <c r="C205" t="s">
        <v>74</v>
      </c>
      <c r="D205" t="s">
        <v>74</v>
      </c>
      <c r="E205" t="s">
        <v>74</v>
      </c>
      <c r="F205" t="s">
        <v>4280</v>
      </c>
      <c r="G205" t="s">
        <v>74</v>
      </c>
      <c r="H205" t="s">
        <v>74</v>
      </c>
      <c r="I205" t="s">
        <v>4281</v>
      </c>
      <c r="J205" t="s">
        <v>4245</v>
      </c>
      <c r="K205" t="s">
        <v>74</v>
      </c>
      <c r="L205" t="s">
        <v>74</v>
      </c>
      <c r="M205" t="s">
        <v>78</v>
      </c>
      <c r="N205" t="s">
        <v>79</v>
      </c>
      <c r="O205" t="s">
        <v>74</v>
      </c>
      <c r="P205" t="s">
        <v>74</v>
      </c>
      <c r="Q205" t="s">
        <v>74</v>
      </c>
      <c r="R205" t="s">
        <v>74</v>
      </c>
      <c r="S205" t="s">
        <v>74</v>
      </c>
      <c r="T205" t="s">
        <v>74</v>
      </c>
      <c r="U205" t="s">
        <v>4282</v>
      </c>
      <c r="V205" t="s">
        <v>4283</v>
      </c>
      <c r="W205" t="s">
        <v>4284</v>
      </c>
      <c r="X205" t="s">
        <v>4285</v>
      </c>
      <c r="Y205" t="s">
        <v>4286</v>
      </c>
      <c r="Z205" t="s">
        <v>4287</v>
      </c>
      <c r="AA205" t="s">
        <v>4288</v>
      </c>
      <c r="AB205" t="s">
        <v>4289</v>
      </c>
      <c r="AC205" t="s">
        <v>4290</v>
      </c>
      <c r="AD205" t="s">
        <v>4291</v>
      </c>
      <c r="AE205" t="s">
        <v>4292</v>
      </c>
      <c r="AF205" t="s">
        <v>74</v>
      </c>
      <c r="AG205">
        <v>93</v>
      </c>
      <c r="AH205">
        <v>19</v>
      </c>
      <c r="AI205">
        <v>19</v>
      </c>
      <c r="AJ205">
        <v>1</v>
      </c>
      <c r="AK205">
        <v>12</v>
      </c>
      <c r="AL205" t="s">
        <v>153</v>
      </c>
      <c r="AM205" t="s">
        <v>154</v>
      </c>
      <c r="AN205" t="s">
        <v>155</v>
      </c>
      <c r="AO205" t="s">
        <v>4257</v>
      </c>
      <c r="AP205" t="s">
        <v>4258</v>
      </c>
      <c r="AQ205" t="s">
        <v>74</v>
      </c>
      <c r="AR205" t="s">
        <v>4245</v>
      </c>
      <c r="AS205" t="s">
        <v>4259</v>
      </c>
      <c r="AT205" t="s">
        <v>2547</v>
      </c>
      <c r="AU205">
        <v>2019</v>
      </c>
      <c r="AV205">
        <v>48</v>
      </c>
      <c r="AW205">
        <v>2</v>
      </c>
      <c r="AX205" t="s">
        <v>74</v>
      </c>
      <c r="AY205" t="s">
        <v>74</v>
      </c>
      <c r="AZ205" t="s">
        <v>247</v>
      </c>
      <c r="BA205" t="s">
        <v>74</v>
      </c>
      <c r="BB205">
        <v>361</v>
      </c>
      <c r="BC205">
        <v>376</v>
      </c>
      <c r="BD205" t="s">
        <v>74</v>
      </c>
      <c r="BE205" t="s">
        <v>4293</v>
      </c>
      <c r="BF205" t="str">
        <f>HYPERLINK("http://dx.doi.org/10.1111/bor.12385","http://dx.doi.org/10.1111/bor.12385")</f>
        <v>http://dx.doi.org/10.1111/bor.12385</v>
      </c>
      <c r="BG205" t="s">
        <v>74</v>
      </c>
      <c r="BH205" t="s">
        <v>74</v>
      </c>
      <c r="BI205">
        <v>16</v>
      </c>
      <c r="BJ205" t="s">
        <v>1142</v>
      </c>
      <c r="BK205" t="s">
        <v>102</v>
      </c>
      <c r="BL205" t="s">
        <v>1143</v>
      </c>
      <c r="BM205" t="s">
        <v>4261</v>
      </c>
      <c r="BN205" t="s">
        <v>74</v>
      </c>
      <c r="BO205" t="s">
        <v>925</v>
      </c>
      <c r="BP205" t="s">
        <v>74</v>
      </c>
      <c r="BQ205" t="s">
        <v>74</v>
      </c>
      <c r="BR205" t="s">
        <v>107</v>
      </c>
      <c r="BS205" t="s">
        <v>4294</v>
      </c>
      <c r="BT205" t="str">
        <f>HYPERLINK("https%3A%2F%2Fwww.webofscience.com%2Fwos%2Fwoscc%2Ffull-record%2FWOS:000463748900008","View Full Record in Web of Science")</f>
        <v>View Full Record in Web of Science</v>
      </c>
    </row>
    <row r="206" spans="1:72" x14ac:dyDescent="0.15">
      <c r="A206" t="s">
        <v>72</v>
      </c>
      <c r="B206" t="s">
        <v>4295</v>
      </c>
      <c r="C206" t="s">
        <v>74</v>
      </c>
      <c r="D206" t="s">
        <v>74</v>
      </c>
      <c r="E206" t="s">
        <v>74</v>
      </c>
      <c r="F206" t="s">
        <v>4296</v>
      </c>
      <c r="G206" t="s">
        <v>74</v>
      </c>
      <c r="H206" t="s">
        <v>74</v>
      </c>
      <c r="I206" t="s">
        <v>4297</v>
      </c>
      <c r="J206" t="s">
        <v>4245</v>
      </c>
      <c r="K206" t="s">
        <v>74</v>
      </c>
      <c r="L206" t="s">
        <v>74</v>
      </c>
      <c r="M206" t="s">
        <v>78</v>
      </c>
      <c r="N206" t="s">
        <v>79</v>
      </c>
      <c r="O206" t="s">
        <v>74</v>
      </c>
      <c r="P206" t="s">
        <v>74</v>
      </c>
      <c r="Q206" t="s">
        <v>74</v>
      </c>
      <c r="R206" t="s">
        <v>74</v>
      </c>
      <c r="S206" t="s">
        <v>74</v>
      </c>
      <c r="T206" t="s">
        <v>74</v>
      </c>
      <c r="U206" t="s">
        <v>4298</v>
      </c>
      <c r="V206" t="s">
        <v>4299</v>
      </c>
      <c r="W206" t="s">
        <v>4300</v>
      </c>
      <c r="X206" t="s">
        <v>4301</v>
      </c>
      <c r="Y206" t="s">
        <v>4302</v>
      </c>
      <c r="Z206" t="s">
        <v>4303</v>
      </c>
      <c r="AA206" t="s">
        <v>4304</v>
      </c>
      <c r="AB206" t="s">
        <v>4305</v>
      </c>
      <c r="AC206" t="s">
        <v>4306</v>
      </c>
      <c r="AD206" t="s">
        <v>4307</v>
      </c>
      <c r="AE206" t="s">
        <v>4308</v>
      </c>
      <c r="AF206" t="s">
        <v>74</v>
      </c>
      <c r="AG206">
        <v>40</v>
      </c>
      <c r="AH206">
        <v>10</v>
      </c>
      <c r="AI206">
        <v>11</v>
      </c>
      <c r="AJ206">
        <v>1</v>
      </c>
      <c r="AK206">
        <v>11</v>
      </c>
      <c r="AL206" t="s">
        <v>153</v>
      </c>
      <c r="AM206" t="s">
        <v>154</v>
      </c>
      <c r="AN206" t="s">
        <v>155</v>
      </c>
      <c r="AO206" t="s">
        <v>4257</v>
      </c>
      <c r="AP206" t="s">
        <v>4258</v>
      </c>
      <c r="AQ206" t="s">
        <v>74</v>
      </c>
      <c r="AR206" t="s">
        <v>4245</v>
      </c>
      <c r="AS206" t="s">
        <v>4259</v>
      </c>
      <c r="AT206" t="s">
        <v>2547</v>
      </c>
      <c r="AU206">
        <v>2019</v>
      </c>
      <c r="AV206">
        <v>48</v>
      </c>
      <c r="AW206">
        <v>2</v>
      </c>
      <c r="AX206" t="s">
        <v>74</v>
      </c>
      <c r="AY206" t="s">
        <v>74</v>
      </c>
      <c r="AZ206" t="s">
        <v>247</v>
      </c>
      <c r="BA206" t="s">
        <v>74</v>
      </c>
      <c r="BB206">
        <v>377</v>
      </c>
      <c r="BC206">
        <v>386</v>
      </c>
      <c r="BD206" t="s">
        <v>74</v>
      </c>
      <c r="BE206" t="s">
        <v>4309</v>
      </c>
      <c r="BF206" t="str">
        <f>HYPERLINK("http://dx.doi.org/10.1111/bor.12382","http://dx.doi.org/10.1111/bor.12382")</f>
        <v>http://dx.doi.org/10.1111/bor.12382</v>
      </c>
      <c r="BG206" t="s">
        <v>74</v>
      </c>
      <c r="BH206" t="s">
        <v>74</v>
      </c>
      <c r="BI206">
        <v>10</v>
      </c>
      <c r="BJ206" t="s">
        <v>1142</v>
      </c>
      <c r="BK206" t="s">
        <v>102</v>
      </c>
      <c r="BL206" t="s">
        <v>1143</v>
      </c>
      <c r="BM206" t="s">
        <v>4261</v>
      </c>
      <c r="BN206" t="s">
        <v>74</v>
      </c>
      <c r="BO206" t="s">
        <v>74</v>
      </c>
      <c r="BP206" t="s">
        <v>74</v>
      </c>
      <c r="BQ206" t="s">
        <v>74</v>
      </c>
      <c r="BR206" t="s">
        <v>107</v>
      </c>
      <c r="BS206" t="s">
        <v>4310</v>
      </c>
      <c r="BT206" t="str">
        <f>HYPERLINK("https%3A%2F%2Fwww.webofscience.com%2Fwos%2Fwoscc%2Ffull-record%2FWOS:000463748900009","View Full Record in Web of Science")</f>
        <v>View Full Record in Web of Science</v>
      </c>
    </row>
    <row r="207" spans="1:72" x14ac:dyDescent="0.15">
      <c r="A207" t="s">
        <v>72</v>
      </c>
      <c r="B207" t="s">
        <v>4311</v>
      </c>
      <c r="C207" t="s">
        <v>74</v>
      </c>
      <c r="D207" t="s">
        <v>74</v>
      </c>
      <c r="E207" t="s">
        <v>74</v>
      </c>
      <c r="F207" t="s">
        <v>4312</v>
      </c>
      <c r="G207" t="s">
        <v>74</v>
      </c>
      <c r="H207" t="s">
        <v>74</v>
      </c>
      <c r="I207" t="s">
        <v>4313</v>
      </c>
      <c r="J207" t="s">
        <v>4245</v>
      </c>
      <c r="K207" t="s">
        <v>74</v>
      </c>
      <c r="L207" t="s">
        <v>74</v>
      </c>
      <c r="M207" t="s">
        <v>78</v>
      </c>
      <c r="N207" t="s">
        <v>79</v>
      </c>
      <c r="O207" t="s">
        <v>74</v>
      </c>
      <c r="P207" t="s">
        <v>74</v>
      </c>
      <c r="Q207" t="s">
        <v>74</v>
      </c>
      <c r="R207" t="s">
        <v>74</v>
      </c>
      <c r="S207" t="s">
        <v>74</v>
      </c>
      <c r="T207" t="s">
        <v>74</v>
      </c>
      <c r="U207" t="s">
        <v>4314</v>
      </c>
      <c r="V207" t="s">
        <v>4315</v>
      </c>
      <c r="W207" t="s">
        <v>4316</v>
      </c>
      <c r="X207" t="s">
        <v>4317</v>
      </c>
      <c r="Y207" t="s">
        <v>4318</v>
      </c>
      <c r="Z207" t="s">
        <v>4319</v>
      </c>
      <c r="AA207" t="s">
        <v>4320</v>
      </c>
      <c r="AB207" t="s">
        <v>4321</v>
      </c>
      <c r="AC207" t="s">
        <v>4322</v>
      </c>
      <c r="AD207" t="s">
        <v>4323</v>
      </c>
      <c r="AE207" t="s">
        <v>4324</v>
      </c>
      <c r="AF207" t="s">
        <v>74</v>
      </c>
      <c r="AG207">
        <v>52</v>
      </c>
      <c r="AH207">
        <v>14</v>
      </c>
      <c r="AI207">
        <v>14</v>
      </c>
      <c r="AJ207">
        <v>0</v>
      </c>
      <c r="AK207">
        <v>3</v>
      </c>
      <c r="AL207" t="s">
        <v>153</v>
      </c>
      <c r="AM207" t="s">
        <v>154</v>
      </c>
      <c r="AN207" t="s">
        <v>155</v>
      </c>
      <c r="AO207" t="s">
        <v>4257</v>
      </c>
      <c r="AP207" t="s">
        <v>4258</v>
      </c>
      <c r="AQ207" t="s">
        <v>74</v>
      </c>
      <c r="AR207" t="s">
        <v>4245</v>
      </c>
      <c r="AS207" t="s">
        <v>4259</v>
      </c>
      <c r="AT207" t="s">
        <v>2547</v>
      </c>
      <c r="AU207">
        <v>2019</v>
      </c>
      <c r="AV207">
        <v>48</v>
      </c>
      <c r="AW207">
        <v>2</v>
      </c>
      <c r="AX207" t="s">
        <v>74</v>
      </c>
      <c r="AY207" t="s">
        <v>74</v>
      </c>
      <c r="AZ207" t="s">
        <v>247</v>
      </c>
      <c r="BA207" t="s">
        <v>74</v>
      </c>
      <c r="BB207">
        <v>470</v>
      </c>
      <c r="BC207">
        <v>487</v>
      </c>
      <c r="BD207" t="s">
        <v>74</v>
      </c>
      <c r="BE207" t="s">
        <v>4325</v>
      </c>
      <c r="BF207" t="str">
        <f>HYPERLINK("http://dx.doi.org/10.1111/bor.12381","http://dx.doi.org/10.1111/bor.12381")</f>
        <v>http://dx.doi.org/10.1111/bor.12381</v>
      </c>
      <c r="BG207" t="s">
        <v>74</v>
      </c>
      <c r="BH207" t="s">
        <v>74</v>
      </c>
      <c r="BI207">
        <v>18</v>
      </c>
      <c r="BJ207" t="s">
        <v>1142</v>
      </c>
      <c r="BK207" t="s">
        <v>102</v>
      </c>
      <c r="BL207" t="s">
        <v>1143</v>
      </c>
      <c r="BM207" t="s">
        <v>4261</v>
      </c>
      <c r="BN207" t="s">
        <v>74</v>
      </c>
      <c r="BO207" t="s">
        <v>74</v>
      </c>
      <c r="BP207" t="s">
        <v>74</v>
      </c>
      <c r="BQ207" t="s">
        <v>74</v>
      </c>
      <c r="BR207" t="s">
        <v>107</v>
      </c>
      <c r="BS207" t="s">
        <v>4326</v>
      </c>
      <c r="BT207" t="str">
        <f>HYPERLINK("https%3A%2F%2Fwww.webofscience.com%2Fwos%2Fwoscc%2Ffull-record%2FWOS:000463748900015","View Full Record in Web of Science")</f>
        <v>View Full Record in Web of Science</v>
      </c>
    </row>
    <row r="208" spans="1:72" x14ac:dyDescent="0.15">
      <c r="A208" t="s">
        <v>72</v>
      </c>
      <c r="B208" t="s">
        <v>4327</v>
      </c>
      <c r="C208" t="s">
        <v>74</v>
      </c>
      <c r="D208" t="s">
        <v>74</v>
      </c>
      <c r="E208" t="s">
        <v>74</v>
      </c>
      <c r="F208" t="s">
        <v>4328</v>
      </c>
      <c r="G208" t="s">
        <v>74</v>
      </c>
      <c r="H208" t="s">
        <v>74</v>
      </c>
      <c r="I208" t="s">
        <v>4329</v>
      </c>
      <c r="J208" t="s">
        <v>4245</v>
      </c>
      <c r="K208" t="s">
        <v>74</v>
      </c>
      <c r="L208" t="s">
        <v>74</v>
      </c>
      <c r="M208" t="s">
        <v>78</v>
      </c>
      <c r="N208" t="s">
        <v>79</v>
      </c>
      <c r="O208" t="s">
        <v>74</v>
      </c>
      <c r="P208" t="s">
        <v>74</v>
      </c>
      <c r="Q208" t="s">
        <v>74</v>
      </c>
      <c r="R208" t="s">
        <v>74</v>
      </c>
      <c r="S208" t="s">
        <v>74</v>
      </c>
      <c r="T208" t="s">
        <v>74</v>
      </c>
      <c r="U208" t="s">
        <v>4330</v>
      </c>
      <c r="V208" t="s">
        <v>4331</v>
      </c>
      <c r="W208" t="s">
        <v>4332</v>
      </c>
      <c r="X208" t="s">
        <v>4333</v>
      </c>
      <c r="Y208" t="s">
        <v>4334</v>
      </c>
      <c r="Z208" t="s">
        <v>4335</v>
      </c>
      <c r="AA208" t="s">
        <v>4336</v>
      </c>
      <c r="AB208" t="s">
        <v>4337</v>
      </c>
      <c r="AC208" t="s">
        <v>4338</v>
      </c>
      <c r="AD208" t="s">
        <v>4339</v>
      </c>
      <c r="AE208" t="s">
        <v>4340</v>
      </c>
      <c r="AF208" t="s">
        <v>74</v>
      </c>
      <c r="AG208">
        <v>60</v>
      </c>
      <c r="AH208">
        <v>6</v>
      </c>
      <c r="AI208">
        <v>6</v>
      </c>
      <c r="AJ208">
        <v>0</v>
      </c>
      <c r="AK208">
        <v>7</v>
      </c>
      <c r="AL208" t="s">
        <v>153</v>
      </c>
      <c r="AM208" t="s">
        <v>154</v>
      </c>
      <c r="AN208" t="s">
        <v>155</v>
      </c>
      <c r="AO208" t="s">
        <v>4257</v>
      </c>
      <c r="AP208" t="s">
        <v>4258</v>
      </c>
      <c r="AQ208" t="s">
        <v>74</v>
      </c>
      <c r="AR208" t="s">
        <v>4245</v>
      </c>
      <c r="AS208" t="s">
        <v>4259</v>
      </c>
      <c r="AT208" t="s">
        <v>2547</v>
      </c>
      <c r="AU208">
        <v>2019</v>
      </c>
      <c r="AV208">
        <v>48</v>
      </c>
      <c r="AW208">
        <v>2</v>
      </c>
      <c r="AX208" t="s">
        <v>74</v>
      </c>
      <c r="AY208" t="s">
        <v>74</v>
      </c>
      <c r="AZ208" t="s">
        <v>247</v>
      </c>
      <c r="BA208" t="s">
        <v>74</v>
      </c>
      <c r="BB208">
        <v>516</v>
      </c>
      <c r="BC208">
        <v>533</v>
      </c>
      <c r="BD208" t="s">
        <v>74</v>
      </c>
      <c r="BE208" t="s">
        <v>4341</v>
      </c>
      <c r="BF208" t="str">
        <f>HYPERLINK("http://dx.doi.org/10.1111/bor.12367","http://dx.doi.org/10.1111/bor.12367")</f>
        <v>http://dx.doi.org/10.1111/bor.12367</v>
      </c>
      <c r="BG208" t="s">
        <v>74</v>
      </c>
      <c r="BH208" t="s">
        <v>74</v>
      </c>
      <c r="BI208">
        <v>18</v>
      </c>
      <c r="BJ208" t="s">
        <v>1142</v>
      </c>
      <c r="BK208" t="s">
        <v>102</v>
      </c>
      <c r="BL208" t="s">
        <v>1143</v>
      </c>
      <c r="BM208" t="s">
        <v>4261</v>
      </c>
      <c r="BN208" t="s">
        <v>74</v>
      </c>
      <c r="BO208" t="s">
        <v>74</v>
      </c>
      <c r="BP208" t="s">
        <v>74</v>
      </c>
      <c r="BQ208" t="s">
        <v>74</v>
      </c>
      <c r="BR208" t="s">
        <v>107</v>
      </c>
      <c r="BS208" t="s">
        <v>4342</v>
      </c>
      <c r="BT208" t="str">
        <f>HYPERLINK("https%3A%2F%2Fwww.webofscience.com%2Fwos%2Fwoscc%2Ffull-record%2FWOS:000463748900018","View Full Record in Web of Science")</f>
        <v>View Full Record in Web of Science</v>
      </c>
    </row>
    <row r="209" spans="1:72" x14ac:dyDescent="0.15">
      <c r="A209" t="s">
        <v>72</v>
      </c>
      <c r="B209" t="s">
        <v>4343</v>
      </c>
      <c r="C209" t="s">
        <v>74</v>
      </c>
      <c r="D209" t="s">
        <v>74</v>
      </c>
      <c r="E209" t="s">
        <v>74</v>
      </c>
      <c r="F209" t="s">
        <v>4344</v>
      </c>
      <c r="G209" t="s">
        <v>74</v>
      </c>
      <c r="H209" t="s">
        <v>74</v>
      </c>
      <c r="I209" t="s">
        <v>4345</v>
      </c>
      <c r="J209" t="s">
        <v>4346</v>
      </c>
      <c r="K209" t="s">
        <v>74</v>
      </c>
      <c r="L209" t="s">
        <v>74</v>
      </c>
      <c r="M209" t="s">
        <v>78</v>
      </c>
      <c r="N209" t="s">
        <v>79</v>
      </c>
      <c r="O209" t="s">
        <v>74</v>
      </c>
      <c r="P209" t="s">
        <v>74</v>
      </c>
      <c r="Q209" t="s">
        <v>74</v>
      </c>
      <c r="R209" t="s">
        <v>74</v>
      </c>
      <c r="S209" t="s">
        <v>74</v>
      </c>
      <c r="T209" t="s">
        <v>4347</v>
      </c>
      <c r="U209" t="s">
        <v>4348</v>
      </c>
      <c r="V209" t="s">
        <v>4349</v>
      </c>
      <c r="W209" t="s">
        <v>4350</v>
      </c>
      <c r="X209" t="s">
        <v>4351</v>
      </c>
      <c r="Y209" t="s">
        <v>4352</v>
      </c>
      <c r="Z209" t="s">
        <v>4353</v>
      </c>
      <c r="AA209" t="s">
        <v>4354</v>
      </c>
      <c r="AB209" t="s">
        <v>4355</v>
      </c>
      <c r="AC209" t="s">
        <v>4356</v>
      </c>
      <c r="AD209" t="s">
        <v>4357</v>
      </c>
      <c r="AE209" t="s">
        <v>4358</v>
      </c>
      <c r="AF209" t="s">
        <v>74</v>
      </c>
      <c r="AG209">
        <v>112</v>
      </c>
      <c r="AH209">
        <v>30</v>
      </c>
      <c r="AI209">
        <v>30</v>
      </c>
      <c r="AJ209">
        <v>0</v>
      </c>
      <c r="AK209">
        <v>5</v>
      </c>
      <c r="AL209" t="s">
        <v>3424</v>
      </c>
      <c r="AM209" t="s">
        <v>3425</v>
      </c>
      <c r="AN209" t="s">
        <v>3426</v>
      </c>
      <c r="AO209" t="s">
        <v>4359</v>
      </c>
      <c r="AP209" t="s">
        <v>4360</v>
      </c>
      <c r="AQ209" t="s">
        <v>74</v>
      </c>
      <c r="AR209" t="s">
        <v>4361</v>
      </c>
      <c r="AS209" t="s">
        <v>4362</v>
      </c>
      <c r="AT209" t="s">
        <v>2547</v>
      </c>
      <c r="AU209">
        <v>2019</v>
      </c>
      <c r="AV209">
        <v>68</v>
      </c>
      <c r="AW209" t="s">
        <v>74</v>
      </c>
      <c r="AX209" t="s">
        <v>74</v>
      </c>
      <c r="AY209" t="s">
        <v>74</v>
      </c>
      <c r="AZ209" t="s">
        <v>74</v>
      </c>
      <c r="BA209" t="s">
        <v>74</v>
      </c>
      <c r="BB209">
        <v>48</v>
      </c>
      <c r="BC209">
        <v>67</v>
      </c>
      <c r="BD209" t="s">
        <v>74</v>
      </c>
      <c r="BE209" t="s">
        <v>4363</v>
      </c>
      <c r="BF209" t="str">
        <f>HYPERLINK("http://dx.doi.org/10.1016/j.ejop.2018.12.004","http://dx.doi.org/10.1016/j.ejop.2018.12.004")</f>
        <v>http://dx.doi.org/10.1016/j.ejop.2018.12.004</v>
      </c>
      <c r="BG209" t="s">
        <v>74</v>
      </c>
      <c r="BH209" t="s">
        <v>74</v>
      </c>
      <c r="BI209">
        <v>20</v>
      </c>
      <c r="BJ209" t="s">
        <v>901</v>
      </c>
      <c r="BK209" t="s">
        <v>102</v>
      </c>
      <c r="BL209" t="s">
        <v>901</v>
      </c>
      <c r="BM209" t="s">
        <v>4364</v>
      </c>
      <c r="BN209">
        <v>30743185</v>
      </c>
      <c r="BO209" t="s">
        <v>74</v>
      </c>
      <c r="BP209" t="s">
        <v>74</v>
      </c>
      <c r="BQ209" t="s">
        <v>74</v>
      </c>
      <c r="BR209" t="s">
        <v>107</v>
      </c>
      <c r="BS209" t="s">
        <v>4365</v>
      </c>
      <c r="BT209" t="str">
        <f>HYPERLINK("https%3A%2F%2Fwww.webofscience.com%2Fwos%2Fwoscc%2Ffull-record%2FWOS:000463489300005","View Full Record in Web of Science")</f>
        <v>View Full Record in Web of Science</v>
      </c>
    </row>
    <row r="210" spans="1:72" x14ac:dyDescent="0.15">
      <c r="A210" t="s">
        <v>72</v>
      </c>
      <c r="B210" t="s">
        <v>4366</v>
      </c>
      <c r="C210" t="s">
        <v>74</v>
      </c>
      <c r="D210" t="s">
        <v>74</v>
      </c>
      <c r="E210" t="s">
        <v>74</v>
      </c>
      <c r="F210" t="s">
        <v>4367</v>
      </c>
      <c r="G210" t="s">
        <v>74</v>
      </c>
      <c r="H210" t="s">
        <v>74</v>
      </c>
      <c r="I210" t="s">
        <v>4368</v>
      </c>
      <c r="J210" t="s">
        <v>4369</v>
      </c>
      <c r="K210" t="s">
        <v>74</v>
      </c>
      <c r="L210" t="s">
        <v>74</v>
      </c>
      <c r="M210" t="s">
        <v>78</v>
      </c>
      <c r="N210" t="s">
        <v>79</v>
      </c>
      <c r="O210" t="s">
        <v>74</v>
      </c>
      <c r="P210" t="s">
        <v>74</v>
      </c>
      <c r="Q210" t="s">
        <v>74</v>
      </c>
      <c r="R210" t="s">
        <v>74</v>
      </c>
      <c r="S210" t="s">
        <v>74</v>
      </c>
      <c r="T210" t="s">
        <v>4370</v>
      </c>
      <c r="U210" t="s">
        <v>4371</v>
      </c>
      <c r="V210" t="s">
        <v>4372</v>
      </c>
      <c r="W210" t="s">
        <v>4373</v>
      </c>
      <c r="X210" t="s">
        <v>4374</v>
      </c>
      <c r="Y210" t="s">
        <v>4375</v>
      </c>
      <c r="Z210" t="s">
        <v>4376</v>
      </c>
      <c r="AA210" t="s">
        <v>4377</v>
      </c>
      <c r="AB210" t="s">
        <v>74</v>
      </c>
      <c r="AC210" t="s">
        <v>4378</v>
      </c>
      <c r="AD210" t="s">
        <v>4378</v>
      </c>
      <c r="AE210" t="s">
        <v>4379</v>
      </c>
      <c r="AF210" t="s">
        <v>74</v>
      </c>
      <c r="AG210">
        <v>69</v>
      </c>
      <c r="AH210">
        <v>2</v>
      </c>
      <c r="AI210">
        <v>2</v>
      </c>
      <c r="AJ210">
        <v>0</v>
      </c>
      <c r="AK210">
        <v>6</v>
      </c>
      <c r="AL210" t="s">
        <v>4380</v>
      </c>
      <c r="AM210" t="s">
        <v>329</v>
      </c>
      <c r="AN210" t="s">
        <v>4381</v>
      </c>
      <c r="AO210" t="s">
        <v>4382</v>
      </c>
      <c r="AP210" t="s">
        <v>4383</v>
      </c>
      <c r="AQ210" t="s">
        <v>74</v>
      </c>
      <c r="AR210" t="s">
        <v>4384</v>
      </c>
      <c r="AS210" t="s">
        <v>4385</v>
      </c>
      <c r="AT210" t="s">
        <v>2547</v>
      </c>
      <c r="AU210">
        <v>2019</v>
      </c>
      <c r="AV210">
        <v>69</v>
      </c>
      <c r="AW210">
        <v>4</v>
      </c>
      <c r="AX210" t="s">
        <v>74</v>
      </c>
      <c r="AY210" t="s">
        <v>74</v>
      </c>
      <c r="AZ210" t="s">
        <v>74</v>
      </c>
      <c r="BA210" t="s">
        <v>74</v>
      </c>
      <c r="BB210">
        <v>1099</v>
      </c>
      <c r="BC210">
        <v>1110</v>
      </c>
      <c r="BD210" t="s">
        <v>74</v>
      </c>
      <c r="BE210" t="s">
        <v>4386</v>
      </c>
      <c r="BF210" t="str">
        <f>HYPERLINK("http://dx.doi.org/10.1099/ijsem.0.003275","http://dx.doi.org/10.1099/ijsem.0.003275")</f>
        <v>http://dx.doi.org/10.1099/ijsem.0.003275</v>
      </c>
      <c r="BG210" t="s">
        <v>74</v>
      </c>
      <c r="BH210" t="s">
        <v>74</v>
      </c>
      <c r="BI210">
        <v>12</v>
      </c>
      <c r="BJ210" t="s">
        <v>901</v>
      </c>
      <c r="BK210" t="s">
        <v>102</v>
      </c>
      <c r="BL210" t="s">
        <v>901</v>
      </c>
      <c r="BM210" t="s">
        <v>4387</v>
      </c>
      <c r="BN210">
        <v>30767849</v>
      </c>
      <c r="BO210" t="s">
        <v>279</v>
      </c>
      <c r="BP210" t="s">
        <v>74</v>
      </c>
      <c r="BQ210" t="s">
        <v>74</v>
      </c>
      <c r="BR210" t="s">
        <v>107</v>
      </c>
      <c r="BS210" t="s">
        <v>4388</v>
      </c>
      <c r="BT210" t="str">
        <f>HYPERLINK("https%3A%2F%2Fwww.webofscience.com%2Fwos%2Fwoscc%2Ffull-record%2FWOS:000463347900033","View Full Record in Web of Science")</f>
        <v>View Full Record in Web of Science</v>
      </c>
    </row>
    <row r="211" spans="1:72" x14ac:dyDescent="0.15">
      <c r="A211" t="s">
        <v>72</v>
      </c>
      <c r="B211" t="s">
        <v>4389</v>
      </c>
      <c r="C211" t="s">
        <v>74</v>
      </c>
      <c r="D211" t="s">
        <v>74</v>
      </c>
      <c r="E211" t="s">
        <v>74</v>
      </c>
      <c r="F211" t="s">
        <v>4390</v>
      </c>
      <c r="G211" t="s">
        <v>74</v>
      </c>
      <c r="H211" t="s">
        <v>74</v>
      </c>
      <c r="I211" t="s">
        <v>4391</v>
      </c>
      <c r="J211" t="s">
        <v>4392</v>
      </c>
      <c r="K211" t="s">
        <v>74</v>
      </c>
      <c r="L211" t="s">
        <v>74</v>
      </c>
      <c r="M211" t="s">
        <v>78</v>
      </c>
      <c r="N211" t="s">
        <v>79</v>
      </c>
      <c r="O211" t="s">
        <v>74</v>
      </c>
      <c r="P211" t="s">
        <v>74</v>
      </c>
      <c r="Q211" t="s">
        <v>74</v>
      </c>
      <c r="R211" t="s">
        <v>74</v>
      </c>
      <c r="S211" t="s">
        <v>74</v>
      </c>
      <c r="T211" t="s">
        <v>4393</v>
      </c>
      <c r="U211" t="s">
        <v>74</v>
      </c>
      <c r="V211" t="s">
        <v>4394</v>
      </c>
      <c r="W211" t="s">
        <v>4395</v>
      </c>
      <c r="X211" t="s">
        <v>4396</v>
      </c>
      <c r="Y211" t="s">
        <v>4397</v>
      </c>
      <c r="Z211" t="s">
        <v>74</v>
      </c>
      <c r="AA211" t="s">
        <v>74</v>
      </c>
      <c r="AB211" t="s">
        <v>74</v>
      </c>
      <c r="AC211" t="s">
        <v>74</v>
      </c>
      <c r="AD211" t="s">
        <v>74</v>
      </c>
      <c r="AE211" t="s">
        <v>74</v>
      </c>
      <c r="AF211" t="s">
        <v>74</v>
      </c>
      <c r="AG211">
        <v>29</v>
      </c>
      <c r="AH211">
        <v>0</v>
      </c>
      <c r="AI211">
        <v>0</v>
      </c>
      <c r="AJ211">
        <v>0</v>
      </c>
      <c r="AK211">
        <v>2</v>
      </c>
      <c r="AL211" t="s">
        <v>4398</v>
      </c>
      <c r="AM211" t="s">
        <v>4399</v>
      </c>
      <c r="AN211" t="s">
        <v>4400</v>
      </c>
      <c r="AO211" t="s">
        <v>4401</v>
      </c>
      <c r="AP211" t="s">
        <v>4402</v>
      </c>
      <c r="AQ211" t="s">
        <v>74</v>
      </c>
      <c r="AR211" t="s">
        <v>4403</v>
      </c>
      <c r="AS211" t="s">
        <v>4404</v>
      </c>
      <c r="AT211" t="s">
        <v>2547</v>
      </c>
      <c r="AU211">
        <v>2019</v>
      </c>
      <c r="AV211">
        <v>16</v>
      </c>
      <c r="AW211">
        <v>2</v>
      </c>
      <c r="AX211" t="s">
        <v>74</v>
      </c>
      <c r="AY211" t="s">
        <v>74</v>
      </c>
      <c r="AZ211" t="s">
        <v>74</v>
      </c>
      <c r="BA211" t="s">
        <v>74</v>
      </c>
      <c r="BB211">
        <v>170</v>
      </c>
      <c r="BC211">
        <v>190</v>
      </c>
      <c r="BD211" t="s">
        <v>74</v>
      </c>
      <c r="BE211" t="s">
        <v>4405</v>
      </c>
      <c r="BF211" t="str">
        <f>HYPERLINK("http://dx.doi.org/10.3366/jbctv.2019.0467","http://dx.doi.org/10.3366/jbctv.2019.0467")</f>
        <v>http://dx.doi.org/10.3366/jbctv.2019.0467</v>
      </c>
      <c r="BG211" t="s">
        <v>74</v>
      </c>
      <c r="BH211" t="s">
        <v>74</v>
      </c>
      <c r="BI211">
        <v>21</v>
      </c>
      <c r="BJ211" t="s">
        <v>4406</v>
      </c>
      <c r="BK211" t="s">
        <v>4407</v>
      </c>
      <c r="BL211" t="s">
        <v>4408</v>
      </c>
      <c r="BM211" t="s">
        <v>4409</v>
      </c>
      <c r="BN211" t="s">
        <v>74</v>
      </c>
      <c r="BO211" t="s">
        <v>74</v>
      </c>
      <c r="BP211" t="s">
        <v>74</v>
      </c>
      <c r="BQ211" t="s">
        <v>74</v>
      </c>
      <c r="BR211" t="s">
        <v>107</v>
      </c>
      <c r="BS211" t="s">
        <v>4410</v>
      </c>
      <c r="BT211" t="str">
        <f>HYPERLINK("https%3A%2F%2Fwww.webofscience.com%2Fwos%2Fwoscc%2Ffull-record%2FWOS:000463744100003","View Full Record in Web of Science")</f>
        <v>View Full Record in Web of Science</v>
      </c>
    </row>
    <row r="212" spans="1:72" x14ac:dyDescent="0.15">
      <c r="A212" t="s">
        <v>72</v>
      </c>
      <c r="B212" t="s">
        <v>4411</v>
      </c>
      <c r="C212" t="s">
        <v>74</v>
      </c>
      <c r="D212" t="s">
        <v>74</v>
      </c>
      <c r="E212" t="s">
        <v>74</v>
      </c>
      <c r="F212" t="s">
        <v>4412</v>
      </c>
      <c r="G212" t="s">
        <v>74</v>
      </c>
      <c r="H212" t="s">
        <v>74</v>
      </c>
      <c r="I212" t="s">
        <v>4413</v>
      </c>
      <c r="J212" t="s">
        <v>256</v>
      </c>
      <c r="K212" t="s">
        <v>74</v>
      </c>
      <c r="L212" t="s">
        <v>74</v>
      </c>
      <c r="M212" t="s">
        <v>78</v>
      </c>
      <c r="N212" t="s">
        <v>79</v>
      </c>
      <c r="O212" t="s">
        <v>74</v>
      </c>
      <c r="P212" t="s">
        <v>74</v>
      </c>
      <c r="Q212" t="s">
        <v>74</v>
      </c>
      <c r="R212" t="s">
        <v>74</v>
      </c>
      <c r="S212" t="s">
        <v>74</v>
      </c>
      <c r="T212" t="s">
        <v>4414</v>
      </c>
      <c r="U212" t="s">
        <v>4415</v>
      </c>
      <c r="V212" t="s">
        <v>4416</v>
      </c>
      <c r="W212" t="s">
        <v>4417</v>
      </c>
      <c r="X212" t="s">
        <v>4418</v>
      </c>
      <c r="Y212" t="s">
        <v>4419</v>
      </c>
      <c r="Z212" t="s">
        <v>4420</v>
      </c>
      <c r="AA212" t="s">
        <v>4421</v>
      </c>
      <c r="AB212" t="s">
        <v>4422</v>
      </c>
      <c r="AC212" t="s">
        <v>4423</v>
      </c>
      <c r="AD212" t="s">
        <v>4424</v>
      </c>
      <c r="AE212" t="s">
        <v>4425</v>
      </c>
      <c r="AF212" t="s">
        <v>74</v>
      </c>
      <c r="AG212">
        <v>64</v>
      </c>
      <c r="AH212">
        <v>9</v>
      </c>
      <c r="AI212">
        <v>11</v>
      </c>
      <c r="AJ212">
        <v>0</v>
      </c>
      <c r="AK212">
        <v>5</v>
      </c>
      <c r="AL212" t="s">
        <v>269</v>
      </c>
      <c r="AM212" t="s">
        <v>270</v>
      </c>
      <c r="AN212" t="s">
        <v>271</v>
      </c>
      <c r="AO212" t="s">
        <v>272</v>
      </c>
      <c r="AP212" t="s">
        <v>273</v>
      </c>
      <c r="AQ212" t="s">
        <v>74</v>
      </c>
      <c r="AR212" t="s">
        <v>274</v>
      </c>
      <c r="AS212" t="s">
        <v>275</v>
      </c>
      <c r="AT212" t="s">
        <v>2547</v>
      </c>
      <c r="AU212">
        <v>2019</v>
      </c>
      <c r="AV212">
        <v>49</v>
      </c>
      <c r="AW212">
        <v>4</v>
      </c>
      <c r="AX212" t="s">
        <v>74</v>
      </c>
      <c r="AY212" t="s">
        <v>74</v>
      </c>
      <c r="AZ212" t="s">
        <v>74</v>
      </c>
      <c r="BA212" t="s">
        <v>74</v>
      </c>
      <c r="BB212">
        <v>1015</v>
      </c>
      <c r="BC212">
        <v>1034</v>
      </c>
      <c r="BD212" t="s">
        <v>74</v>
      </c>
      <c r="BE212" t="s">
        <v>4426</v>
      </c>
      <c r="BF212" t="str">
        <f>HYPERLINK("http://dx.doi.org/10.1175/JPO-D-18-0102.1","http://dx.doi.org/10.1175/JPO-D-18-0102.1")</f>
        <v>http://dx.doi.org/10.1175/JPO-D-18-0102.1</v>
      </c>
      <c r="BG212" t="s">
        <v>74</v>
      </c>
      <c r="BH212" t="s">
        <v>74</v>
      </c>
      <c r="BI212">
        <v>20</v>
      </c>
      <c r="BJ212" t="s">
        <v>277</v>
      </c>
      <c r="BK212" t="s">
        <v>102</v>
      </c>
      <c r="BL212" t="s">
        <v>277</v>
      </c>
      <c r="BM212" t="s">
        <v>4427</v>
      </c>
      <c r="BN212" t="s">
        <v>74</v>
      </c>
      <c r="BO212" t="s">
        <v>279</v>
      </c>
      <c r="BP212" t="s">
        <v>74</v>
      </c>
      <c r="BQ212" t="s">
        <v>74</v>
      </c>
      <c r="BR212" t="s">
        <v>107</v>
      </c>
      <c r="BS212" t="s">
        <v>4428</v>
      </c>
      <c r="BT212" t="str">
        <f>HYPERLINK("https%3A%2F%2Fwww.webofscience.com%2Fwos%2Fwoscc%2Ffull-record%2FWOS:000463617100001","View Full Record in Web of Science")</f>
        <v>View Full Record in Web of Science</v>
      </c>
    </row>
    <row r="213" spans="1:72" x14ac:dyDescent="0.15">
      <c r="A213" t="s">
        <v>72</v>
      </c>
      <c r="B213" t="s">
        <v>4429</v>
      </c>
      <c r="C213" t="s">
        <v>74</v>
      </c>
      <c r="D213" t="s">
        <v>74</v>
      </c>
      <c r="E213" t="s">
        <v>74</v>
      </c>
      <c r="F213" t="s">
        <v>4430</v>
      </c>
      <c r="G213" t="s">
        <v>74</v>
      </c>
      <c r="H213" t="s">
        <v>74</v>
      </c>
      <c r="I213" t="s">
        <v>4431</v>
      </c>
      <c r="J213" t="s">
        <v>4432</v>
      </c>
      <c r="K213" t="s">
        <v>74</v>
      </c>
      <c r="L213" t="s">
        <v>74</v>
      </c>
      <c r="M213" t="s">
        <v>78</v>
      </c>
      <c r="N213" t="s">
        <v>79</v>
      </c>
      <c r="O213" t="s">
        <v>74</v>
      </c>
      <c r="P213" t="s">
        <v>74</v>
      </c>
      <c r="Q213" t="s">
        <v>74</v>
      </c>
      <c r="R213" t="s">
        <v>74</v>
      </c>
      <c r="S213" t="s">
        <v>74</v>
      </c>
      <c r="T213" t="s">
        <v>4433</v>
      </c>
      <c r="U213" t="s">
        <v>4434</v>
      </c>
      <c r="V213" t="s">
        <v>4435</v>
      </c>
      <c r="W213" t="s">
        <v>4436</v>
      </c>
      <c r="X213" t="s">
        <v>4437</v>
      </c>
      <c r="Y213" t="s">
        <v>4438</v>
      </c>
      <c r="Z213" t="s">
        <v>4439</v>
      </c>
      <c r="AA213" t="s">
        <v>74</v>
      </c>
      <c r="AB213" t="s">
        <v>4440</v>
      </c>
      <c r="AC213" t="s">
        <v>4441</v>
      </c>
      <c r="AD213" t="s">
        <v>4442</v>
      </c>
      <c r="AE213" t="s">
        <v>4443</v>
      </c>
      <c r="AF213" t="s">
        <v>74</v>
      </c>
      <c r="AG213">
        <v>38</v>
      </c>
      <c r="AH213">
        <v>4</v>
      </c>
      <c r="AI213">
        <v>5</v>
      </c>
      <c r="AJ213">
        <v>0</v>
      </c>
      <c r="AK213">
        <v>9</v>
      </c>
      <c r="AL213" t="s">
        <v>4444</v>
      </c>
      <c r="AM213" t="s">
        <v>4445</v>
      </c>
      <c r="AN213" t="s">
        <v>4446</v>
      </c>
      <c r="AO213" t="s">
        <v>4447</v>
      </c>
      <c r="AP213" t="s">
        <v>4448</v>
      </c>
      <c r="AQ213" t="s">
        <v>74</v>
      </c>
      <c r="AR213" t="s">
        <v>4449</v>
      </c>
      <c r="AS213" t="s">
        <v>4450</v>
      </c>
      <c r="AT213" t="s">
        <v>2547</v>
      </c>
      <c r="AU213">
        <v>2019</v>
      </c>
      <c r="AV213">
        <v>15</v>
      </c>
      <c r="AW213">
        <v>2</v>
      </c>
      <c r="AX213" t="s">
        <v>74</v>
      </c>
      <c r="AY213" t="s">
        <v>74</v>
      </c>
      <c r="AZ213" t="s">
        <v>74</v>
      </c>
      <c r="BA213" t="s">
        <v>74</v>
      </c>
      <c r="BB213">
        <v>163</v>
      </c>
      <c r="BC213">
        <v>172</v>
      </c>
      <c r="BD213" t="s">
        <v>74</v>
      </c>
      <c r="BE213" t="s">
        <v>4451</v>
      </c>
      <c r="BF213" t="str">
        <f>HYPERLINK("http://dx.doi.org/10.1007/s13273-019-0020-1","http://dx.doi.org/10.1007/s13273-019-0020-1")</f>
        <v>http://dx.doi.org/10.1007/s13273-019-0020-1</v>
      </c>
      <c r="BG213" t="s">
        <v>74</v>
      </c>
      <c r="BH213" t="s">
        <v>74</v>
      </c>
      <c r="BI213">
        <v>10</v>
      </c>
      <c r="BJ213" t="s">
        <v>4452</v>
      </c>
      <c r="BK213" t="s">
        <v>102</v>
      </c>
      <c r="BL213" t="s">
        <v>4452</v>
      </c>
      <c r="BM213" t="s">
        <v>4453</v>
      </c>
      <c r="BN213" t="s">
        <v>74</v>
      </c>
      <c r="BO213" t="s">
        <v>74</v>
      </c>
      <c r="BP213" t="s">
        <v>74</v>
      </c>
      <c r="BQ213" t="s">
        <v>74</v>
      </c>
      <c r="BR213" t="s">
        <v>107</v>
      </c>
      <c r="BS213" t="s">
        <v>4454</v>
      </c>
      <c r="BT213" t="str">
        <f>HYPERLINK("https%3A%2F%2Fwww.webofscience.com%2Fwos%2Fwoscc%2Ffull-record%2FWOS:000463730500007","View Full Record in Web of Science")</f>
        <v>View Full Record in Web of Science</v>
      </c>
    </row>
    <row r="214" spans="1:72" x14ac:dyDescent="0.15">
      <c r="A214" t="s">
        <v>72</v>
      </c>
      <c r="B214" t="s">
        <v>4455</v>
      </c>
      <c r="C214" t="s">
        <v>74</v>
      </c>
      <c r="D214" t="s">
        <v>74</v>
      </c>
      <c r="E214" t="s">
        <v>74</v>
      </c>
      <c r="F214" t="s">
        <v>4456</v>
      </c>
      <c r="G214" t="s">
        <v>74</v>
      </c>
      <c r="H214" t="s">
        <v>74</v>
      </c>
      <c r="I214" t="s">
        <v>4457</v>
      </c>
      <c r="J214" t="s">
        <v>4458</v>
      </c>
      <c r="K214" t="s">
        <v>74</v>
      </c>
      <c r="L214" t="s">
        <v>74</v>
      </c>
      <c r="M214" t="s">
        <v>78</v>
      </c>
      <c r="N214" t="s">
        <v>79</v>
      </c>
      <c r="O214" t="s">
        <v>74</v>
      </c>
      <c r="P214" t="s">
        <v>74</v>
      </c>
      <c r="Q214" t="s">
        <v>74</v>
      </c>
      <c r="R214" t="s">
        <v>74</v>
      </c>
      <c r="S214" t="s">
        <v>74</v>
      </c>
      <c r="T214" t="s">
        <v>4459</v>
      </c>
      <c r="U214" t="s">
        <v>4460</v>
      </c>
      <c r="V214" t="s">
        <v>4461</v>
      </c>
      <c r="W214" t="s">
        <v>4462</v>
      </c>
      <c r="X214" t="s">
        <v>3828</v>
      </c>
      <c r="Y214" t="s">
        <v>4463</v>
      </c>
      <c r="Z214" t="s">
        <v>4464</v>
      </c>
      <c r="AA214" t="s">
        <v>4465</v>
      </c>
      <c r="AB214" t="s">
        <v>4466</v>
      </c>
      <c r="AC214" t="s">
        <v>4467</v>
      </c>
      <c r="AD214" t="s">
        <v>4468</v>
      </c>
      <c r="AE214" t="s">
        <v>4469</v>
      </c>
      <c r="AF214" t="s">
        <v>74</v>
      </c>
      <c r="AG214">
        <v>27</v>
      </c>
      <c r="AH214">
        <v>11</v>
      </c>
      <c r="AI214">
        <v>17</v>
      </c>
      <c r="AJ214">
        <v>1</v>
      </c>
      <c r="AK214">
        <v>26</v>
      </c>
      <c r="AL214" t="s">
        <v>378</v>
      </c>
      <c r="AM214" t="s">
        <v>93</v>
      </c>
      <c r="AN214" t="s">
        <v>379</v>
      </c>
      <c r="AO214" t="s">
        <v>4470</v>
      </c>
      <c r="AP214" t="s">
        <v>74</v>
      </c>
      <c r="AQ214" t="s">
        <v>74</v>
      </c>
      <c r="AR214" t="s">
        <v>4471</v>
      </c>
      <c r="AS214" t="s">
        <v>4472</v>
      </c>
      <c r="AT214" t="s">
        <v>2547</v>
      </c>
      <c r="AU214">
        <v>2019</v>
      </c>
      <c r="AV214">
        <v>168</v>
      </c>
      <c r="AW214" t="s">
        <v>74</v>
      </c>
      <c r="AX214" t="s">
        <v>74</v>
      </c>
      <c r="AY214" t="s">
        <v>74</v>
      </c>
      <c r="AZ214" t="s">
        <v>74</v>
      </c>
      <c r="BA214" t="s">
        <v>74</v>
      </c>
      <c r="BB214">
        <v>73</v>
      </c>
      <c r="BC214">
        <v>82</v>
      </c>
      <c r="BD214" t="s">
        <v>74</v>
      </c>
      <c r="BE214" t="s">
        <v>4473</v>
      </c>
      <c r="BF214" t="str">
        <f>HYPERLINK("http://dx.doi.org/10.1016/j.pss.2019.01.010","http://dx.doi.org/10.1016/j.pss.2019.01.010")</f>
        <v>http://dx.doi.org/10.1016/j.pss.2019.01.010</v>
      </c>
      <c r="BG214" t="s">
        <v>74</v>
      </c>
      <c r="BH214" t="s">
        <v>74</v>
      </c>
      <c r="BI214">
        <v>10</v>
      </c>
      <c r="BJ214" t="s">
        <v>2579</v>
      </c>
      <c r="BK214" t="s">
        <v>102</v>
      </c>
      <c r="BL214" t="s">
        <v>2579</v>
      </c>
      <c r="BM214" t="s">
        <v>4474</v>
      </c>
      <c r="BN214" t="s">
        <v>74</v>
      </c>
      <c r="BO214" t="s">
        <v>925</v>
      </c>
      <c r="BP214" t="s">
        <v>74</v>
      </c>
      <c r="BQ214" t="s">
        <v>74</v>
      </c>
      <c r="BR214" t="s">
        <v>107</v>
      </c>
      <c r="BS214" t="s">
        <v>4475</v>
      </c>
      <c r="BT214" t="str">
        <f>HYPERLINK("https%3A%2F%2Fwww.webofscience.com%2Fwos%2Fwoscc%2Ffull-record%2FWOS:000463309700007","View Full Record in Web of Science")</f>
        <v>View Full Record in Web of Science</v>
      </c>
    </row>
    <row r="215" spans="1:72" x14ac:dyDescent="0.15">
      <c r="A215" t="s">
        <v>72</v>
      </c>
      <c r="B215" t="s">
        <v>4476</v>
      </c>
      <c r="C215" t="s">
        <v>74</v>
      </c>
      <c r="D215" t="s">
        <v>74</v>
      </c>
      <c r="E215" t="s">
        <v>74</v>
      </c>
      <c r="F215" t="s">
        <v>4477</v>
      </c>
      <c r="G215" t="s">
        <v>74</v>
      </c>
      <c r="H215" t="s">
        <v>74</v>
      </c>
      <c r="I215" t="s">
        <v>4478</v>
      </c>
      <c r="J215" t="s">
        <v>4479</v>
      </c>
      <c r="K215" t="s">
        <v>74</v>
      </c>
      <c r="L215" t="s">
        <v>74</v>
      </c>
      <c r="M215" t="s">
        <v>78</v>
      </c>
      <c r="N215" t="s">
        <v>79</v>
      </c>
      <c r="O215" t="s">
        <v>74</v>
      </c>
      <c r="P215" t="s">
        <v>74</v>
      </c>
      <c r="Q215" t="s">
        <v>74</v>
      </c>
      <c r="R215" t="s">
        <v>74</v>
      </c>
      <c r="S215" t="s">
        <v>74</v>
      </c>
      <c r="T215" t="s">
        <v>4480</v>
      </c>
      <c r="U215" t="s">
        <v>4481</v>
      </c>
      <c r="V215" t="s">
        <v>4482</v>
      </c>
      <c r="W215" t="s">
        <v>4483</v>
      </c>
      <c r="X215" t="s">
        <v>4484</v>
      </c>
      <c r="Y215" t="s">
        <v>4485</v>
      </c>
      <c r="Z215" t="s">
        <v>4486</v>
      </c>
      <c r="AA215" t="s">
        <v>4487</v>
      </c>
      <c r="AB215" t="s">
        <v>4488</v>
      </c>
      <c r="AC215" t="s">
        <v>74</v>
      </c>
      <c r="AD215" t="s">
        <v>74</v>
      </c>
      <c r="AE215" t="s">
        <v>74</v>
      </c>
      <c r="AF215" t="s">
        <v>74</v>
      </c>
      <c r="AG215">
        <v>64</v>
      </c>
      <c r="AH215">
        <v>19</v>
      </c>
      <c r="AI215">
        <v>21</v>
      </c>
      <c r="AJ215">
        <v>0</v>
      </c>
      <c r="AK215">
        <v>18</v>
      </c>
      <c r="AL215" t="s">
        <v>4489</v>
      </c>
      <c r="AM215" t="s">
        <v>4399</v>
      </c>
      <c r="AN215" t="s">
        <v>4490</v>
      </c>
      <c r="AO215" t="s">
        <v>4491</v>
      </c>
      <c r="AP215" t="s">
        <v>74</v>
      </c>
      <c r="AQ215" t="s">
        <v>74</v>
      </c>
      <c r="AR215" t="s">
        <v>4492</v>
      </c>
      <c r="AS215" t="s">
        <v>4493</v>
      </c>
      <c r="AT215" t="s">
        <v>2547</v>
      </c>
      <c r="AU215">
        <v>2019</v>
      </c>
      <c r="AV215">
        <v>57</v>
      </c>
      <c r="AW215" t="s">
        <v>74</v>
      </c>
      <c r="AX215" t="s">
        <v>74</v>
      </c>
      <c r="AY215" t="s">
        <v>74</v>
      </c>
      <c r="AZ215" t="s">
        <v>74</v>
      </c>
      <c r="BA215" t="s">
        <v>74</v>
      </c>
      <c r="BB215">
        <v>34</v>
      </c>
      <c r="BC215">
        <v>41</v>
      </c>
      <c r="BD215" t="s">
        <v>74</v>
      </c>
      <c r="BE215" t="s">
        <v>4494</v>
      </c>
      <c r="BF215" t="str">
        <f>HYPERLINK("http://dx.doi.org/10.1016/j.tice.2019.02.003","http://dx.doi.org/10.1016/j.tice.2019.02.003")</f>
        <v>http://dx.doi.org/10.1016/j.tice.2019.02.003</v>
      </c>
      <c r="BG215" t="s">
        <v>74</v>
      </c>
      <c r="BH215" t="s">
        <v>74</v>
      </c>
      <c r="BI215">
        <v>8</v>
      </c>
      <c r="BJ215" t="s">
        <v>4495</v>
      </c>
      <c r="BK215" t="s">
        <v>102</v>
      </c>
      <c r="BL215" t="s">
        <v>4495</v>
      </c>
      <c r="BM215" t="s">
        <v>4496</v>
      </c>
      <c r="BN215">
        <v>30947961</v>
      </c>
      <c r="BO215" t="s">
        <v>74</v>
      </c>
      <c r="BP215" t="s">
        <v>74</v>
      </c>
      <c r="BQ215" t="s">
        <v>74</v>
      </c>
      <c r="BR215" t="s">
        <v>107</v>
      </c>
      <c r="BS215" t="s">
        <v>4497</v>
      </c>
      <c r="BT215" t="str">
        <f>HYPERLINK("https%3A%2F%2Fwww.webofscience.com%2Fwos%2Fwoscc%2Ffull-record%2FWOS:000462932200005","View Full Record in Web of Science")</f>
        <v>View Full Record in Web of Science</v>
      </c>
    </row>
    <row r="216" spans="1:72" x14ac:dyDescent="0.15">
      <c r="A216" t="s">
        <v>72</v>
      </c>
      <c r="B216" t="s">
        <v>4498</v>
      </c>
      <c r="C216" t="s">
        <v>74</v>
      </c>
      <c r="D216" t="s">
        <v>74</v>
      </c>
      <c r="E216" t="s">
        <v>74</v>
      </c>
      <c r="F216" t="s">
        <v>4499</v>
      </c>
      <c r="G216" t="s">
        <v>74</v>
      </c>
      <c r="H216" t="s">
        <v>74</v>
      </c>
      <c r="I216" t="s">
        <v>4500</v>
      </c>
      <c r="J216" t="s">
        <v>1763</v>
      </c>
      <c r="K216" t="s">
        <v>74</v>
      </c>
      <c r="L216" t="s">
        <v>74</v>
      </c>
      <c r="M216" t="s">
        <v>78</v>
      </c>
      <c r="N216" t="s">
        <v>79</v>
      </c>
      <c r="O216" t="s">
        <v>74</v>
      </c>
      <c r="P216" t="s">
        <v>74</v>
      </c>
      <c r="Q216" t="s">
        <v>74</v>
      </c>
      <c r="R216" t="s">
        <v>74</v>
      </c>
      <c r="S216" t="s">
        <v>74</v>
      </c>
      <c r="T216" t="s">
        <v>4501</v>
      </c>
      <c r="U216" t="s">
        <v>4502</v>
      </c>
      <c r="V216" t="s">
        <v>4503</v>
      </c>
      <c r="W216" t="s">
        <v>4504</v>
      </c>
      <c r="X216" t="s">
        <v>4505</v>
      </c>
      <c r="Y216" t="s">
        <v>4506</v>
      </c>
      <c r="Z216" t="s">
        <v>4507</v>
      </c>
      <c r="AA216" t="s">
        <v>4508</v>
      </c>
      <c r="AB216" t="s">
        <v>4509</v>
      </c>
      <c r="AC216" t="s">
        <v>4510</v>
      </c>
      <c r="AD216" t="s">
        <v>4511</v>
      </c>
      <c r="AE216" t="s">
        <v>4512</v>
      </c>
      <c r="AF216" t="s">
        <v>74</v>
      </c>
      <c r="AG216">
        <v>51</v>
      </c>
      <c r="AH216">
        <v>6</v>
      </c>
      <c r="AI216">
        <v>6</v>
      </c>
      <c r="AJ216">
        <v>0</v>
      </c>
      <c r="AK216">
        <v>3</v>
      </c>
      <c r="AL216" t="s">
        <v>306</v>
      </c>
      <c r="AM216" t="s">
        <v>93</v>
      </c>
      <c r="AN216" t="s">
        <v>307</v>
      </c>
      <c r="AO216" t="s">
        <v>1776</v>
      </c>
      <c r="AP216" t="s">
        <v>1777</v>
      </c>
      <c r="AQ216" t="s">
        <v>74</v>
      </c>
      <c r="AR216" t="s">
        <v>1778</v>
      </c>
      <c r="AS216" t="s">
        <v>1779</v>
      </c>
      <c r="AT216" t="s">
        <v>2710</v>
      </c>
      <c r="AU216">
        <v>2019</v>
      </c>
      <c r="AV216">
        <v>63</v>
      </c>
      <c r="AW216">
        <v>7</v>
      </c>
      <c r="AX216" t="s">
        <v>74</v>
      </c>
      <c r="AY216" t="s">
        <v>74</v>
      </c>
      <c r="AZ216" t="s">
        <v>74</v>
      </c>
      <c r="BA216" t="s">
        <v>74</v>
      </c>
      <c r="BB216">
        <v>2290</v>
      </c>
      <c r="BC216">
        <v>2299</v>
      </c>
      <c r="BD216" t="s">
        <v>74</v>
      </c>
      <c r="BE216" t="s">
        <v>4513</v>
      </c>
      <c r="BF216" t="str">
        <f>HYPERLINK("http://dx.doi.org/10.1016/j.asr.2018.12.019","http://dx.doi.org/10.1016/j.asr.2018.12.019")</f>
        <v>http://dx.doi.org/10.1016/j.asr.2018.12.019</v>
      </c>
      <c r="BG216" t="s">
        <v>74</v>
      </c>
      <c r="BH216" t="s">
        <v>74</v>
      </c>
      <c r="BI216">
        <v>10</v>
      </c>
      <c r="BJ216" t="s">
        <v>1781</v>
      </c>
      <c r="BK216" t="s">
        <v>102</v>
      </c>
      <c r="BL216" t="s">
        <v>1782</v>
      </c>
      <c r="BM216" t="s">
        <v>4514</v>
      </c>
      <c r="BN216" t="s">
        <v>74</v>
      </c>
      <c r="BO216" t="s">
        <v>74</v>
      </c>
      <c r="BP216" t="s">
        <v>74</v>
      </c>
      <c r="BQ216" t="s">
        <v>74</v>
      </c>
      <c r="BR216" t="s">
        <v>107</v>
      </c>
      <c r="BS216" t="s">
        <v>4515</v>
      </c>
      <c r="BT216" t="str">
        <f>HYPERLINK("https%3A%2F%2Fwww.webofscience.com%2Fwos%2Fwoscc%2Ffull-record%2FWOS:000463131800027","View Full Record in Web of Science")</f>
        <v>View Full Record in Web of Science</v>
      </c>
    </row>
    <row r="217" spans="1:72" x14ac:dyDescent="0.15">
      <c r="A217" t="s">
        <v>72</v>
      </c>
      <c r="B217" t="s">
        <v>4516</v>
      </c>
      <c r="C217" t="s">
        <v>74</v>
      </c>
      <c r="D217" t="s">
        <v>74</v>
      </c>
      <c r="E217" t="s">
        <v>74</v>
      </c>
      <c r="F217" t="s">
        <v>4517</v>
      </c>
      <c r="G217" t="s">
        <v>74</v>
      </c>
      <c r="H217" t="s">
        <v>74</v>
      </c>
      <c r="I217" t="s">
        <v>4518</v>
      </c>
      <c r="J217" t="s">
        <v>4519</v>
      </c>
      <c r="K217" t="s">
        <v>74</v>
      </c>
      <c r="L217" t="s">
        <v>74</v>
      </c>
      <c r="M217" t="s">
        <v>78</v>
      </c>
      <c r="N217" t="s">
        <v>4520</v>
      </c>
      <c r="O217" t="s">
        <v>74</v>
      </c>
      <c r="P217" t="s">
        <v>74</v>
      </c>
      <c r="Q217" t="s">
        <v>74</v>
      </c>
      <c r="R217" t="s">
        <v>74</v>
      </c>
      <c r="S217" t="s">
        <v>74</v>
      </c>
      <c r="T217" t="s">
        <v>74</v>
      </c>
      <c r="U217" t="s">
        <v>74</v>
      </c>
      <c r="V217" t="s">
        <v>74</v>
      </c>
      <c r="W217" t="s">
        <v>4521</v>
      </c>
      <c r="X217" t="s">
        <v>4522</v>
      </c>
      <c r="Y217" t="s">
        <v>4523</v>
      </c>
      <c r="Z217" t="s">
        <v>74</v>
      </c>
      <c r="AA217" t="s">
        <v>4524</v>
      </c>
      <c r="AB217" t="s">
        <v>74</v>
      </c>
      <c r="AC217" t="s">
        <v>74</v>
      </c>
      <c r="AD217" t="s">
        <v>74</v>
      </c>
      <c r="AE217" t="s">
        <v>74</v>
      </c>
      <c r="AF217" t="s">
        <v>74</v>
      </c>
      <c r="AG217">
        <v>0</v>
      </c>
      <c r="AH217">
        <v>0</v>
      </c>
      <c r="AI217">
        <v>0</v>
      </c>
      <c r="AJ217">
        <v>0</v>
      </c>
      <c r="AK217">
        <v>0</v>
      </c>
      <c r="AL217" t="s">
        <v>2960</v>
      </c>
      <c r="AM217" t="s">
        <v>607</v>
      </c>
      <c r="AN217" t="s">
        <v>4525</v>
      </c>
      <c r="AO217" t="s">
        <v>4526</v>
      </c>
      <c r="AP217" t="s">
        <v>4527</v>
      </c>
      <c r="AQ217" t="s">
        <v>74</v>
      </c>
      <c r="AR217" t="s">
        <v>4528</v>
      </c>
      <c r="AS217" t="s">
        <v>4529</v>
      </c>
      <c r="AT217" t="s">
        <v>2547</v>
      </c>
      <c r="AU217">
        <v>2019</v>
      </c>
      <c r="AV217">
        <v>31</v>
      </c>
      <c r="AW217">
        <v>2</v>
      </c>
      <c r="AX217" t="s">
        <v>74</v>
      </c>
      <c r="AY217" t="s">
        <v>74</v>
      </c>
      <c r="AZ217" t="s">
        <v>74</v>
      </c>
      <c r="BA217" t="s">
        <v>74</v>
      </c>
      <c r="BB217">
        <v>58</v>
      </c>
      <c r="BC217">
        <v>58</v>
      </c>
      <c r="BD217" t="s">
        <v>4530</v>
      </c>
      <c r="BE217" t="s">
        <v>4531</v>
      </c>
      <c r="BF217" t="str">
        <f>HYPERLINK("http://dx.doi.org/10.1017/S0954102019000105","http://dx.doi.org/10.1017/S0954102019000105")</f>
        <v>http://dx.doi.org/10.1017/S0954102019000105</v>
      </c>
      <c r="BG217" t="s">
        <v>74</v>
      </c>
      <c r="BH217" t="s">
        <v>74</v>
      </c>
      <c r="BI217">
        <v>1</v>
      </c>
      <c r="BJ217" t="s">
        <v>4532</v>
      </c>
      <c r="BK217" t="s">
        <v>102</v>
      </c>
      <c r="BL217" t="s">
        <v>4533</v>
      </c>
      <c r="BM217" t="s">
        <v>4534</v>
      </c>
      <c r="BN217" t="s">
        <v>74</v>
      </c>
      <c r="BO217" t="s">
        <v>279</v>
      </c>
      <c r="BP217" t="s">
        <v>74</v>
      </c>
      <c r="BQ217" t="s">
        <v>74</v>
      </c>
      <c r="BR217" t="s">
        <v>107</v>
      </c>
      <c r="BS217" t="s">
        <v>4535</v>
      </c>
      <c r="BT217" t="str">
        <f>HYPERLINK("https%3A%2F%2Fwww.webofscience.com%2Fwos%2Fwoscc%2Ffull-record%2FWOS:000463086400002","View Full Record in Web of Science")</f>
        <v>View Full Record in Web of Science</v>
      </c>
    </row>
    <row r="218" spans="1:72" x14ac:dyDescent="0.15">
      <c r="A218" t="s">
        <v>72</v>
      </c>
      <c r="B218" t="s">
        <v>4536</v>
      </c>
      <c r="C218" t="s">
        <v>74</v>
      </c>
      <c r="D218" t="s">
        <v>74</v>
      </c>
      <c r="E218" t="s">
        <v>74</v>
      </c>
      <c r="F218" t="s">
        <v>4537</v>
      </c>
      <c r="G218" t="s">
        <v>74</v>
      </c>
      <c r="H218" t="s">
        <v>74</v>
      </c>
      <c r="I218" t="s">
        <v>4538</v>
      </c>
      <c r="J218" t="s">
        <v>4519</v>
      </c>
      <c r="K218" t="s">
        <v>74</v>
      </c>
      <c r="L218" t="s">
        <v>74</v>
      </c>
      <c r="M218" t="s">
        <v>78</v>
      </c>
      <c r="N218" t="s">
        <v>79</v>
      </c>
      <c r="O218" t="s">
        <v>74</v>
      </c>
      <c r="P218" t="s">
        <v>74</v>
      </c>
      <c r="Q218" t="s">
        <v>74</v>
      </c>
      <c r="R218" t="s">
        <v>74</v>
      </c>
      <c r="S218" t="s">
        <v>74</v>
      </c>
      <c r="T218" t="s">
        <v>4539</v>
      </c>
      <c r="U218" t="s">
        <v>4540</v>
      </c>
      <c r="V218" t="s">
        <v>4541</v>
      </c>
      <c r="W218" t="s">
        <v>4542</v>
      </c>
      <c r="X218" t="s">
        <v>4543</v>
      </c>
      <c r="Y218" t="s">
        <v>4544</v>
      </c>
      <c r="Z218" t="s">
        <v>4545</v>
      </c>
      <c r="AA218" t="s">
        <v>4546</v>
      </c>
      <c r="AB218" t="s">
        <v>4547</v>
      </c>
      <c r="AC218" t="s">
        <v>4548</v>
      </c>
      <c r="AD218" t="s">
        <v>4549</v>
      </c>
      <c r="AE218" t="s">
        <v>4550</v>
      </c>
      <c r="AF218" t="s">
        <v>74</v>
      </c>
      <c r="AG218">
        <v>38</v>
      </c>
      <c r="AH218">
        <v>0</v>
      </c>
      <c r="AI218">
        <v>1</v>
      </c>
      <c r="AJ218">
        <v>1</v>
      </c>
      <c r="AK218">
        <v>26</v>
      </c>
      <c r="AL218" t="s">
        <v>2960</v>
      </c>
      <c r="AM218" t="s">
        <v>607</v>
      </c>
      <c r="AN218" t="s">
        <v>4525</v>
      </c>
      <c r="AO218" t="s">
        <v>4526</v>
      </c>
      <c r="AP218" t="s">
        <v>4527</v>
      </c>
      <c r="AQ218" t="s">
        <v>74</v>
      </c>
      <c r="AR218" t="s">
        <v>4528</v>
      </c>
      <c r="AS218" t="s">
        <v>4529</v>
      </c>
      <c r="AT218" t="s">
        <v>2547</v>
      </c>
      <c r="AU218">
        <v>2019</v>
      </c>
      <c r="AV218">
        <v>31</v>
      </c>
      <c r="AW218">
        <v>2</v>
      </c>
      <c r="AX218" t="s">
        <v>74</v>
      </c>
      <c r="AY218" t="s">
        <v>74</v>
      </c>
      <c r="AZ218" t="s">
        <v>74</v>
      </c>
      <c r="BA218" t="s">
        <v>74</v>
      </c>
      <c r="BB218">
        <v>59</v>
      </c>
      <c r="BC218">
        <v>68</v>
      </c>
      <c r="BD218" t="s">
        <v>4551</v>
      </c>
      <c r="BE218" t="s">
        <v>4552</v>
      </c>
      <c r="BF218" t="str">
        <f>HYPERLINK("http://dx.doi.org/10.1017/S0954102018000548","http://dx.doi.org/10.1017/S0954102018000548")</f>
        <v>http://dx.doi.org/10.1017/S0954102018000548</v>
      </c>
      <c r="BG218" t="s">
        <v>74</v>
      </c>
      <c r="BH218" t="s">
        <v>74</v>
      </c>
      <c r="BI218">
        <v>10</v>
      </c>
      <c r="BJ218" t="s">
        <v>4532</v>
      </c>
      <c r="BK218" t="s">
        <v>102</v>
      </c>
      <c r="BL218" t="s">
        <v>4533</v>
      </c>
      <c r="BM218" t="s">
        <v>4534</v>
      </c>
      <c r="BN218" t="s">
        <v>74</v>
      </c>
      <c r="BO218" t="s">
        <v>1014</v>
      </c>
      <c r="BP218" t="s">
        <v>74</v>
      </c>
      <c r="BQ218" t="s">
        <v>74</v>
      </c>
      <c r="BR218" t="s">
        <v>107</v>
      </c>
      <c r="BS218" t="s">
        <v>4553</v>
      </c>
      <c r="BT218" t="str">
        <f>HYPERLINK("https%3A%2F%2Fwww.webofscience.com%2Fwos%2Fwoscc%2Ffull-record%2FWOS:000463086400003","View Full Record in Web of Science")</f>
        <v>View Full Record in Web of Science</v>
      </c>
    </row>
    <row r="219" spans="1:72" x14ac:dyDescent="0.15">
      <c r="A219" t="s">
        <v>72</v>
      </c>
      <c r="B219" t="s">
        <v>4554</v>
      </c>
      <c r="C219" t="s">
        <v>74</v>
      </c>
      <c r="D219" t="s">
        <v>74</v>
      </c>
      <c r="E219" t="s">
        <v>74</v>
      </c>
      <c r="F219" t="s">
        <v>4555</v>
      </c>
      <c r="G219" t="s">
        <v>74</v>
      </c>
      <c r="H219" t="s">
        <v>74</v>
      </c>
      <c r="I219" t="s">
        <v>4556</v>
      </c>
      <c r="J219" t="s">
        <v>4519</v>
      </c>
      <c r="K219" t="s">
        <v>74</v>
      </c>
      <c r="L219" t="s">
        <v>74</v>
      </c>
      <c r="M219" t="s">
        <v>78</v>
      </c>
      <c r="N219" t="s">
        <v>79</v>
      </c>
      <c r="O219" t="s">
        <v>74</v>
      </c>
      <c r="P219" t="s">
        <v>74</v>
      </c>
      <c r="Q219" t="s">
        <v>74</v>
      </c>
      <c r="R219" t="s">
        <v>74</v>
      </c>
      <c r="S219" t="s">
        <v>74</v>
      </c>
      <c r="T219" t="s">
        <v>4557</v>
      </c>
      <c r="U219" t="s">
        <v>4558</v>
      </c>
      <c r="V219" t="s">
        <v>4559</v>
      </c>
      <c r="W219" t="s">
        <v>4560</v>
      </c>
      <c r="X219" t="s">
        <v>4561</v>
      </c>
      <c r="Y219" t="s">
        <v>4562</v>
      </c>
      <c r="Z219" t="s">
        <v>4563</v>
      </c>
      <c r="AA219" t="s">
        <v>4564</v>
      </c>
      <c r="AB219" t="s">
        <v>4565</v>
      </c>
      <c r="AC219" t="s">
        <v>4566</v>
      </c>
      <c r="AD219" t="s">
        <v>4567</v>
      </c>
      <c r="AE219" t="s">
        <v>4568</v>
      </c>
      <c r="AF219" t="s">
        <v>74</v>
      </c>
      <c r="AG219">
        <v>38</v>
      </c>
      <c r="AH219">
        <v>19</v>
      </c>
      <c r="AI219">
        <v>19</v>
      </c>
      <c r="AJ219">
        <v>2</v>
      </c>
      <c r="AK219">
        <v>41</v>
      </c>
      <c r="AL219" t="s">
        <v>2960</v>
      </c>
      <c r="AM219" t="s">
        <v>607</v>
      </c>
      <c r="AN219" t="s">
        <v>4525</v>
      </c>
      <c r="AO219" t="s">
        <v>4526</v>
      </c>
      <c r="AP219" t="s">
        <v>4527</v>
      </c>
      <c r="AQ219" t="s">
        <v>74</v>
      </c>
      <c r="AR219" t="s">
        <v>4528</v>
      </c>
      <c r="AS219" t="s">
        <v>4529</v>
      </c>
      <c r="AT219" t="s">
        <v>2547</v>
      </c>
      <c r="AU219">
        <v>2019</v>
      </c>
      <c r="AV219">
        <v>31</v>
      </c>
      <c r="AW219">
        <v>2</v>
      </c>
      <c r="AX219" t="s">
        <v>74</v>
      </c>
      <c r="AY219" t="s">
        <v>74</v>
      </c>
      <c r="AZ219" t="s">
        <v>74</v>
      </c>
      <c r="BA219" t="s">
        <v>74</v>
      </c>
      <c r="BB219">
        <v>69</v>
      </c>
      <c r="BC219">
        <v>79</v>
      </c>
      <c r="BD219" t="s">
        <v>4569</v>
      </c>
      <c r="BE219" t="s">
        <v>4570</v>
      </c>
      <c r="BF219" t="str">
        <f>HYPERLINK("http://dx.doi.org/10.1017/S0954102018000482","http://dx.doi.org/10.1017/S0954102018000482")</f>
        <v>http://dx.doi.org/10.1017/S0954102018000482</v>
      </c>
      <c r="BG219" t="s">
        <v>74</v>
      </c>
      <c r="BH219" t="s">
        <v>74</v>
      </c>
      <c r="BI219">
        <v>11</v>
      </c>
      <c r="BJ219" t="s">
        <v>4532</v>
      </c>
      <c r="BK219" t="s">
        <v>102</v>
      </c>
      <c r="BL219" t="s">
        <v>4533</v>
      </c>
      <c r="BM219" t="s">
        <v>4534</v>
      </c>
      <c r="BN219" t="s">
        <v>74</v>
      </c>
      <c r="BO219" t="s">
        <v>74</v>
      </c>
      <c r="BP219" t="s">
        <v>74</v>
      </c>
      <c r="BQ219" t="s">
        <v>74</v>
      </c>
      <c r="BR219" t="s">
        <v>107</v>
      </c>
      <c r="BS219" t="s">
        <v>4571</v>
      </c>
      <c r="BT219" t="str">
        <f>HYPERLINK("https%3A%2F%2Fwww.webofscience.com%2Fwos%2Fwoscc%2Ffull-record%2FWOS:000463086400004","View Full Record in Web of Science")</f>
        <v>View Full Record in Web of Science</v>
      </c>
    </row>
    <row r="220" spans="1:72" x14ac:dyDescent="0.15">
      <c r="A220" t="s">
        <v>72</v>
      </c>
      <c r="B220" t="s">
        <v>4572</v>
      </c>
      <c r="C220" t="s">
        <v>74</v>
      </c>
      <c r="D220" t="s">
        <v>74</v>
      </c>
      <c r="E220" t="s">
        <v>74</v>
      </c>
      <c r="F220" t="s">
        <v>4573</v>
      </c>
      <c r="G220" t="s">
        <v>74</v>
      </c>
      <c r="H220" t="s">
        <v>74</v>
      </c>
      <c r="I220" t="s">
        <v>4574</v>
      </c>
      <c r="J220" t="s">
        <v>4519</v>
      </c>
      <c r="K220" t="s">
        <v>74</v>
      </c>
      <c r="L220" t="s">
        <v>74</v>
      </c>
      <c r="M220" t="s">
        <v>78</v>
      </c>
      <c r="N220" t="s">
        <v>79</v>
      </c>
      <c r="O220" t="s">
        <v>74</v>
      </c>
      <c r="P220" t="s">
        <v>74</v>
      </c>
      <c r="Q220" t="s">
        <v>74</v>
      </c>
      <c r="R220" t="s">
        <v>74</v>
      </c>
      <c r="S220" t="s">
        <v>74</v>
      </c>
      <c r="T220" t="s">
        <v>4575</v>
      </c>
      <c r="U220" t="s">
        <v>4576</v>
      </c>
      <c r="V220" t="s">
        <v>4577</v>
      </c>
      <c r="W220" t="s">
        <v>4578</v>
      </c>
      <c r="X220" t="s">
        <v>4579</v>
      </c>
      <c r="Y220" t="s">
        <v>4580</v>
      </c>
      <c r="Z220" t="s">
        <v>4581</v>
      </c>
      <c r="AA220" t="s">
        <v>74</v>
      </c>
      <c r="AB220" t="s">
        <v>74</v>
      </c>
      <c r="AC220" t="s">
        <v>4582</v>
      </c>
      <c r="AD220" t="s">
        <v>4583</v>
      </c>
      <c r="AE220" t="s">
        <v>4584</v>
      </c>
      <c r="AF220" t="s">
        <v>74</v>
      </c>
      <c r="AG220">
        <v>40</v>
      </c>
      <c r="AH220">
        <v>9</v>
      </c>
      <c r="AI220">
        <v>9</v>
      </c>
      <c r="AJ220">
        <v>0</v>
      </c>
      <c r="AK220">
        <v>16</v>
      </c>
      <c r="AL220" t="s">
        <v>2960</v>
      </c>
      <c r="AM220" t="s">
        <v>607</v>
      </c>
      <c r="AN220" t="s">
        <v>4525</v>
      </c>
      <c r="AO220" t="s">
        <v>4526</v>
      </c>
      <c r="AP220" t="s">
        <v>4527</v>
      </c>
      <c r="AQ220" t="s">
        <v>74</v>
      </c>
      <c r="AR220" t="s">
        <v>4528</v>
      </c>
      <c r="AS220" t="s">
        <v>4529</v>
      </c>
      <c r="AT220" t="s">
        <v>2547</v>
      </c>
      <c r="AU220">
        <v>2019</v>
      </c>
      <c r="AV220">
        <v>31</v>
      </c>
      <c r="AW220">
        <v>2</v>
      </c>
      <c r="AX220" t="s">
        <v>74</v>
      </c>
      <c r="AY220" t="s">
        <v>74</v>
      </c>
      <c r="AZ220" t="s">
        <v>74</v>
      </c>
      <c r="BA220" t="s">
        <v>74</v>
      </c>
      <c r="BB220">
        <v>80</v>
      </c>
      <c r="BC220">
        <v>88</v>
      </c>
      <c r="BD220" t="s">
        <v>4585</v>
      </c>
      <c r="BE220" t="s">
        <v>4586</v>
      </c>
      <c r="BF220" t="str">
        <f>HYPERLINK("http://dx.doi.org/10.1017/S0954102018000561","http://dx.doi.org/10.1017/S0954102018000561")</f>
        <v>http://dx.doi.org/10.1017/S0954102018000561</v>
      </c>
      <c r="BG220" t="s">
        <v>74</v>
      </c>
      <c r="BH220" t="s">
        <v>74</v>
      </c>
      <c r="BI220">
        <v>9</v>
      </c>
      <c r="BJ220" t="s">
        <v>4532</v>
      </c>
      <c r="BK220" t="s">
        <v>102</v>
      </c>
      <c r="BL220" t="s">
        <v>4533</v>
      </c>
      <c r="BM220" t="s">
        <v>4534</v>
      </c>
      <c r="BN220" t="s">
        <v>74</v>
      </c>
      <c r="BO220" t="s">
        <v>74</v>
      </c>
      <c r="BP220" t="s">
        <v>74</v>
      </c>
      <c r="BQ220" t="s">
        <v>74</v>
      </c>
      <c r="BR220" t="s">
        <v>107</v>
      </c>
      <c r="BS220" t="s">
        <v>4587</v>
      </c>
      <c r="BT220" t="str">
        <f>HYPERLINK("https%3A%2F%2Fwww.webofscience.com%2Fwos%2Fwoscc%2Ffull-record%2FWOS:000463086400005","View Full Record in Web of Science")</f>
        <v>View Full Record in Web of Science</v>
      </c>
    </row>
    <row r="221" spans="1:72" x14ac:dyDescent="0.15">
      <c r="A221" t="s">
        <v>72</v>
      </c>
      <c r="B221" t="s">
        <v>4588</v>
      </c>
      <c r="C221" t="s">
        <v>74</v>
      </c>
      <c r="D221" t="s">
        <v>74</v>
      </c>
      <c r="E221" t="s">
        <v>74</v>
      </c>
      <c r="F221" t="s">
        <v>4589</v>
      </c>
      <c r="G221" t="s">
        <v>74</v>
      </c>
      <c r="H221" t="s">
        <v>74</v>
      </c>
      <c r="I221" t="s">
        <v>4590</v>
      </c>
      <c r="J221" t="s">
        <v>4519</v>
      </c>
      <c r="K221" t="s">
        <v>74</v>
      </c>
      <c r="L221" t="s">
        <v>74</v>
      </c>
      <c r="M221" t="s">
        <v>78</v>
      </c>
      <c r="N221" t="s">
        <v>79</v>
      </c>
      <c r="O221" t="s">
        <v>74</v>
      </c>
      <c r="P221" t="s">
        <v>74</v>
      </c>
      <c r="Q221" t="s">
        <v>74</v>
      </c>
      <c r="R221" t="s">
        <v>74</v>
      </c>
      <c r="S221" t="s">
        <v>74</v>
      </c>
      <c r="T221" t="s">
        <v>4591</v>
      </c>
      <c r="U221" t="s">
        <v>4592</v>
      </c>
      <c r="V221" t="s">
        <v>4593</v>
      </c>
      <c r="W221" t="s">
        <v>4594</v>
      </c>
      <c r="X221" t="s">
        <v>4595</v>
      </c>
      <c r="Y221" t="s">
        <v>4596</v>
      </c>
      <c r="Z221" t="s">
        <v>4597</v>
      </c>
      <c r="AA221" t="s">
        <v>4598</v>
      </c>
      <c r="AB221" t="s">
        <v>74</v>
      </c>
      <c r="AC221" t="s">
        <v>4599</v>
      </c>
      <c r="AD221" t="s">
        <v>4600</v>
      </c>
      <c r="AE221" t="s">
        <v>4601</v>
      </c>
      <c r="AF221" t="s">
        <v>74</v>
      </c>
      <c r="AG221">
        <v>28</v>
      </c>
      <c r="AH221">
        <v>9</v>
      </c>
      <c r="AI221">
        <v>10</v>
      </c>
      <c r="AJ221">
        <v>0</v>
      </c>
      <c r="AK221">
        <v>9</v>
      </c>
      <c r="AL221" t="s">
        <v>2960</v>
      </c>
      <c r="AM221" t="s">
        <v>607</v>
      </c>
      <c r="AN221" t="s">
        <v>4525</v>
      </c>
      <c r="AO221" t="s">
        <v>4526</v>
      </c>
      <c r="AP221" t="s">
        <v>4527</v>
      </c>
      <c r="AQ221" t="s">
        <v>74</v>
      </c>
      <c r="AR221" t="s">
        <v>4528</v>
      </c>
      <c r="AS221" t="s">
        <v>4529</v>
      </c>
      <c r="AT221" t="s">
        <v>2547</v>
      </c>
      <c r="AU221">
        <v>2019</v>
      </c>
      <c r="AV221">
        <v>31</v>
      </c>
      <c r="AW221">
        <v>2</v>
      </c>
      <c r="AX221" t="s">
        <v>74</v>
      </c>
      <c r="AY221" t="s">
        <v>74</v>
      </c>
      <c r="AZ221" t="s">
        <v>74</v>
      </c>
      <c r="BA221" t="s">
        <v>74</v>
      </c>
      <c r="BB221">
        <v>89</v>
      </c>
      <c r="BC221">
        <v>97</v>
      </c>
      <c r="BD221" t="s">
        <v>4602</v>
      </c>
      <c r="BE221" t="s">
        <v>4603</v>
      </c>
      <c r="BF221" t="str">
        <f>HYPERLINK("http://dx.doi.org/10.1017/S0954102019000014","http://dx.doi.org/10.1017/S0954102019000014")</f>
        <v>http://dx.doi.org/10.1017/S0954102019000014</v>
      </c>
      <c r="BG221" t="s">
        <v>74</v>
      </c>
      <c r="BH221" t="s">
        <v>74</v>
      </c>
      <c r="BI221">
        <v>9</v>
      </c>
      <c r="BJ221" t="s">
        <v>4532</v>
      </c>
      <c r="BK221" t="s">
        <v>102</v>
      </c>
      <c r="BL221" t="s">
        <v>4533</v>
      </c>
      <c r="BM221" t="s">
        <v>4534</v>
      </c>
      <c r="BN221" t="s">
        <v>74</v>
      </c>
      <c r="BO221" t="s">
        <v>74</v>
      </c>
      <c r="BP221" t="s">
        <v>74</v>
      </c>
      <c r="BQ221" t="s">
        <v>74</v>
      </c>
      <c r="BR221" t="s">
        <v>107</v>
      </c>
      <c r="BS221" t="s">
        <v>4604</v>
      </c>
      <c r="BT221" t="str">
        <f>HYPERLINK("https%3A%2F%2Fwww.webofscience.com%2Fwos%2Fwoscc%2Ffull-record%2FWOS:000463086400006","View Full Record in Web of Science")</f>
        <v>View Full Record in Web of Science</v>
      </c>
    </row>
    <row r="222" spans="1:72" x14ac:dyDescent="0.15">
      <c r="A222" t="s">
        <v>72</v>
      </c>
      <c r="B222" t="s">
        <v>4605</v>
      </c>
      <c r="C222" t="s">
        <v>74</v>
      </c>
      <c r="D222" t="s">
        <v>74</v>
      </c>
      <c r="E222" t="s">
        <v>74</v>
      </c>
      <c r="F222" t="s">
        <v>4606</v>
      </c>
      <c r="G222" t="s">
        <v>74</v>
      </c>
      <c r="H222" t="s">
        <v>74</v>
      </c>
      <c r="I222" t="s">
        <v>4607</v>
      </c>
      <c r="J222" t="s">
        <v>4519</v>
      </c>
      <c r="K222" t="s">
        <v>74</v>
      </c>
      <c r="L222" t="s">
        <v>74</v>
      </c>
      <c r="M222" t="s">
        <v>78</v>
      </c>
      <c r="N222" t="s">
        <v>79</v>
      </c>
      <c r="O222" t="s">
        <v>74</v>
      </c>
      <c r="P222" t="s">
        <v>74</v>
      </c>
      <c r="Q222" t="s">
        <v>74</v>
      </c>
      <c r="R222" t="s">
        <v>74</v>
      </c>
      <c r="S222" t="s">
        <v>74</v>
      </c>
      <c r="T222" t="s">
        <v>4608</v>
      </c>
      <c r="U222" t="s">
        <v>4609</v>
      </c>
      <c r="V222" t="s">
        <v>4610</v>
      </c>
      <c r="W222" t="s">
        <v>4611</v>
      </c>
      <c r="X222" t="s">
        <v>4612</v>
      </c>
      <c r="Y222" t="s">
        <v>4613</v>
      </c>
      <c r="Z222" t="s">
        <v>4614</v>
      </c>
      <c r="AA222" t="s">
        <v>4615</v>
      </c>
      <c r="AB222" t="s">
        <v>4616</v>
      </c>
      <c r="AC222" t="s">
        <v>4617</v>
      </c>
      <c r="AD222" t="s">
        <v>4618</v>
      </c>
      <c r="AE222" t="s">
        <v>4619</v>
      </c>
      <c r="AF222" t="s">
        <v>74</v>
      </c>
      <c r="AG222">
        <v>33</v>
      </c>
      <c r="AH222">
        <v>7</v>
      </c>
      <c r="AI222">
        <v>8</v>
      </c>
      <c r="AJ222">
        <v>0</v>
      </c>
      <c r="AK222">
        <v>18</v>
      </c>
      <c r="AL222" t="s">
        <v>2960</v>
      </c>
      <c r="AM222" t="s">
        <v>607</v>
      </c>
      <c r="AN222" t="s">
        <v>4525</v>
      </c>
      <c r="AO222" t="s">
        <v>4526</v>
      </c>
      <c r="AP222" t="s">
        <v>4527</v>
      </c>
      <c r="AQ222" t="s">
        <v>74</v>
      </c>
      <c r="AR222" t="s">
        <v>4528</v>
      </c>
      <c r="AS222" t="s">
        <v>4529</v>
      </c>
      <c r="AT222" t="s">
        <v>2547</v>
      </c>
      <c r="AU222">
        <v>2019</v>
      </c>
      <c r="AV222">
        <v>31</v>
      </c>
      <c r="AW222">
        <v>2</v>
      </c>
      <c r="AX222" t="s">
        <v>74</v>
      </c>
      <c r="AY222" t="s">
        <v>74</v>
      </c>
      <c r="AZ222" t="s">
        <v>74</v>
      </c>
      <c r="BA222" t="s">
        <v>74</v>
      </c>
      <c r="BB222">
        <v>98</v>
      </c>
      <c r="BC222">
        <v>104</v>
      </c>
      <c r="BD222" t="s">
        <v>4620</v>
      </c>
      <c r="BE222" t="s">
        <v>4621</v>
      </c>
      <c r="BF222" t="str">
        <f>HYPERLINK("http://dx.doi.org/10.1017/S095410201800055X","http://dx.doi.org/10.1017/S095410201800055X")</f>
        <v>http://dx.doi.org/10.1017/S095410201800055X</v>
      </c>
      <c r="BG222" t="s">
        <v>74</v>
      </c>
      <c r="BH222" t="s">
        <v>74</v>
      </c>
      <c r="BI222">
        <v>7</v>
      </c>
      <c r="BJ222" t="s">
        <v>4532</v>
      </c>
      <c r="BK222" t="s">
        <v>102</v>
      </c>
      <c r="BL222" t="s">
        <v>4533</v>
      </c>
      <c r="BM222" t="s">
        <v>4534</v>
      </c>
      <c r="BN222" t="s">
        <v>74</v>
      </c>
      <c r="BO222" t="s">
        <v>2581</v>
      </c>
      <c r="BP222" t="s">
        <v>74</v>
      </c>
      <c r="BQ222" t="s">
        <v>74</v>
      </c>
      <c r="BR222" t="s">
        <v>107</v>
      </c>
      <c r="BS222" t="s">
        <v>4622</v>
      </c>
      <c r="BT222" t="str">
        <f>HYPERLINK("https%3A%2F%2Fwww.webofscience.com%2Fwos%2Fwoscc%2Ffull-record%2FWOS:000463086400007","View Full Record in Web of Science")</f>
        <v>View Full Record in Web of Science</v>
      </c>
    </row>
    <row r="223" spans="1:72" x14ac:dyDescent="0.15">
      <c r="A223" t="s">
        <v>72</v>
      </c>
      <c r="B223" t="s">
        <v>4623</v>
      </c>
      <c r="C223" t="s">
        <v>74</v>
      </c>
      <c r="D223" t="s">
        <v>74</v>
      </c>
      <c r="E223" t="s">
        <v>74</v>
      </c>
      <c r="F223" t="s">
        <v>4624</v>
      </c>
      <c r="G223" t="s">
        <v>74</v>
      </c>
      <c r="H223" t="s">
        <v>74</v>
      </c>
      <c r="I223" t="s">
        <v>4625</v>
      </c>
      <c r="J223" t="s">
        <v>4626</v>
      </c>
      <c r="K223" t="s">
        <v>74</v>
      </c>
      <c r="L223" t="s">
        <v>74</v>
      </c>
      <c r="M223" t="s">
        <v>78</v>
      </c>
      <c r="N223" t="s">
        <v>79</v>
      </c>
      <c r="O223" t="s">
        <v>74</v>
      </c>
      <c r="P223" t="s">
        <v>74</v>
      </c>
      <c r="Q223" t="s">
        <v>74</v>
      </c>
      <c r="R223" t="s">
        <v>74</v>
      </c>
      <c r="S223" t="s">
        <v>74</v>
      </c>
      <c r="T223" t="s">
        <v>4627</v>
      </c>
      <c r="U223" t="s">
        <v>4628</v>
      </c>
      <c r="V223" t="s">
        <v>4629</v>
      </c>
      <c r="W223" t="s">
        <v>4630</v>
      </c>
      <c r="X223" t="s">
        <v>4631</v>
      </c>
      <c r="Y223" t="s">
        <v>4632</v>
      </c>
      <c r="Z223" t="s">
        <v>4633</v>
      </c>
      <c r="AA223" t="s">
        <v>4634</v>
      </c>
      <c r="AB223" t="s">
        <v>4635</v>
      </c>
      <c r="AC223" t="s">
        <v>4636</v>
      </c>
      <c r="AD223" t="s">
        <v>74</v>
      </c>
      <c r="AE223" t="s">
        <v>4637</v>
      </c>
      <c r="AF223" t="s">
        <v>74</v>
      </c>
      <c r="AG223">
        <v>68</v>
      </c>
      <c r="AH223">
        <v>61</v>
      </c>
      <c r="AI223">
        <v>64</v>
      </c>
      <c r="AJ223">
        <v>1</v>
      </c>
      <c r="AK223">
        <v>43</v>
      </c>
      <c r="AL223" t="s">
        <v>4638</v>
      </c>
      <c r="AM223" t="s">
        <v>4639</v>
      </c>
      <c r="AN223" t="s">
        <v>4640</v>
      </c>
      <c r="AO223" t="s">
        <v>4641</v>
      </c>
      <c r="AP223" t="s">
        <v>4642</v>
      </c>
      <c r="AQ223" t="s">
        <v>74</v>
      </c>
      <c r="AR223" t="s">
        <v>4643</v>
      </c>
      <c r="AS223" t="s">
        <v>4644</v>
      </c>
      <c r="AT223" t="s">
        <v>2547</v>
      </c>
      <c r="AU223">
        <v>2019</v>
      </c>
      <c r="AV223">
        <v>57</v>
      </c>
      <c r="AW223">
        <v>4</v>
      </c>
      <c r="AX223" t="s">
        <v>74</v>
      </c>
      <c r="AY223" t="s">
        <v>74</v>
      </c>
      <c r="AZ223" t="s">
        <v>74</v>
      </c>
      <c r="BA223" t="s">
        <v>74</v>
      </c>
      <c r="BB223">
        <v>1936</v>
      </c>
      <c r="BC223">
        <v>1948</v>
      </c>
      <c r="BD223" t="s">
        <v>74</v>
      </c>
      <c r="BE223" t="s">
        <v>4645</v>
      </c>
      <c r="BF223" t="str">
        <f>HYPERLINK("http://dx.doi.org/10.1109/TGRS.2018.2870202","http://dx.doi.org/10.1109/TGRS.2018.2870202")</f>
        <v>http://dx.doi.org/10.1109/TGRS.2018.2870202</v>
      </c>
      <c r="BG223" t="s">
        <v>74</v>
      </c>
      <c r="BH223" t="s">
        <v>74</v>
      </c>
      <c r="BI223">
        <v>13</v>
      </c>
      <c r="BJ223" t="s">
        <v>4646</v>
      </c>
      <c r="BK223" t="s">
        <v>102</v>
      </c>
      <c r="BL223" t="s">
        <v>4647</v>
      </c>
      <c r="BM223" t="s">
        <v>4648</v>
      </c>
      <c r="BN223" t="s">
        <v>74</v>
      </c>
      <c r="BO223" t="s">
        <v>74</v>
      </c>
      <c r="BP223" t="s">
        <v>74</v>
      </c>
      <c r="BQ223" t="s">
        <v>74</v>
      </c>
      <c r="BR223" t="s">
        <v>107</v>
      </c>
      <c r="BS223" t="s">
        <v>4649</v>
      </c>
      <c r="BT223" t="str">
        <f>HYPERLINK("https%3A%2F%2Fwww.webofscience.com%2Fwos%2Fwoscc%2Ffull-record%2FWOS:000463019000009","View Full Record in Web of Science")</f>
        <v>View Full Record in Web of Science</v>
      </c>
    </row>
    <row r="224" spans="1:72" x14ac:dyDescent="0.15">
      <c r="A224" t="s">
        <v>72</v>
      </c>
      <c r="B224" t="s">
        <v>4650</v>
      </c>
      <c r="C224" t="s">
        <v>74</v>
      </c>
      <c r="D224" t="s">
        <v>74</v>
      </c>
      <c r="E224" t="s">
        <v>74</v>
      </c>
      <c r="F224" t="s">
        <v>4651</v>
      </c>
      <c r="G224" t="s">
        <v>74</v>
      </c>
      <c r="H224" t="s">
        <v>74</v>
      </c>
      <c r="I224" t="s">
        <v>4652</v>
      </c>
      <c r="J224" t="s">
        <v>4653</v>
      </c>
      <c r="K224" t="s">
        <v>74</v>
      </c>
      <c r="L224" t="s">
        <v>74</v>
      </c>
      <c r="M224" t="s">
        <v>78</v>
      </c>
      <c r="N224" t="s">
        <v>79</v>
      </c>
      <c r="O224" t="s">
        <v>74</v>
      </c>
      <c r="P224" t="s">
        <v>74</v>
      </c>
      <c r="Q224" t="s">
        <v>74</v>
      </c>
      <c r="R224" t="s">
        <v>74</v>
      </c>
      <c r="S224" t="s">
        <v>74</v>
      </c>
      <c r="T224" t="s">
        <v>74</v>
      </c>
      <c r="U224" t="s">
        <v>4654</v>
      </c>
      <c r="V224" t="s">
        <v>4655</v>
      </c>
      <c r="W224" t="s">
        <v>4656</v>
      </c>
      <c r="X224" t="s">
        <v>4657</v>
      </c>
      <c r="Y224" t="s">
        <v>4658</v>
      </c>
      <c r="Z224" t="s">
        <v>4659</v>
      </c>
      <c r="AA224" t="s">
        <v>74</v>
      </c>
      <c r="AB224" t="s">
        <v>4660</v>
      </c>
      <c r="AC224" t="s">
        <v>4661</v>
      </c>
      <c r="AD224" t="s">
        <v>4662</v>
      </c>
      <c r="AE224" t="s">
        <v>4663</v>
      </c>
      <c r="AF224" t="s">
        <v>74</v>
      </c>
      <c r="AG224">
        <v>17</v>
      </c>
      <c r="AH224">
        <v>5</v>
      </c>
      <c r="AI224">
        <v>5</v>
      </c>
      <c r="AJ224">
        <v>0</v>
      </c>
      <c r="AK224">
        <v>6</v>
      </c>
      <c r="AL224" t="s">
        <v>153</v>
      </c>
      <c r="AM224" t="s">
        <v>154</v>
      </c>
      <c r="AN224" t="s">
        <v>155</v>
      </c>
      <c r="AO224" t="s">
        <v>4664</v>
      </c>
      <c r="AP224" t="s">
        <v>4665</v>
      </c>
      <c r="AQ224" t="s">
        <v>74</v>
      </c>
      <c r="AR224" t="s">
        <v>4666</v>
      </c>
      <c r="AS224" t="s">
        <v>4667</v>
      </c>
      <c r="AT224" t="s">
        <v>2547</v>
      </c>
      <c r="AU224">
        <v>2019</v>
      </c>
      <c r="AV224">
        <v>35</v>
      </c>
      <c r="AW224">
        <v>2</v>
      </c>
      <c r="AX224" t="s">
        <v>74</v>
      </c>
      <c r="AY224" t="s">
        <v>74</v>
      </c>
      <c r="AZ224" t="s">
        <v>74</v>
      </c>
      <c r="BA224" t="s">
        <v>74</v>
      </c>
      <c r="BB224">
        <v>597</v>
      </c>
      <c r="BC224">
        <v>599</v>
      </c>
      <c r="BD224" t="s">
        <v>74</v>
      </c>
      <c r="BE224" t="s">
        <v>4668</v>
      </c>
      <c r="BF224" t="str">
        <f>HYPERLINK("http://dx.doi.org/10.1111/jai.13833","http://dx.doi.org/10.1111/jai.13833")</f>
        <v>http://dx.doi.org/10.1111/jai.13833</v>
      </c>
      <c r="BG224" t="s">
        <v>74</v>
      </c>
      <c r="BH224" t="s">
        <v>74</v>
      </c>
      <c r="BI224">
        <v>3</v>
      </c>
      <c r="BJ224" t="s">
        <v>4669</v>
      </c>
      <c r="BK224" t="s">
        <v>102</v>
      </c>
      <c r="BL224" t="s">
        <v>4669</v>
      </c>
      <c r="BM224" t="s">
        <v>4670</v>
      </c>
      <c r="BN224" t="s">
        <v>74</v>
      </c>
      <c r="BO224" t="s">
        <v>1415</v>
      </c>
      <c r="BP224" t="s">
        <v>74</v>
      </c>
      <c r="BQ224" t="s">
        <v>74</v>
      </c>
      <c r="BR224" t="s">
        <v>107</v>
      </c>
      <c r="BS224" t="s">
        <v>4671</v>
      </c>
      <c r="BT224" t="str">
        <f>HYPERLINK("https%3A%2F%2Fwww.webofscience.com%2Fwos%2Fwoscc%2Ffull-record%2FWOS:000462776200027","View Full Record in Web of Science")</f>
        <v>View Full Record in Web of Science</v>
      </c>
    </row>
    <row r="225" spans="1:72" x14ac:dyDescent="0.15">
      <c r="A225" t="s">
        <v>72</v>
      </c>
      <c r="B225" t="s">
        <v>4672</v>
      </c>
      <c r="C225" t="s">
        <v>74</v>
      </c>
      <c r="D225" t="s">
        <v>74</v>
      </c>
      <c r="E225" t="s">
        <v>74</v>
      </c>
      <c r="F225" t="s">
        <v>4673</v>
      </c>
      <c r="G225" t="s">
        <v>74</v>
      </c>
      <c r="H225" t="s">
        <v>74</v>
      </c>
      <c r="I225" t="s">
        <v>4674</v>
      </c>
      <c r="J225" t="s">
        <v>4675</v>
      </c>
      <c r="K225" t="s">
        <v>74</v>
      </c>
      <c r="L225" t="s">
        <v>74</v>
      </c>
      <c r="M225" t="s">
        <v>78</v>
      </c>
      <c r="N225" t="s">
        <v>79</v>
      </c>
      <c r="O225" t="s">
        <v>74</v>
      </c>
      <c r="P225" t="s">
        <v>74</v>
      </c>
      <c r="Q225" t="s">
        <v>74</v>
      </c>
      <c r="R225" t="s">
        <v>74</v>
      </c>
      <c r="S225" t="s">
        <v>74</v>
      </c>
      <c r="T225" t="s">
        <v>4676</v>
      </c>
      <c r="U225" t="s">
        <v>4677</v>
      </c>
      <c r="V225" t="s">
        <v>4678</v>
      </c>
      <c r="W225" t="s">
        <v>4679</v>
      </c>
      <c r="X225" t="s">
        <v>4680</v>
      </c>
      <c r="Y225" t="s">
        <v>4681</v>
      </c>
      <c r="Z225" t="s">
        <v>4682</v>
      </c>
      <c r="AA225" t="s">
        <v>4683</v>
      </c>
      <c r="AB225" t="s">
        <v>74</v>
      </c>
      <c r="AC225" t="s">
        <v>4684</v>
      </c>
      <c r="AD225" t="s">
        <v>4684</v>
      </c>
      <c r="AE225" t="s">
        <v>4685</v>
      </c>
      <c r="AF225" t="s">
        <v>74</v>
      </c>
      <c r="AG225">
        <v>62</v>
      </c>
      <c r="AH225">
        <v>1</v>
      </c>
      <c r="AI225">
        <v>1</v>
      </c>
      <c r="AJ225">
        <v>0</v>
      </c>
      <c r="AK225">
        <v>11</v>
      </c>
      <c r="AL225" t="s">
        <v>153</v>
      </c>
      <c r="AM225" t="s">
        <v>154</v>
      </c>
      <c r="AN225" t="s">
        <v>155</v>
      </c>
      <c r="AO225" t="s">
        <v>4686</v>
      </c>
      <c r="AP225" t="s">
        <v>4687</v>
      </c>
      <c r="AQ225" t="s">
        <v>74</v>
      </c>
      <c r="AR225" t="s">
        <v>4688</v>
      </c>
      <c r="AS225" t="s">
        <v>4689</v>
      </c>
      <c r="AT225" t="s">
        <v>2547</v>
      </c>
      <c r="AU225">
        <v>2019</v>
      </c>
      <c r="AV225">
        <v>46</v>
      </c>
      <c r="AW225">
        <v>4</v>
      </c>
      <c r="AX225" t="s">
        <v>74</v>
      </c>
      <c r="AY225" t="s">
        <v>74</v>
      </c>
      <c r="AZ225" t="s">
        <v>74</v>
      </c>
      <c r="BA225" t="s">
        <v>74</v>
      </c>
      <c r="BB225">
        <v>680</v>
      </c>
      <c r="BC225">
        <v>693</v>
      </c>
      <c r="BD225" t="s">
        <v>74</v>
      </c>
      <c r="BE225" t="s">
        <v>4690</v>
      </c>
      <c r="BF225" t="str">
        <f>HYPERLINK("http://dx.doi.org/10.1111/jbi.13484","http://dx.doi.org/10.1111/jbi.13484")</f>
        <v>http://dx.doi.org/10.1111/jbi.13484</v>
      </c>
      <c r="BG225" t="s">
        <v>74</v>
      </c>
      <c r="BH225" t="s">
        <v>74</v>
      </c>
      <c r="BI225">
        <v>14</v>
      </c>
      <c r="BJ225" t="s">
        <v>4691</v>
      </c>
      <c r="BK225" t="s">
        <v>102</v>
      </c>
      <c r="BL225" t="s">
        <v>4692</v>
      </c>
      <c r="BM225" t="s">
        <v>4693</v>
      </c>
      <c r="BN225" t="s">
        <v>74</v>
      </c>
      <c r="BO225" t="s">
        <v>74</v>
      </c>
      <c r="BP225" t="s">
        <v>74</v>
      </c>
      <c r="BQ225" t="s">
        <v>74</v>
      </c>
      <c r="BR225" t="s">
        <v>107</v>
      </c>
      <c r="BS225" t="s">
        <v>4694</v>
      </c>
      <c r="BT225" t="str">
        <f>HYPERLINK("https%3A%2F%2Fwww.webofscience.com%2Fwos%2Fwoscc%2Ffull-record%2FWOS:000462909100002","View Full Record in Web of Science")</f>
        <v>View Full Record in Web of Science</v>
      </c>
    </row>
    <row r="226" spans="1:72" x14ac:dyDescent="0.15">
      <c r="A226" t="s">
        <v>72</v>
      </c>
      <c r="B226" t="s">
        <v>4695</v>
      </c>
      <c r="C226" t="s">
        <v>74</v>
      </c>
      <c r="D226" t="s">
        <v>74</v>
      </c>
      <c r="E226" t="s">
        <v>74</v>
      </c>
      <c r="F226" t="s">
        <v>4696</v>
      </c>
      <c r="G226" t="s">
        <v>74</v>
      </c>
      <c r="H226" t="s">
        <v>74</v>
      </c>
      <c r="I226" t="s">
        <v>4697</v>
      </c>
      <c r="J226" t="s">
        <v>4698</v>
      </c>
      <c r="K226" t="s">
        <v>74</v>
      </c>
      <c r="L226" t="s">
        <v>74</v>
      </c>
      <c r="M226" t="s">
        <v>78</v>
      </c>
      <c r="N226" t="s">
        <v>79</v>
      </c>
      <c r="O226" t="s">
        <v>74</v>
      </c>
      <c r="P226" t="s">
        <v>74</v>
      </c>
      <c r="Q226" t="s">
        <v>74</v>
      </c>
      <c r="R226" t="s">
        <v>74</v>
      </c>
      <c r="S226" t="s">
        <v>74</v>
      </c>
      <c r="T226" t="s">
        <v>4699</v>
      </c>
      <c r="U226" t="s">
        <v>4700</v>
      </c>
      <c r="V226" t="s">
        <v>4701</v>
      </c>
      <c r="W226" t="s">
        <v>4702</v>
      </c>
      <c r="X226" t="s">
        <v>4703</v>
      </c>
      <c r="Y226" t="s">
        <v>4704</v>
      </c>
      <c r="Z226" t="s">
        <v>4705</v>
      </c>
      <c r="AA226" t="s">
        <v>4706</v>
      </c>
      <c r="AB226" t="s">
        <v>4707</v>
      </c>
      <c r="AC226" t="s">
        <v>4708</v>
      </c>
      <c r="AD226" t="s">
        <v>4709</v>
      </c>
      <c r="AE226" t="s">
        <v>4710</v>
      </c>
      <c r="AF226" t="s">
        <v>74</v>
      </c>
      <c r="AG226">
        <v>25</v>
      </c>
      <c r="AH226">
        <v>5</v>
      </c>
      <c r="AI226">
        <v>5</v>
      </c>
      <c r="AJ226">
        <v>1</v>
      </c>
      <c r="AK226">
        <v>9</v>
      </c>
      <c r="AL226" t="s">
        <v>662</v>
      </c>
      <c r="AM226" t="s">
        <v>635</v>
      </c>
      <c r="AN226" t="s">
        <v>663</v>
      </c>
      <c r="AO226" t="s">
        <v>4711</v>
      </c>
      <c r="AP226" t="s">
        <v>4712</v>
      </c>
      <c r="AQ226" t="s">
        <v>74</v>
      </c>
      <c r="AR226" t="s">
        <v>4713</v>
      </c>
      <c r="AS226" t="s">
        <v>4714</v>
      </c>
      <c r="AT226" t="s">
        <v>2547</v>
      </c>
      <c r="AU226">
        <v>2019</v>
      </c>
      <c r="AV226">
        <v>44</v>
      </c>
      <c r="AW226" t="s">
        <v>74</v>
      </c>
      <c r="AX226" t="s">
        <v>74</v>
      </c>
      <c r="AY226" t="s">
        <v>74</v>
      </c>
      <c r="AZ226" t="s">
        <v>74</v>
      </c>
      <c r="BA226" t="s">
        <v>74</v>
      </c>
      <c r="BB226">
        <v>61</v>
      </c>
      <c r="BC226">
        <v>64</v>
      </c>
      <c r="BD226" t="s">
        <v>74</v>
      </c>
      <c r="BE226" t="s">
        <v>4715</v>
      </c>
      <c r="BF226" t="str">
        <f>HYPERLINK("http://dx.doi.org/10.1016/j.margen.2018.09.007","http://dx.doi.org/10.1016/j.margen.2018.09.007")</f>
        <v>http://dx.doi.org/10.1016/j.margen.2018.09.007</v>
      </c>
      <c r="BG226" t="s">
        <v>74</v>
      </c>
      <c r="BH226" t="s">
        <v>74</v>
      </c>
      <c r="BI226">
        <v>4</v>
      </c>
      <c r="BJ226" t="s">
        <v>4716</v>
      </c>
      <c r="BK226" t="s">
        <v>102</v>
      </c>
      <c r="BL226" t="s">
        <v>4716</v>
      </c>
      <c r="BM226" t="s">
        <v>4717</v>
      </c>
      <c r="BN226" t="s">
        <v>74</v>
      </c>
      <c r="BO226" t="s">
        <v>74</v>
      </c>
      <c r="BP226" t="s">
        <v>74</v>
      </c>
      <c r="BQ226" t="s">
        <v>74</v>
      </c>
      <c r="BR226" t="s">
        <v>107</v>
      </c>
      <c r="BS226" t="s">
        <v>4718</v>
      </c>
      <c r="BT226" t="str">
        <f>HYPERLINK("https%3A%2F%2Fwww.webofscience.com%2Fwos%2Fwoscc%2Ffull-record%2FWOS:000462800700008","View Full Record in Web of Science")</f>
        <v>View Full Record in Web of Science</v>
      </c>
    </row>
    <row r="227" spans="1:72" x14ac:dyDescent="0.15">
      <c r="A227" t="s">
        <v>72</v>
      </c>
      <c r="B227" t="s">
        <v>4719</v>
      </c>
      <c r="C227" t="s">
        <v>74</v>
      </c>
      <c r="D227" t="s">
        <v>74</v>
      </c>
      <c r="E227" t="s">
        <v>74</v>
      </c>
      <c r="F227" t="s">
        <v>4720</v>
      </c>
      <c r="G227" t="s">
        <v>74</v>
      </c>
      <c r="H227" t="s">
        <v>74</v>
      </c>
      <c r="I227" t="s">
        <v>4721</v>
      </c>
      <c r="J227" t="s">
        <v>4698</v>
      </c>
      <c r="K227" t="s">
        <v>74</v>
      </c>
      <c r="L227" t="s">
        <v>74</v>
      </c>
      <c r="M227" t="s">
        <v>78</v>
      </c>
      <c r="N227" t="s">
        <v>79</v>
      </c>
      <c r="O227" t="s">
        <v>74</v>
      </c>
      <c r="P227" t="s">
        <v>74</v>
      </c>
      <c r="Q227" t="s">
        <v>74</v>
      </c>
      <c r="R227" t="s">
        <v>74</v>
      </c>
      <c r="S227" t="s">
        <v>74</v>
      </c>
      <c r="T227" t="s">
        <v>4722</v>
      </c>
      <c r="U227" t="s">
        <v>4723</v>
      </c>
      <c r="V227" t="s">
        <v>4724</v>
      </c>
      <c r="W227" t="s">
        <v>4725</v>
      </c>
      <c r="X227" t="s">
        <v>4726</v>
      </c>
      <c r="Y227" t="s">
        <v>4727</v>
      </c>
      <c r="Z227" t="s">
        <v>4728</v>
      </c>
      <c r="AA227" t="s">
        <v>4729</v>
      </c>
      <c r="AB227" t="s">
        <v>4730</v>
      </c>
      <c r="AC227" t="s">
        <v>4731</v>
      </c>
      <c r="AD227" t="s">
        <v>4732</v>
      </c>
      <c r="AE227" t="s">
        <v>4733</v>
      </c>
      <c r="AF227" t="s">
        <v>74</v>
      </c>
      <c r="AG227">
        <v>24</v>
      </c>
      <c r="AH227">
        <v>3</v>
      </c>
      <c r="AI227">
        <v>3</v>
      </c>
      <c r="AJ227">
        <v>0</v>
      </c>
      <c r="AK227">
        <v>15</v>
      </c>
      <c r="AL227" t="s">
        <v>662</v>
      </c>
      <c r="AM227" t="s">
        <v>635</v>
      </c>
      <c r="AN227" t="s">
        <v>663</v>
      </c>
      <c r="AO227" t="s">
        <v>4711</v>
      </c>
      <c r="AP227" t="s">
        <v>4712</v>
      </c>
      <c r="AQ227" t="s">
        <v>74</v>
      </c>
      <c r="AR227" t="s">
        <v>4713</v>
      </c>
      <c r="AS227" t="s">
        <v>4714</v>
      </c>
      <c r="AT227" t="s">
        <v>2547</v>
      </c>
      <c r="AU227">
        <v>2019</v>
      </c>
      <c r="AV227">
        <v>44</v>
      </c>
      <c r="AW227" t="s">
        <v>74</v>
      </c>
      <c r="AX227" t="s">
        <v>74</v>
      </c>
      <c r="AY227" t="s">
        <v>74</v>
      </c>
      <c r="AZ227" t="s">
        <v>74</v>
      </c>
      <c r="BA227" t="s">
        <v>74</v>
      </c>
      <c r="BB227">
        <v>70</v>
      </c>
      <c r="BC227">
        <v>73</v>
      </c>
      <c r="BD227" t="s">
        <v>74</v>
      </c>
      <c r="BE227" t="s">
        <v>4734</v>
      </c>
      <c r="BF227" t="str">
        <f>HYPERLINK("http://dx.doi.org/10.1016/j.margen.2018.10.001","http://dx.doi.org/10.1016/j.margen.2018.10.001")</f>
        <v>http://dx.doi.org/10.1016/j.margen.2018.10.001</v>
      </c>
      <c r="BG227" t="s">
        <v>74</v>
      </c>
      <c r="BH227" t="s">
        <v>74</v>
      </c>
      <c r="BI227">
        <v>4</v>
      </c>
      <c r="BJ227" t="s">
        <v>4716</v>
      </c>
      <c r="BK227" t="s">
        <v>102</v>
      </c>
      <c r="BL227" t="s">
        <v>4716</v>
      </c>
      <c r="BM227" t="s">
        <v>4717</v>
      </c>
      <c r="BN227" t="s">
        <v>74</v>
      </c>
      <c r="BO227" t="s">
        <v>74</v>
      </c>
      <c r="BP227" t="s">
        <v>74</v>
      </c>
      <c r="BQ227" t="s">
        <v>74</v>
      </c>
      <c r="BR227" t="s">
        <v>107</v>
      </c>
      <c r="BS227" t="s">
        <v>4735</v>
      </c>
      <c r="BT227" t="str">
        <f>HYPERLINK("https%3A%2F%2Fwww.webofscience.com%2Fwos%2Fwoscc%2Ffull-record%2FWOS:000462800700010","View Full Record in Web of Science")</f>
        <v>View Full Record in Web of Science</v>
      </c>
    </row>
    <row r="228" spans="1:72" x14ac:dyDescent="0.15">
      <c r="A228" t="s">
        <v>72</v>
      </c>
      <c r="B228" t="s">
        <v>4736</v>
      </c>
      <c r="C228" t="s">
        <v>74</v>
      </c>
      <c r="D228" t="s">
        <v>74</v>
      </c>
      <c r="E228" t="s">
        <v>74</v>
      </c>
      <c r="F228" t="s">
        <v>4737</v>
      </c>
      <c r="G228" t="s">
        <v>74</v>
      </c>
      <c r="H228" t="s">
        <v>74</v>
      </c>
      <c r="I228" t="s">
        <v>4738</v>
      </c>
      <c r="J228" t="s">
        <v>4739</v>
      </c>
      <c r="K228" t="s">
        <v>74</v>
      </c>
      <c r="L228" t="s">
        <v>74</v>
      </c>
      <c r="M228" t="s">
        <v>78</v>
      </c>
      <c r="N228" t="s">
        <v>79</v>
      </c>
      <c r="O228" t="s">
        <v>74</v>
      </c>
      <c r="P228" t="s">
        <v>74</v>
      </c>
      <c r="Q228" t="s">
        <v>74</v>
      </c>
      <c r="R228" t="s">
        <v>74</v>
      </c>
      <c r="S228" t="s">
        <v>74</v>
      </c>
      <c r="T228" t="s">
        <v>74</v>
      </c>
      <c r="U228" t="s">
        <v>4740</v>
      </c>
      <c r="V228" t="s">
        <v>4741</v>
      </c>
      <c r="W228" t="s">
        <v>4742</v>
      </c>
      <c r="X228" t="s">
        <v>4743</v>
      </c>
      <c r="Y228" t="s">
        <v>4744</v>
      </c>
      <c r="Z228" t="s">
        <v>4745</v>
      </c>
      <c r="AA228" t="s">
        <v>4746</v>
      </c>
      <c r="AB228" t="s">
        <v>4747</v>
      </c>
      <c r="AC228" t="s">
        <v>4748</v>
      </c>
      <c r="AD228" t="s">
        <v>4749</v>
      </c>
      <c r="AE228" t="s">
        <v>4750</v>
      </c>
      <c r="AF228" t="s">
        <v>74</v>
      </c>
      <c r="AG228">
        <v>52</v>
      </c>
      <c r="AH228">
        <v>7</v>
      </c>
      <c r="AI228">
        <v>7</v>
      </c>
      <c r="AJ228">
        <v>1</v>
      </c>
      <c r="AK228">
        <v>9</v>
      </c>
      <c r="AL228" t="s">
        <v>153</v>
      </c>
      <c r="AM228" t="s">
        <v>154</v>
      </c>
      <c r="AN228" t="s">
        <v>155</v>
      </c>
      <c r="AO228" t="s">
        <v>4751</v>
      </c>
      <c r="AP228" t="s">
        <v>4752</v>
      </c>
      <c r="AQ228" t="s">
        <v>74</v>
      </c>
      <c r="AR228" t="s">
        <v>4753</v>
      </c>
      <c r="AS228" t="s">
        <v>4754</v>
      </c>
      <c r="AT228" t="s">
        <v>2547</v>
      </c>
      <c r="AU228">
        <v>2019</v>
      </c>
      <c r="AV228">
        <v>54</v>
      </c>
      <c r="AW228">
        <v>4</v>
      </c>
      <c r="AX228" t="s">
        <v>74</v>
      </c>
      <c r="AY228" t="s">
        <v>74</v>
      </c>
      <c r="AZ228" t="s">
        <v>74</v>
      </c>
      <c r="BA228" t="s">
        <v>74</v>
      </c>
      <c r="BB228">
        <v>752</v>
      </c>
      <c r="BC228">
        <v>767</v>
      </c>
      <c r="BD228" t="s">
        <v>74</v>
      </c>
      <c r="BE228" t="s">
        <v>4755</v>
      </c>
      <c r="BF228" t="str">
        <f>HYPERLINK("http://dx.doi.org/10.1111/maps.13249","http://dx.doi.org/10.1111/maps.13249")</f>
        <v>http://dx.doi.org/10.1111/maps.13249</v>
      </c>
      <c r="BG228" t="s">
        <v>74</v>
      </c>
      <c r="BH228" t="s">
        <v>74</v>
      </c>
      <c r="BI228">
        <v>16</v>
      </c>
      <c r="BJ228" t="s">
        <v>643</v>
      </c>
      <c r="BK228" t="s">
        <v>102</v>
      </c>
      <c r="BL228" t="s">
        <v>643</v>
      </c>
      <c r="BM228" t="s">
        <v>4756</v>
      </c>
      <c r="BN228" t="s">
        <v>74</v>
      </c>
      <c r="BO228" t="s">
        <v>1014</v>
      </c>
      <c r="BP228" t="s">
        <v>74</v>
      </c>
      <c r="BQ228" t="s">
        <v>74</v>
      </c>
      <c r="BR228" t="s">
        <v>107</v>
      </c>
      <c r="BS228" t="s">
        <v>4757</v>
      </c>
      <c r="BT228" t="str">
        <f>HYPERLINK("https%3A%2F%2Fwww.webofscience.com%2Fwos%2Fwoscc%2Ffull-record%2FWOS:000462911900005","View Full Record in Web of Science")</f>
        <v>View Full Record in Web of Science</v>
      </c>
    </row>
    <row r="229" spans="1:72" x14ac:dyDescent="0.15">
      <c r="A229" t="s">
        <v>72</v>
      </c>
      <c r="B229" t="s">
        <v>4758</v>
      </c>
      <c r="C229" t="s">
        <v>74</v>
      </c>
      <c r="D229" t="s">
        <v>74</v>
      </c>
      <c r="E229" t="s">
        <v>74</v>
      </c>
      <c r="F229" t="s">
        <v>4759</v>
      </c>
      <c r="G229" t="s">
        <v>74</v>
      </c>
      <c r="H229" t="s">
        <v>74</v>
      </c>
      <c r="I229" t="s">
        <v>4760</v>
      </c>
      <c r="J229" t="s">
        <v>4739</v>
      </c>
      <c r="K229" t="s">
        <v>74</v>
      </c>
      <c r="L229" t="s">
        <v>74</v>
      </c>
      <c r="M229" t="s">
        <v>78</v>
      </c>
      <c r="N229" t="s">
        <v>79</v>
      </c>
      <c r="O229" t="s">
        <v>74</v>
      </c>
      <c r="P229" t="s">
        <v>74</v>
      </c>
      <c r="Q229" t="s">
        <v>74</v>
      </c>
      <c r="R229" t="s">
        <v>74</v>
      </c>
      <c r="S229" t="s">
        <v>74</v>
      </c>
      <c r="T229" t="s">
        <v>74</v>
      </c>
      <c r="U229" t="s">
        <v>4761</v>
      </c>
      <c r="V229" t="s">
        <v>4762</v>
      </c>
      <c r="W229" t="s">
        <v>4763</v>
      </c>
      <c r="X229" t="s">
        <v>4764</v>
      </c>
      <c r="Y229" t="s">
        <v>4765</v>
      </c>
      <c r="Z229" t="s">
        <v>4766</v>
      </c>
      <c r="AA229" t="s">
        <v>74</v>
      </c>
      <c r="AB229" t="s">
        <v>4767</v>
      </c>
      <c r="AC229" t="s">
        <v>4768</v>
      </c>
      <c r="AD229" t="s">
        <v>4769</v>
      </c>
      <c r="AE229" t="s">
        <v>4770</v>
      </c>
      <c r="AF229" t="s">
        <v>74</v>
      </c>
      <c r="AG229">
        <v>64</v>
      </c>
      <c r="AH229">
        <v>15</v>
      </c>
      <c r="AI229">
        <v>15</v>
      </c>
      <c r="AJ229">
        <v>0</v>
      </c>
      <c r="AK229">
        <v>4</v>
      </c>
      <c r="AL229" t="s">
        <v>153</v>
      </c>
      <c r="AM229" t="s">
        <v>154</v>
      </c>
      <c r="AN229" t="s">
        <v>155</v>
      </c>
      <c r="AO229" t="s">
        <v>4751</v>
      </c>
      <c r="AP229" t="s">
        <v>4752</v>
      </c>
      <c r="AQ229" t="s">
        <v>74</v>
      </c>
      <c r="AR229" t="s">
        <v>4753</v>
      </c>
      <c r="AS229" t="s">
        <v>4754</v>
      </c>
      <c r="AT229" t="s">
        <v>2547</v>
      </c>
      <c r="AU229">
        <v>2019</v>
      </c>
      <c r="AV229">
        <v>54</v>
      </c>
      <c r="AW229">
        <v>4</v>
      </c>
      <c r="AX229" t="s">
        <v>74</v>
      </c>
      <c r="AY229" t="s">
        <v>74</v>
      </c>
      <c r="AZ229" t="s">
        <v>74</v>
      </c>
      <c r="BA229" t="s">
        <v>74</v>
      </c>
      <c r="BB229">
        <v>919</v>
      </c>
      <c r="BC229">
        <v>937</v>
      </c>
      <c r="BD229" t="s">
        <v>74</v>
      </c>
      <c r="BE229" t="s">
        <v>4771</v>
      </c>
      <c r="BF229" t="str">
        <f>HYPERLINK("http://dx.doi.org/10.1111/maps.13257","http://dx.doi.org/10.1111/maps.13257")</f>
        <v>http://dx.doi.org/10.1111/maps.13257</v>
      </c>
      <c r="BG229" t="s">
        <v>74</v>
      </c>
      <c r="BH229" t="s">
        <v>74</v>
      </c>
      <c r="BI229">
        <v>19</v>
      </c>
      <c r="BJ229" t="s">
        <v>643</v>
      </c>
      <c r="BK229" t="s">
        <v>102</v>
      </c>
      <c r="BL229" t="s">
        <v>643</v>
      </c>
      <c r="BM229" t="s">
        <v>4756</v>
      </c>
      <c r="BN229" t="s">
        <v>74</v>
      </c>
      <c r="BO229" t="s">
        <v>279</v>
      </c>
      <c r="BP229" t="s">
        <v>74</v>
      </c>
      <c r="BQ229" t="s">
        <v>74</v>
      </c>
      <c r="BR229" t="s">
        <v>107</v>
      </c>
      <c r="BS229" t="s">
        <v>4772</v>
      </c>
      <c r="BT229" t="str">
        <f>HYPERLINK("https%3A%2F%2Fwww.webofscience.com%2Fwos%2Fwoscc%2Ffull-record%2FWOS:000462911900013","View Full Record in Web of Science")</f>
        <v>View Full Record in Web of Science</v>
      </c>
    </row>
    <row r="230" spans="1:72" x14ac:dyDescent="0.15">
      <c r="A230" t="s">
        <v>72</v>
      </c>
      <c r="B230" t="s">
        <v>4773</v>
      </c>
      <c r="C230" t="s">
        <v>74</v>
      </c>
      <c r="D230" t="s">
        <v>74</v>
      </c>
      <c r="E230" t="s">
        <v>74</v>
      </c>
      <c r="F230" t="s">
        <v>4774</v>
      </c>
      <c r="G230" t="s">
        <v>74</v>
      </c>
      <c r="H230" t="s">
        <v>74</v>
      </c>
      <c r="I230" t="s">
        <v>4775</v>
      </c>
      <c r="J230" t="s">
        <v>1125</v>
      </c>
      <c r="K230" t="s">
        <v>74</v>
      </c>
      <c r="L230" t="s">
        <v>74</v>
      </c>
      <c r="M230" t="s">
        <v>78</v>
      </c>
      <c r="N230" t="s">
        <v>79</v>
      </c>
      <c r="O230" t="s">
        <v>74</v>
      </c>
      <c r="P230" t="s">
        <v>74</v>
      </c>
      <c r="Q230" t="s">
        <v>74</v>
      </c>
      <c r="R230" t="s">
        <v>74</v>
      </c>
      <c r="S230" t="s">
        <v>74</v>
      </c>
      <c r="T230" t="s">
        <v>74</v>
      </c>
      <c r="U230" t="s">
        <v>4776</v>
      </c>
      <c r="V230" t="s">
        <v>4777</v>
      </c>
      <c r="W230" t="s">
        <v>4778</v>
      </c>
      <c r="X230" t="s">
        <v>4779</v>
      </c>
      <c r="Y230" t="s">
        <v>4780</v>
      </c>
      <c r="Z230" t="s">
        <v>4781</v>
      </c>
      <c r="AA230" t="s">
        <v>4782</v>
      </c>
      <c r="AB230" t="s">
        <v>4783</v>
      </c>
      <c r="AC230" t="s">
        <v>4784</v>
      </c>
      <c r="AD230" t="s">
        <v>4785</v>
      </c>
      <c r="AE230" t="s">
        <v>4786</v>
      </c>
      <c r="AF230" t="s">
        <v>74</v>
      </c>
      <c r="AG230">
        <v>20</v>
      </c>
      <c r="AH230">
        <v>29</v>
      </c>
      <c r="AI230">
        <v>31</v>
      </c>
      <c r="AJ230">
        <v>0</v>
      </c>
      <c r="AK230">
        <v>5</v>
      </c>
      <c r="AL230" t="s">
        <v>868</v>
      </c>
      <c r="AM230" t="s">
        <v>869</v>
      </c>
      <c r="AN230" t="s">
        <v>870</v>
      </c>
      <c r="AO230" t="s">
        <v>1137</v>
      </c>
      <c r="AP230" t="s">
        <v>1138</v>
      </c>
      <c r="AQ230" t="s">
        <v>74</v>
      </c>
      <c r="AR230" t="s">
        <v>1125</v>
      </c>
      <c r="AS230" t="s">
        <v>1139</v>
      </c>
      <c r="AT230" t="s">
        <v>2710</v>
      </c>
      <c r="AU230">
        <v>2019</v>
      </c>
      <c r="AV230">
        <v>13</v>
      </c>
      <c r="AW230">
        <v>3</v>
      </c>
      <c r="AX230" t="s">
        <v>74</v>
      </c>
      <c r="AY230" t="s">
        <v>74</v>
      </c>
      <c r="AZ230" t="s">
        <v>74</v>
      </c>
      <c r="BA230" t="s">
        <v>74</v>
      </c>
      <c r="BB230">
        <v>1043</v>
      </c>
      <c r="BC230">
        <v>1049</v>
      </c>
      <c r="BD230" t="s">
        <v>74</v>
      </c>
      <c r="BE230" t="s">
        <v>4787</v>
      </c>
      <c r="BF230" t="str">
        <f>HYPERLINK("http://dx.doi.org/10.5194/tc-13-1043-2019","http://dx.doi.org/10.5194/tc-13-1043-2019")</f>
        <v>http://dx.doi.org/10.5194/tc-13-1043-2019</v>
      </c>
      <c r="BG230" t="s">
        <v>74</v>
      </c>
      <c r="BH230" t="s">
        <v>74</v>
      </c>
      <c r="BI230">
        <v>7</v>
      </c>
      <c r="BJ230" t="s">
        <v>1142</v>
      </c>
      <c r="BK230" t="s">
        <v>102</v>
      </c>
      <c r="BL230" t="s">
        <v>1143</v>
      </c>
      <c r="BM230" t="s">
        <v>4788</v>
      </c>
      <c r="BN230" t="s">
        <v>74</v>
      </c>
      <c r="BO230" t="s">
        <v>135</v>
      </c>
      <c r="BP230" t="s">
        <v>74</v>
      </c>
      <c r="BQ230" t="s">
        <v>74</v>
      </c>
      <c r="BR230" t="s">
        <v>107</v>
      </c>
      <c r="BS230" t="s">
        <v>4789</v>
      </c>
      <c r="BT230" t="str">
        <f>HYPERLINK("https%3A%2F%2Fwww.webofscience.com%2Fwos%2Fwoscc%2Ffull-record%2FWOS:000463013300001","View Full Record in Web of Science")</f>
        <v>View Full Record in Web of Science</v>
      </c>
    </row>
    <row r="231" spans="1:72" x14ac:dyDescent="0.15">
      <c r="A231" t="s">
        <v>72</v>
      </c>
      <c r="B231" t="s">
        <v>4790</v>
      </c>
      <c r="C231" t="s">
        <v>74</v>
      </c>
      <c r="D231" t="s">
        <v>74</v>
      </c>
      <c r="E231" t="s">
        <v>74</v>
      </c>
      <c r="F231" t="s">
        <v>4791</v>
      </c>
      <c r="G231" t="s">
        <v>74</v>
      </c>
      <c r="H231" t="s">
        <v>74</v>
      </c>
      <c r="I231" t="s">
        <v>4792</v>
      </c>
      <c r="J231" t="s">
        <v>4793</v>
      </c>
      <c r="K231" t="s">
        <v>74</v>
      </c>
      <c r="L231" t="s">
        <v>74</v>
      </c>
      <c r="M231" t="s">
        <v>78</v>
      </c>
      <c r="N231" t="s">
        <v>79</v>
      </c>
      <c r="O231" t="s">
        <v>74</v>
      </c>
      <c r="P231" t="s">
        <v>74</v>
      </c>
      <c r="Q231" t="s">
        <v>74</v>
      </c>
      <c r="R231" t="s">
        <v>74</v>
      </c>
      <c r="S231" t="s">
        <v>74</v>
      </c>
      <c r="T231" t="s">
        <v>74</v>
      </c>
      <c r="U231" t="s">
        <v>4794</v>
      </c>
      <c r="V231" t="s">
        <v>4795</v>
      </c>
      <c r="W231" t="s">
        <v>4796</v>
      </c>
      <c r="X231" t="s">
        <v>4797</v>
      </c>
      <c r="Y231" t="s">
        <v>4798</v>
      </c>
      <c r="Z231" t="s">
        <v>4799</v>
      </c>
      <c r="AA231" t="s">
        <v>74</v>
      </c>
      <c r="AB231" t="s">
        <v>74</v>
      </c>
      <c r="AC231" t="s">
        <v>4800</v>
      </c>
      <c r="AD231" t="s">
        <v>4800</v>
      </c>
      <c r="AE231" t="s">
        <v>4801</v>
      </c>
      <c r="AF231" t="s">
        <v>74</v>
      </c>
      <c r="AG231">
        <v>28</v>
      </c>
      <c r="AH231">
        <v>15</v>
      </c>
      <c r="AI231">
        <v>15</v>
      </c>
      <c r="AJ231">
        <v>1</v>
      </c>
      <c r="AK231">
        <v>39</v>
      </c>
      <c r="AL231" t="s">
        <v>153</v>
      </c>
      <c r="AM231" t="s">
        <v>154</v>
      </c>
      <c r="AN231" t="s">
        <v>155</v>
      </c>
      <c r="AO231" t="s">
        <v>4802</v>
      </c>
      <c r="AP231" t="s">
        <v>4803</v>
      </c>
      <c r="AQ231" t="s">
        <v>74</v>
      </c>
      <c r="AR231" t="s">
        <v>4804</v>
      </c>
      <c r="AS231" t="s">
        <v>4805</v>
      </c>
      <c r="AT231" t="s">
        <v>2547</v>
      </c>
      <c r="AU231">
        <v>2019</v>
      </c>
      <c r="AV231">
        <v>17</v>
      </c>
      <c r="AW231">
        <v>3</v>
      </c>
      <c r="AX231" t="s">
        <v>74</v>
      </c>
      <c r="AY231" t="s">
        <v>74</v>
      </c>
      <c r="AZ231" t="s">
        <v>74</v>
      </c>
      <c r="BA231" t="s">
        <v>74</v>
      </c>
      <c r="BB231">
        <v>145</v>
      </c>
      <c r="BC231">
        <v>150</v>
      </c>
      <c r="BD231" t="s">
        <v>74</v>
      </c>
      <c r="BE231" t="s">
        <v>4806</v>
      </c>
      <c r="BF231" t="str">
        <f>HYPERLINK("http://dx.doi.org/10.1002/fee.2003","http://dx.doi.org/10.1002/fee.2003")</f>
        <v>http://dx.doi.org/10.1002/fee.2003</v>
      </c>
      <c r="BG231" t="s">
        <v>74</v>
      </c>
      <c r="BH231" t="s">
        <v>74</v>
      </c>
      <c r="BI231">
        <v>6</v>
      </c>
      <c r="BJ231" t="s">
        <v>4807</v>
      </c>
      <c r="BK231" t="s">
        <v>102</v>
      </c>
      <c r="BL231" t="s">
        <v>2297</v>
      </c>
      <c r="BM231" t="s">
        <v>4808</v>
      </c>
      <c r="BN231" t="s">
        <v>74</v>
      </c>
      <c r="BO231" t="s">
        <v>403</v>
      </c>
      <c r="BP231" t="s">
        <v>74</v>
      </c>
      <c r="BQ231" t="s">
        <v>74</v>
      </c>
      <c r="BR231" t="s">
        <v>107</v>
      </c>
      <c r="BS231" t="s">
        <v>4809</v>
      </c>
      <c r="BT231" t="str">
        <f>HYPERLINK("https%3A%2F%2Fwww.webofscience.com%2Fwos%2Fwoscc%2Ffull-record%2FWOS:000462908600016","View Full Record in Web of Science")</f>
        <v>View Full Record in Web of Science</v>
      </c>
    </row>
    <row r="232" spans="1:72" x14ac:dyDescent="0.15">
      <c r="A232" t="s">
        <v>72</v>
      </c>
      <c r="B232" t="s">
        <v>4810</v>
      </c>
      <c r="C232" t="s">
        <v>74</v>
      </c>
      <c r="D232" t="s">
        <v>74</v>
      </c>
      <c r="E232" t="s">
        <v>74</v>
      </c>
      <c r="F232" t="s">
        <v>4811</v>
      </c>
      <c r="G232" t="s">
        <v>74</v>
      </c>
      <c r="H232" t="s">
        <v>74</v>
      </c>
      <c r="I232" t="s">
        <v>4812</v>
      </c>
      <c r="J232" t="s">
        <v>4813</v>
      </c>
      <c r="K232" t="s">
        <v>74</v>
      </c>
      <c r="L232" t="s">
        <v>74</v>
      </c>
      <c r="M232" t="s">
        <v>78</v>
      </c>
      <c r="N232" t="s">
        <v>79</v>
      </c>
      <c r="O232" t="s">
        <v>74</v>
      </c>
      <c r="P232" t="s">
        <v>74</v>
      </c>
      <c r="Q232" t="s">
        <v>74</v>
      </c>
      <c r="R232" t="s">
        <v>74</v>
      </c>
      <c r="S232" t="s">
        <v>74</v>
      </c>
      <c r="T232" t="s">
        <v>74</v>
      </c>
      <c r="U232" t="s">
        <v>4814</v>
      </c>
      <c r="V232" t="s">
        <v>4815</v>
      </c>
      <c r="W232" t="s">
        <v>4816</v>
      </c>
      <c r="X232" t="s">
        <v>4817</v>
      </c>
      <c r="Y232" t="s">
        <v>4818</v>
      </c>
      <c r="Z232" t="s">
        <v>4819</v>
      </c>
      <c r="AA232" t="s">
        <v>74</v>
      </c>
      <c r="AB232" t="s">
        <v>74</v>
      </c>
      <c r="AC232" t="s">
        <v>74</v>
      </c>
      <c r="AD232" t="s">
        <v>74</v>
      </c>
      <c r="AE232" t="s">
        <v>74</v>
      </c>
      <c r="AF232" t="s">
        <v>74</v>
      </c>
      <c r="AG232">
        <v>147</v>
      </c>
      <c r="AH232">
        <v>6</v>
      </c>
      <c r="AI232">
        <v>7</v>
      </c>
      <c r="AJ232">
        <v>0</v>
      </c>
      <c r="AK232">
        <v>5</v>
      </c>
      <c r="AL232" t="s">
        <v>4820</v>
      </c>
      <c r="AM232" t="s">
        <v>4821</v>
      </c>
      <c r="AN232" t="s">
        <v>4822</v>
      </c>
      <c r="AO232" t="s">
        <v>4823</v>
      </c>
      <c r="AP232" t="s">
        <v>74</v>
      </c>
      <c r="AQ232" t="s">
        <v>74</v>
      </c>
      <c r="AR232" t="s">
        <v>4813</v>
      </c>
      <c r="AS232" t="s">
        <v>4824</v>
      </c>
      <c r="AT232" t="s">
        <v>2547</v>
      </c>
      <c r="AU232">
        <v>2019</v>
      </c>
      <c r="AV232">
        <v>15</v>
      </c>
      <c r="AW232">
        <v>2</v>
      </c>
      <c r="AX232" t="s">
        <v>74</v>
      </c>
      <c r="AY232" t="s">
        <v>74</v>
      </c>
      <c r="AZ232" t="s">
        <v>74</v>
      </c>
      <c r="BA232" t="s">
        <v>74</v>
      </c>
      <c r="BB232">
        <v>502</v>
      </c>
      <c r="BC232">
        <v>532</v>
      </c>
      <c r="BD232" t="s">
        <v>74</v>
      </c>
      <c r="BE232" t="s">
        <v>4825</v>
      </c>
      <c r="BF232" t="str">
        <f>HYPERLINK("http://dx.doi.org/10.1130/GES01652.1","http://dx.doi.org/10.1130/GES01652.1")</f>
        <v>http://dx.doi.org/10.1130/GES01652.1</v>
      </c>
      <c r="BG232" t="s">
        <v>74</v>
      </c>
      <c r="BH232" t="s">
        <v>74</v>
      </c>
      <c r="BI232">
        <v>31</v>
      </c>
      <c r="BJ232" t="s">
        <v>922</v>
      </c>
      <c r="BK232" t="s">
        <v>102</v>
      </c>
      <c r="BL232" t="s">
        <v>923</v>
      </c>
      <c r="BM232" t="s">
        <v>4826</v>
      </c>
      <c r="BN232" t="s">
        <v>74</v>
      </c>
      <c r="BO232" t="s">
        <v>3093</v>
      </c>
      <c r="BP232" t="s">
        <v>74</v>
      </c>
      <c r="BQ232" t="s">
        <v>74</v>
      </c>
      <c r="BR232" t="s">
        <v>107</v>
      </c>
      <c r="BS232" t="s">
        <v>4827</v>
      </c>
      <c r="BT232" t="str">
        <f>HYPERLINK("https%3A%2F%2Fwww.webofscience.com%2Fwos%2Fwoscc%2Ffull-record%2FWOS:000462476700012","View Full Record in Web of Science")</f>
        <v>View Full Record in Web of Science</v>
      </c>
    </row>
    <row r="233" spans="1:72" x14ac:dyDescent="0.15">
      <c r="A233" t="s">
        <v>72</v>
      </c>
      <c r="B233" t="s">
        <v>4828</v>
      </c>
      <c r="C233" t="s">
        <v>74</v>
      </c>
      <c r="D233" t="s">
        <v>74</v>
      </c>
      <c r="E233" t="s">
        <v>74</v>
      </c>
      <c r="F233" t="s">
        <v>4829</v>
      </c>
      <c r="G233" t="s">
        <v>74</v>
      </c>
      <c r="H233" t="s">
        <v>74</v>
      </c>
      <c r="I233" t="s">
        <v>4830</v>
      </c>
      <c r="J233" t="s">
        <v>4813</v>
      </c>
      <c r="K233" t="s">
        <v>74</v>
      </c>
      <c r="L233" t="s">
        <v>74</v>
      </c>
      <c r="M233" t="s">
        <v>78</v>
      </c>
      <c r="N233" t="s">
        <v>79</v>
      </c>
      <c r="O233" t="s">
        <v>74</v>
      </c>
      <c r="P233" t="s">
        <v>74</v>
      </c>
      <c r="Q233" t="s">
        <v>74</v>
      </c>
      <c r="R233" t="s">
        <v>74</v>
      </c>
      <c r="S233" t="s">
        <v>74</v>
      </c>
      <c r="T233" t="s">
        <v>74</v>
      </c>
      <c r="U233" t="s">
        <v>4831</v>
      </c>
      <c r="V233" t="s">
        <v>4832</v>
      </c>
      <c r="W233" t="s">
        <v>4833</v>
      </c>
      <c r="X233" t="s">
        <v>4834</v>
      </c>
      <c r="Y233" t="s">
        <v>4835</v>
      </c>
      <c r="Z233" t="s">
        <v>4836</v>
      </c>
      <c r="AA233" t="s">
        <v>4837</v>
      </c>
      <c r="AB233" t="s">
        <v>74</v>
      </c>
      <c r="AC233" t="s">
        <v>4838</v>
      </c>
      <c r="AD233" t="s">
        <v>4839</v>
      </c>
      <c r="AE233" t="s">
        <v>4840</v>
      </c>
      <c r="AF233" t="s">
        <v>74</v>
      </c>
      <c r="AG233">
        <v>69</v>
      </c>
      <c r="AH233">
        <v>8</v>
      </c>
      <c r="AI233">
        <v>8</v>
      </c>
      <c r="AJ233">
        <v>0</v>
      </c>
      <c r="AK233">
        <v>6</v>
      </c>
      <c r="AL233" t="s">
        <v>4820</v>
      </c>
      <c r="AM233" t="s">
        <v>4821</v>
      </c>
      <c r="AN233" t="s">
        <v>4822</v>
      </c>
      <c r="AO233" t="s">
        <v>4823</v>
      </c>
      <c r="AP233" t="s">
        <v>74</v>
      </c>
      <c r="AQ233" t="s">
        <v>74</v>
      </c>
      <c r="AR233" t="s">
        <v>4813</v>
      </c>
      <c r="AS233" t="s">
        <v>4824</v>
      </c>
      <c r="AT233" t="s">
        <v>2547</v>
      </c>
      <c r="AU233">
        <v>2019</v>
      </c>
      <c r="AV233">
        <v>15</v>
      </c>
      <c r="AW233">
        <v>2</v>
      </c>
      <c r="AX233" t="s">
        <v>74</v>
      </c>
      <c r="AY233" t="s">
        <v>74</v>
      </c>
      <c r="AZ233" t="s">
        <v>74</v>
      </c>
      <c r="BA233" t="s">
        <v>74</v>
      </c>
      <c r="BB233">
        <v>576</v>
      </c>
      <c r="BC233">
        <v>604</v>
      </c>
      <c r="BD233" t="s">
        <v>74</v>
      </c>
      <c r="BE233" t="s">
        <v>4841</v>
      </c>
      <c r="BF233" t="str">
        <f>HYPERLINK("http://dx.doi.org/10.1130/GES02011.1","http://dx.doi.org/10.1130/GES02011.1")</f>
        <v>http://dx.doi.org/10.1130/GES02011.1</v>
      </c>
      <c r="BG233" t="s">
        <v>74</v>
      </c>
      <c r="BH233" t="s">
        <v>74</v>
      </c>
      <c r="BI233">
        <v>29</v>
      </c>
      <c r="BJ233" t="s">
        <v>922</v>
      </c>
      <c r="BK233" t="s">
        <v>102</v>
      </c>
      <c r="BL233" t="s">
        <v>923</v>
      </c>
      <c r="BM233" t="s">
        <v>4826</v>
      </c>
      <c r="BN233" t="s">
        <v>74</v>
      </c>
      <c r="BO233" t="s">
        <v>4842</v>
      </c>
      <c r="BP233" t="s">
        <v>74</v>
      </c>
      <c r="BQ233" t="s">
        <v>74</v>
      </c>
      <c r="BR233" t="s">
        <v>107</v>
      </c>
      <c r="BS233" t="s">
        <v>4843</v>
      </c>
      <c r="BT233" t="str">
        <f>HYPERLINK("https%3A%2F%2Fwww.webofscience.com%2Fwos%2Fwoscc%2Ffull-record%2FWOS:000462476700015","View Full Record in Web of Science")</f>
        <v>View Full Record in Web of Science</v>
      </c>
    </row>
    <row r="234" spans="1:72" x14ac:dyDescent="0.15">
      <c r="A234" t="s">
        <v>72</v>
      </c>
      <c r="B234" t="s">
        <v>4844</v>
      </c>
      <c r="C234" t="s">
        <v>74</v>
      </c>
      <c r="D234" t="s">
        <v>74</v>
      </c>
      <c r="E234" t="s">
        <v>74</v>
      </c>
      <c r="F234" t="s">
        <v>4845</v>
      </c>
      <c r="G234" t="s">
        <v>74</v>
      </c>
      <c r="H234" t="s">
        <v>74</v>
      </c>
      <c r="I234" t="s">
        <v>4846</v>
      </c>
      <c r="J234" t="s">
        <v>4847</v>
      </c>
      <c r="K234" t="s">
        <v>74</v>
      </c>
      <c r="L234" t="s">
        <v>74</v>
      </c>
      <c r="M234" t="s">
        <v>78</v>
      </c>
      <c r="N234" t="s">
        <v>79</v>
      </c>
      <c r="O234" t="s">
        <v>74</v>
      </c>
      <c r="P234" t="s">
        <v>74</v>
      </c>
      <c r="Q234" t="s">
        <v>74</v>
      </c>
      <c r="R234" t="s">
        <v>74</v>
      </c>
      <c r="S234" t="s">
        <v>74</v>
      </c>
      <c r="T234" t="s">
        <v>4848</v>
      </c>
      <c r="U234" t="s">
        <v>4849</v>
      </c>
      <c r="V234" t="s">
        <v>4850</v>
      </c>
      <c r="W234" t="s">
        <v>4851</v>
      </c>
      <c r="X234" t="s">
        <v>4852</v>
      </c>
      <c r="Y234" t="s">
        <v>4853</v>
      </c>
      <c r="Z234" t="s">
        <v>2954</v>
      </c>
      <c r="AA234" t="s">
        <v>4854</v>
      </c>
      <c r="AB234" t="s">
        <v>4855</v>
      </c>
      <c r="AC234" t="s">
        <v>4856</v>
      </c>
      <c r="AD234" t="s">
        <v>4857</v>
      </c>
      <c r="AE234" t="s">
        <v>4858</v>
      </c>
      <c r="AF234" t="s">
        <v>74</v>
      </c>
      <c r="AG234">
        <v>39</v>
      </c>
      <c r="AH234">
        <v>17</v>
      </c>
      <c r="AI234">
        <v>19</v>
      </c>
      <c r="AJ234">
        <v>4</v>
      </c>
      <c r="AK234">
        <v>36</v>
      </c>
      <c r="AL234" t="s">
        <v>576</v>
      </c>
      <c r="AM234" t="s">
        <v>607</v>
      </c>
      <c r="AN234" t="s">
        <v>3493</v>
      </c>
      <c r="AO234" t="s">
        <v>4859</v>
      </c>
      <c r="AP234" t="s">
        <v>4860</v>
      </c>
      <c r="AQ234" t="s">
        <v>74</v>
      </c>
      <c r="AR234" t="s">
        <v>4861</v>
      </c>
      <c r="AS234" t="s">
        <v>4862</v>
      </c>
      <c r="AT234" t="s">
        <v>2547</v>
      </c>
      <c r="AU234">
        <v>2019</v>
      </c>
      <c r="AV234">
        <v>93</v>
      </c>
      <c r="AW234">
        <v>4</v>
      </c>
      <c r="AX234" t="s">
        <v>74</v>
      </c>
      <c r="AY234" t="s">
        <v>74</v>
      </c>
      <c r="AZ234" t="s">
        <v>74</v>
      </c>
      <c r="BA234" t="s">
        <v>74</v>
      </c>
      <c r="BB234">
        <v>455</v>
      </c>
      <c r="BC234">
        <v>471</v>
      </c>
      <c r="BD234" t="s">
        <v>74</v>
      </c>
      <c r="BE234" t="s">
        <v>4863</v>
      </c>
      <c r="BF234" t="str">
        <f>HYPERLINK("http://dx.doi.org/10.1007/s00190-018-1175-6","http://dx.doi.org/10.1007/s00190-018-1175-6")</f>
        <v>http://dx.doi.org/10.1007/s00190-018-1175-6</v>
      </c>
      <c r="BG234" t="s">
        <v>74</v>
      </c>
      <c r="BH234" t="s">
        <v>74</v>
      </c>
      <c r="BI234">
        <v>17</v>
      </c>
      <c r="BJ234" t="s">
        <v>4864</v>
      </c>
      <c r="BK234" t="s">
        <v>102</v>
      </c>
      <c r="BL234" t="s">
        <v>4864</v>
      </c>
      <c r="BM234" t="s">
        <v>4865</v>
      </c>
      <c r="BN234" t="s">
        <v>74</v>
      </c>
      <c r="BO234" t="s">
        <v>74</v>
      </c>
      <c r="BP234" t="s">
        <v>74</v>
      </c>
      <c r="BQ234" t="s">
        <v>74</v>
      </c>
      <c r="BR234" t="s">
        <v>107</v>
      </c>
      <c r="BS234" t="s">
        <v>4866</v>
      </c>
      <c r="BT234" t="str">
        <f>HYPERLINK("https%3A%2F%2Fwww.webofscience.com%2Fwos%2Fwoscc%2Ffull-record%2FWOS:000461785800001","View Full Record in Web of Science")</f>
        <v>View Full Record in Web of Science</v>
      </c>
    </row>
    <row r="235" spans="1:72" x14ac:dyDescent="0.15">
      <c r="A235" t="s">
        <v>72</v>
      </c>
      <c r="B235" t="s">
        <v>4867</v>
      </c>
      <c r="C235" t="s">
        <v>74</v>
      </c>
      <c r="D235" t="s">
        <v>74</v>
      </c>
      <c r="E235" t="s">
        <v>74</v>
      </c>
      <c r="F235" t="s">
        <v>4868</v>
      </c>
      <c r="G235" t="s">
        <v>74</v>
      </c>
      <c r="H235" t="s">
        <v>74</v>
      </c>
      <c r="I235" t="s">
        <v>4869</v>
      </c>
      <c r="J235" t="s">
        <v>4870</v>
      </c>
      <c r="K235" t="s">
        <v>74</v>
      </c>
      <c r="L235" t="s">
        <v>74</v>
      </c>
      <c r="M235" t="s">
        <v>78</v>
      </c>
      <c r="N235" t="s">
        <v>79</v>
      </c>
      <c r="O235" t="s">
        <v>74</v>
      </c>
      <c r="P235" t="s">
        <v>74</v>
      </c>
      <c r="Q235" t="s">
        <v>74</v>
      </c>
      <c r="R235" t="s">
        <v>74</v>
      </c>
      <c r="S235" t="s">
        <v>74</v>
      </c>
      <c r="T235" t="s">
        <v>4871</v>
      </c>
      <c r="U235" t="s">
        <v>4872</v>
      </c>
      <c r="V235" t="s">
        <v>4873</v>
      </c>
      <c r="W235" t="s">
        <v>4874</v>
      </c>
      <c r="X235" t="s">
        <v>4875</v>
      </c>
      <c r="Y235" t="s">
        <v>4876</v>
      </c>
      <c r="Z235" t="s">
        <v>4877</v>
      </c>
      <c r="AA235" t="s">
        <v>4878</v>
      </c>
      <c r="AB235" t="s">
        <v>4879</v>
      </c>
      <c r="AC235" t="s">
        <v>4880</v>
      </c>
      <c r="AD235" t="s">
        <v>4881</v>
      </c>
      <c r="AE235" t="s">
        <v>4882</v>
      </c>
      <c r="AF235" t="s">
        <v>74</v>
      </c>
      <c r="AG235">
        <v>109</v>
      </c>
      <c r="AH235">
        <v>3</v>
      </c>
      <c r="AI235">
        <v>4</v>
      </c>
      <c r="AJ235">
        <v>0</v>
      </c>
      <c r="AK235">
        <v>6</v>
      </c>
      <c r="AL235" t="s">
        <v>92</v>
      </c>
      <c r="AM235" t="s">
        <v>93</v>
      </c>
      <c r="AN235" t="s">
        <v>94</v>
      </c>
      <c r="AO235" t="s">
        <v>4883</v>
      </c>
      <c r="AP235" t="s">
        <v>4884</v>
      </c>
      <c r="AQ235" t="s">
        <v>74</v>
      </c>
      <c r="AR235" t="s">
        <v>4885</v>
      </c>
      <c r="AS235" t="s">
        <v>4886</v>
      </c>
      <c r="AT235" t="s">
        <v>2547</v>
      </c>
      <c r="AU235">
        <v>2019</v>
      </c>
      <c r="AV235">
        <v>484</v>
      </c>
      <c r="AW235">
        <v>2</v>
      </c>
      <c r="AX235" t="s">
        <v>74</v>
      </c>
      <c r="AY235" t="s">
        <v>74</v>
      </c>
      <c r="AZ235" t="s">
        <v>74</v>
      </c>
      <c r="BA235" t="s">
        <v>74</v>
      </c>
      <c r="BB235">
        <v>2089</v>
      </c>
      <c r="BC235">
        <v>2118</v>
      </c>
      <c r="BD235" t="s">
        <v>74</v>
      </c>
      <c r="BE235" t="s">
        <v>4887</v>
      </c>
      <c r="BF235" t="str">
        <f>HYPERLINK("http://dx.doi.org/10.1093/mnras/sty3510","http://dx.doi.org/10.1093/mnras/sty3510")</f>
        <v>http://dx.doi.org/10.1093/mnras/sty3510</v>
      </c>
      <c r="BG235" t="s">
        <v>74</v>
      </c>
      <c r="BH235" t="s">
        <v>74</v>
      </c>
      <c r="BI235">
        <v>30</v>
      </c>
      <c r="BJ235" t="s">
        <v>2579</v>
      </c>
      <c r="BK235" t="s">
        <v>102</v>
      </c>
      <c r="BL235" t="s">
        <v>2579</v>
      </c>
      <c r="BM235" t="s">
        <v>4888</v>
      </c>
      <c r="BN235" t="s">
        <v>74</v>
      </c>
      <c r="BO235" t="s">
        <v>2764</v>
      </c>
      <c r="BP235" t="s">
        <v>74</v>
      </c>
      <c r="BQ235" t="s">
        <v>74</v>
      </c>
      <c r="BR235" t="s">
        <v>107</v>
      </c>
      <c r="BS235" t="s">
        <v>4889</v>
      </c>
      <c r="BT235" t="str">
        <f>HYPERLINK("https%3A%2F%2Fwww.webofscience.com%2Fwos%2Fwoscc%2Ffull-record%2FWOS:000462302600047","View Full Record in Web of Science")</f>
        <v>View Full Record in Web of Science</v>
      </c>
    </row>
    <row r="236" spans="1:72" x14ac:dyDescent="0.15">
      <c r="A236" t="s">
        <v>72</v>
      </c>
      <c r="B236" t="s">
        <v>4890</v>
      </c>
      <c r="C236" t="s">
        <v>74</v>
      </c>
      <c r="D236" t="s">
        <v>74</v>
      </c>
      <c r="E236" t="s">
        <v>74</v>
      </c>
      <c r="F236" t="s">
        <v>4891</v>
      </c>
      <c r="G236" t="s">
        <v>74</v>
      </c>
      <c r="H236" t="s">
        <v>74</v>
      </c>
      <c r="I236" t="s">
        <v>4892</v>
      </c>
      <c r="J236" t="s">
        <v>4870</v>
      </c>
      <c r="K236" t="s">
        <v>74</v>
      </c>
      <c r="L236" t="s">
        <v>74</v>
      </c>
      <c r="M236" t="s">
        <v>78</v>
      </c>
      <c r="N236" t="s">
        <v>79</v>
      </c>
      <c r="O236" t="s">
        <v>74</v>
      </c>
      <c r="P236" t="s">
        <v>74</v>
      </c>
      <c r="Q236" t="s">
        <v>74</v>
      </c>
      <c r="R236" t="s">
        <v>74</v>
      </c>
      <c r="S236" t="s">
        <v>74</v>
      </c>
      <c r="T236" t="s">
        <v>4893</v>
      </c>
      <c r="U236" t="s">
        <v>4894</v>
      </c>
      <c r="V236" t="s">
        <v>4895</v>
      </c>
      <c r="W236" t="s">
        <v>4896</v>
      </c>
      <c r="X236" t="s">
        <v>4897</v>
      </c>
      <c r="Y236" t="s">
        <v>4898</v>
      </c>
      <c r="Z236" t="s">
        <v>4899</v>
      </c>
      <c r="AA236" t="s">
        <v>74</v>
      </c>
      <c r="AB236" t="s">
        <v>4900</v>
      </c>
      <c r="AC236" t="s">
        <v>4901</v>
      </c>
      <c r="AD236" t="s">
        <v>4902</v>
      </c>
      <c r="AE236" t="s">
        <v>4903</v>
      </c>
      <c r="AF236" t="s">
        <v>74</v>
      </c>
      <c r="AG236">
        <v>23</v>
      </c>
      <c r="AH236">
        <v>3</v>
      </c>
      <c r="AI236">
        <v>3</v>
      </c>
      <c r="AJ236">
        <v>0</v>
      </c>
      <c r="AK236">
        <v>2</v>
      </c>
      <c r="AL236" t="s">
        <v>92</v>
      </c>
      <c r="AM236" t="s">
        <v>93</v>
      </c>
      <c r="AN236" t="s">
        <v>94</v>
      </c>
      <c r="AO236" t="s">
        <v>4883</v>
      </c>
      <c r="AP236" t="s">
        <v>4884</v>
      </c>
      <c r="AQ236" t="s">
        <v>74</v>
      </c>
      <c r="AR236" t="s">
        <v>4885</v>
      </c>
      <c r="AS236" t="s">
        <v>4886</v>
      </c>
      <c r="AT236" t="s">
        <v>2547</v>
      </c>
      <c r="AU236">
        <v>2019</v>
      </c>
      <c r="AV236">
        <v>484</v>
      </c>
      <c r="AW236">
        <v>3</v>
      </c>
      <c r="AX236" t="s">
        <v>74</v>
      </c>
      <c r="AY236" t="s">
        <v>74</v>
      </c>
      <c r="AZ236" t="s">
        <v>74</v>
      </c>
      <c r="BA236" t="s">
        <v>74</v>
      </c>
      <c r="BB236">
        <v>3620</v>
      </c>
      <c r="BC236">
        <v>3624</v>
      </c>
      <c r="BD236" t="s">
        <v>74</v>
      </c>
      <c r="BE236" t="s">
        <v>4904</v>
      </c>
      <c r="BF236" t="str">
        <f>HYPERLINK("http://dx.doi.org/10.1093/mnras/stz249","http://dx.doi.org/10.1093/mnras/stz249")</f>
        <v>http://dx.doi.org/10.1093/mnras/stz249</v>
      </c>
      <c r="BG236" t="s">
        <v>74</v>
      </c>
      <c r="BH236" t="s">
        <v>74</v>
      </c>
      <c r="BI236">
        <v>5</v>
      </c>
      <c r="BJ236" t="s">
        <v>2579</v>
      </c>
      <c r="BK236" t="s">
        <v>102</v>
      </c>
      <c r="BL236" t="s">
        <v>2579</v>
      </c>
      <c r="BM236" t="s">
        <v>4905</v>
      </c>
      <c r="BN236" t="s">
        <v>74</v>
      </c>
      <c r="BO236" t="s">
        <v>403</v>
      </c>
      <c r="BP236" t="s">
        <v>74</v>
      </c>
      <c r="BQ236" t="s">
        <v>74</v>
      </c>
      <c r="BR236" t="s">
        <v>107</v>
      </c>
      <c r="BS236" t="s">
        <v>4906</v>
      </c>
      <c r="BT236" t="str">
        <f>HYPERLINK("https%3A%2F%2Fwww.webofscience.com%2Fwos%2Fwoscc%2Ffull-record%2FWOS:000462410300057","View Full Record in Web of Science")</f>
        <v>View Full Record in Web of Science</v>
      </c>
    </row>
    <row r="237" spans="1:72" x14ac:dyDescent="0.15">
      <c r="A237" t="s">
        <v>72</v>
      </c>
      <c r="B237" t="s">
        <v>4907</v>
      </c>
      <c r="C237" t="s">
        <v>74</v>
      </c>
      <c r="D237" t="s">
        <v>74</v>
      </c>
      <c r="E237" t="s">
        <v>74</v>
      </c>
      <c r="F237" t="s">
        <v>4908</v>
      </c>
      <c r="G237" t="s">
        <v>74</v>
      </c>
      <c r="H237" t="s">
        <v>74</v>
      </c>
      <c r="I237" t="s">
        <v>4909</v>
      </c>
      <c r="J237" t="s">
        <v>4910</v>
      </c>
      <c r="K237" t="s">
        <v>74</v>
      </c>
      <c r="L237" t="s">
        <v>74</v>
      </c>
      <c r="M237" t="s">
        <v>78</v>
      </c>
      <c r="N237" t="s">
        <v>79</v>
      </c>
      <c r="O237" t="s">
        <v>74</v>
      </c>
      <c r="P237" t="s">
        <v>74</v>
      </c>
      <c r="Q237" t="s">
        <v>74</v>
      </c>
      <c r="R237" t="s">
        <v>74</v>
      </c>
      <c r="S237" t="s">
        <v>74</v>
      </c>
      <c r="T237" t="s">
        <v>4911</v>
      </c>
      <c r="U237" t="s">
        <v>4912</v>
      </c>
      <c r="V237" t="s">
        <v>4913</v>
      </c>
      <c r="W237" t="s">
        <v>4914</v>
      </c>
      <c r="X237" t="s">
        <v>4915</v>
      </c>
      <c r="Y237" t="s">
        <v>4916</v>
      </c>
      <c r="Z237" t="s">
        <v>4917</v>
      </c>
      <c r="AA237" t="s">
        <v>4918</v>
      </c>
      <c r="AB237" t="s">
        <v>4919</v>
      </c>
      <c r="AC237" t="s">
        <v>4920</v>
      </c>
      <c r="AD237" t="s">
        <v>4921</v>
      </c>
      <c r="AE237" t="s">
        <v>4922</v>
      </c>
      <c r="AF237" t="s">
        <v>74</v>
      </c>
      <c r="AG237">
        <v>51</v>
      </c>
      <c r="AH237">
        <v>4</v>
      </c>
      <c r="AI237">
        <v>4</v>
      </c>
      <c r="AJ237">
        <v>0</v>
      </c>
      <c r="AK237">
        <v>11</v>
      </c>
      <c r="AL237" t="s">
        <v>4923</v>
      </c>
      <c r="AM237" t="s">
        <v>4924</v>
      </c>
      <c r="AN237" t="s">
        <v>4925</v>
      </c>
      <c r="AO237" t="s">
        <v>4926</v>
      </c>
      <c r="AP237" t="s">
        <v>4927</v>
      </c>
      <c r="AQ237" t="s">
        <v>74</v>
      </c>
      <c r="AR237" t="s">
        <v>4928</v>
      </c>
      <c r="AS237" t="s">
        <v>4929</v>
      </c>
      <c r="AT237" t="s">
        <v>2547</v>
      </c>
      <c r="AU237">
        <v>2019</v>
      </c>
      <c r="AV237">
        <v>51</v>
      </c>
      <c r="AW237">
        <v>2</v>
      </c>
      <c r="AX237" t="s">
        <v>74</v>
      </c>
      <c r="AY237" t="s">
        <v>74</v>
      </c>
      <c r="AZ237" t="s">
        <v>74</v>
      </c>
      <c r="BA237" t="s">
        <v>74</v>
      </c>
      <c r="BB237">
        <v>767</v>
      </c>
      <c r="BC237">
        <v>772</v>
      </c>
      <c r="BD237" t="s">
        <v>74</v>
      </c>
      <c r="BE237" t="s">
        <v>4930</v>
      </c>
      <c r="BF237" t="str">
        <f>HYPERLINK("http://dx.doi.org/10.30848/PJB2019-2(44)","http://dx.doi.org/10.30848/PJB2019-2(44)")</f>
        <v>http://dx.doi.org/10.30848/PJB2019-2(44)</v>
      </c>
      <c r="BG237" t="s">
        <v>74</v>
      </c>
      <c r="BH237" t="s">
        <v>74</v>
      </c>
      <c r="BI237">
        <v>6</v>
      </c>
      <c r="BJ237" t="s">
        <v>362</v>
      </c>
      <c r="BK237" t="s">
        <v>102</v>
      </c>
      <c r="BL237" t="s">
        <v>362</v>
      </c>
      <c r="BM237" t="s">
        <v>4931</v>
      </c>
      <c r="BN237" t="s">
        <v>74</v>
      </c>
      <c r="BO237" t="s">
        <v>74</v>
      </c>
      <c r="BP237" t="s">
        <v>74</v>
      </c>
      <c r="BQ237" t="s">
        <v>74</v>
      </c>
      <c r="BR237" t="s">
        <v>107</v>
      </c>
      <c r="BS237" t="s">
        <v>4932</v>
      </c>
      <c r="BT237" t="str">
        <f>HYPERLINK("https%3A%2F%2Fwww.webofscience.com%2Fwos%2Fwoscc%2Ffull-record%2FWOS:000462608800045","View Full Record in Web of Science")</f>
        <v>View Full Record in Web of Science</v>
      </c>
    </row>
    <row r="238" spans="1:72" x14ac:dyDescent="0.15">
      <c r="A238" t="s">
        <v>72</v>
      </c>
      <c r="B238" t="s">
        <v>4933</v>
      </c>
      <c r="C238" t="s">
        <v>74</v>
      </c>
      <c r="D238" t="s">
        <v>74</v>
      </c>
      <c r="E238" t="s">
        <v>74</v>
      </c>
      <c r="F238" t="s">
        <v>4934</v>
      </c>
      <c r="G238" t="s">
        <v>74</v>
      </c>
      <c r="H238" t="s">
        <v>74</v>
      </c>
      <c r="I238" t="s">
        <v>4935</v>
      </c>
      <c r="J238" t="s">
        <v>1654</v>
      </c>
      <c r="K238" t="s">
        <v>74</v>
      </c>
      <c r="L238" t="s">
        <v>74</v>
      </c>
      <c r="M238" t="s">
        <v>78</v>
      </c>
      <c r="N238" t="s">
        <v>79</v>
      </c>
      <c r="O238" t="s">
        <v>74</v>
      </c>
      <c r="P238" t="s">
        <v>74</v>
      </c>
      <c r="Q238" t="s">
        <v>74</v>
      </c>
      <c r="R238" t="s">
        <v>74</v>
      </c>
      <c r="S238" t="s">
        <v>74</v>
      </c>
      <c r="T238" t="s">
        <v>4936</v>
      </c>
      <c r="U238" t="s">
        <v>4937</v>
      </c>
      <c r="V238" t="s">
        <v>4938</v>
      </c>
      <c r="W238" t="s">
        <v>4939</v>
      </c>
      <c r="X238" t="s">
        <v>1659</v>
      </c>
      <c r="Y238" t="s">
        <v>4940</v>
      </c>
      <c r="Z238" t="s">
        <v>4941</v>
      </c>
      <c r="AA238" t="s">
        <v>1662</v>
      </c>
      <c r="AB238" t="s">
        <v>4942</v>
      </c>
      <c r="AC238" t="s">
        <v>4943</v>
      </c>
      <c r="AD238" t="s">
        <v>4944</v>
      </c>
      <c r="AE238" t="s">
        <v>4945</v>
      </c>
      <c r="AF238" t="s">
        <v>74</v>
      </c>
      <c r="AG238">
        <v>72</v>
      </c>
      <c r="AH238">
        <v>2</v>
      </c>
      <c r="AI238">
        <v>3</v>
      </c>
      <c r="AJ238">
        <v>0</v>
      </c>
      <c r="AK238">
        <v>3</v>
      </c>
      <c r="AL238" t="s">
        <v>1667</v>
      </c>
      <c r="AM238" t="s">
        <v>1668</v>
      </c>
      <c r="AN238" t="s">
        <v>4946</v>
      </c>
      <c r="AO238" t="s">
        <v>1670</v>
      </c>
      <c r="AP238" t="s">
        <v>1671</v>
      </c>
      <c r="AQ238" t="s">
        <v>74</v>
      </c>
      <c r="AR238" t="s">
        <v>1654</v>
      </c>
      <c r="AS238" t="s">
        <v>1672</v>
      </c>
      <c r="AT238" t="s">
        <v>2710</v>
      </c>
      <c r="AU238">
        <v>2019</v>
      </c>
      <c r="AV238">
        <v>4576</v>
      </c>
      <c r="AW238">
        <v>1</v>
      </c>
      <c r="AX238" t="s">
        <v>74</v>
      </c>
      <c r="AY238" t="s">
        <v>74</v>
      </c>
      <c r="AZ238" t="s">
        <v>74</v>
      </c>
      <c r="BA238" t="s">
        <v>74</v>
      </c>
      <c r="BB238">
        <v>61</v>
      </c>
      <c r="BC238">
        <v>80</v>
      </c>
      <c r="BD238" t="s">
        <v>74</v>
      </c>
      <c r="BE238" t="s">
        <v>4947</v>
      </c>
      <c r="BF238" t="str">
        <f>HYPERLINK("http://dx.doi.org/10.11646/zootaxa.4576.1.3","http://dx.doi.org/10.11646/zootaxa.4576.1.3")</f>
        <v>http://dx.doi.org/10.11646/zootaxa.4576.1.3</v>
      </c>
      <c r="BG238" t="s">
        <v>74</v>
      </c>
      <c r="BH238" t="s">
        <v>74</v>
      </c>
      <c r="BI238">
        <v>20</v>
      </c>
      <c r="BJ238" t="s">
        <v>1674</v>
      </c>
      <c r="BK238" t="s">
        <v>102</v>
      </c>
      <c r="BL238" t="s">
        <v>1674</v>
      </c>
      <c r="BM238" t="s">
        <v>4948</v>
      </c>
      <c r="BN238">
        <v>31715774</v>
      </c>
      <c r="BO238" t="s">
        <v>74</v>
      </c>
      <c r="BP238" t="s">
        <v>74</v>
      </c>
      <c r="BQ238" t="s">
        <v>74</v>
      </c>
      <c r="BR238" t="s">
        <v>107</v>
      </c>
      <c r="BS238" t="s">
        <v>4949</v>
      </c>
      <c r="BT238" t="str">
        <f>HYPERLINK("https%3A%2F%2Fwww.webofscience.com%2Fwos%2Fwoscc%2Ffull-record%2FWOS:000462701300003","View Full Record in Web of Science")</f>
        <v>View Full Record in Web of Science</v>
      </c>
    </row>
    <row r="239" spans="1:72" x14ac:dyDescent="0.15">
      <c r="A239" t="s">
        <v>72</v>
      </c>
      <c r="B239" t="s">
        <v>4950</v>
      </c>
      <c r="C239" t="s">
        <v>74</v>
      </c>
      <c r="D239" t="s">
        <v>74</v>
      </c>
      <c r="E239" t="s">
        <v>74</v>
      </c>
      <c r="F239" t="s">
        <v>4951</v>
      </c>
      <c r="G239" t="s">
        <v>74</v>
      </c>
      <c r="H239" t="s">
        <v>74</v>
      </c>
      <c r="I239" t="s">
        <v>4952</v>
      </c>
      <c r="J239" t="s">
        <v>4953</v>
      </c>
      <c r="K239" t="s">
        <v>74</v>
      </c>
      <c r="L239" t="s">
        <v>74</v>
      </c>
      <c r="M239" t="s">
        <v>78</v>
      </c>
      <c r="N239" t="s">
        <v>79</v>
      </c>
      <c r="O239" t="s">
        <v>74</v>
      </c>
      <c r="P239" t="s">
        <v>74</v>
      </c>
      <c r="Q239" t="s">
        <v>74</v>
      </c>
      <c r="R239" t="s">
        <v>74</v>
      </c>
      <c r="S239" t="s">
        <v>74</v>
      </c>
      <c r="T239" t="s">
        <v>74</v>
      </c>
      <c r="U239" t="s">
        <v>4954</v>
      </c>
      <c r="V239" t="s">
        <v>4955</v>
      </c>
      <c r="W239" t="s">
        <v>4956</v>
      </c>
      <c r="X239" t="s">
        <v>4957</v>
      </c>
      <c r="Y239" t="s">
        <v>4958</v>
      </c>
      <c r="Z239" t="s">
        <v>4959</v>
      </c>
      <c r="AA239" t="s">
        <v>4960</v>
      </c>
      <c r="AB239" t="s">
        <v>4961</v>
      </c>
      <c r="AC239" t="s">
        <v>4962</v>
      </c>
      <c r="AD239" t="s">
        <v>4962</v>
      </c>
      <c r="AE239" t="s">
        <v>4963</v>
      </c>
      <c r="AF239" t="s">
        <v>74</v>
      </c>
      <c r="AG239">
        <v>73</v>
      </c>
      <c r="AH239">
        <v>6</v>
      </c>
      <c r="AI239">
        <v>7</v>
      </c>
      <c r="AJ239">
        <v>1</v>
      </c>
      <c r="AK239">
        <v>29</v>
      </c>
      <c r="AL239" t="s">
        <v>153</v>
      </c>
      <c r="AM239" t="s">
        <v>154</v>
      </c>
      <c r="AN239" t="s">
        <v>155</v>
      </c>
      <c r="AO239" t="s">
        <v>4964</v>
      </c>
      <c r="AP239" t="s">
        <v>74</v>
      </c>
      <c r="AQ239" t="s">
        <v>74</v>
      </c>
      <c r="AR239" t="s">
        <v>4965</v>
      </c>
      <c r="AS239" t="s">
        <v>4966</v>
      </c>
      <c r="AT239" t="s">
        <v>2547</v>
      </c>
      <c r="AU239">
        <v>2019</v>
      </c>
      <c r="AV239">
        <v>11</v>
      </c>
      <c r="AW239">
        <v>2</v>
      </c>
      <c r="AX239" t="s">
        <v>74</v>
      </c>
      <c r="AY239" t="s">
        <v>74</v>
      </c>
      <c r="AZ239" t="s">
        <v>74</v>
      </c>
      <c r="BA239" t="s">
        <v>74</v>
      </c>
      <c r="BB239">
        <v>227</v>
      </c>
      <c r="BC239">
        <v>235</v>
      </c>
      <c r="BD239" t="s">
        <v>74</v>
      </c>
      <c r="BE239" t="s">
        <v>4967</v>
      </c>
      <c r="BF239" t="str">
        <f>HYPERLINK("http://dx.doi.org/10.1111/1758-2229.12702","http://dx.doi.org/10.1111/1758-2229.12702")</f>
        <v>http://dx.doi.org/10.1111/1758-2229.12702</v>
      </c>
      <c r="BG239" t="s">
        <v>74</v>
      </c>
      <c r="BH239" t="s">
        <v>74</v>
      </c>
      <c r="BI239">
        <v>9</v>
      </c>
      <c r="BJ239" t="s">
        <v>4968</v>
      </c>
      <c r="BK239" t="s">
        <v>102</v>
      </c>
      <c r="BL239" t="s">
        <v>4969</v>
      </c>
      <c r="BM239" t="s">
        <v>4970</v>
      </c>
      <c r="BN239">
        <v>30298689</v>
      </c>
      <c r="BO239" t="s">
        <v>74</v>
      </c>
      <c r="BP239" t="s">
        <v>74</v>
      </c>
      <c r="BQ239" t="s">
        <v>74</v>
      </c>
      <c r="BR239" t="s">
        <v>107</v>
      </c>
      <c r="BS239" t="s">
        <v>4971</v>
      </c>
      <c r="BT239" t="str">
        <f>HYPERLINK("https%3A%2F%2Fwww.webofscience.com%2Fwos%2Fwoscc%2Ffull-record%2FWOS:000461871000017","View Full Record in Web of Science")</f>
        <v>View Full Record in Web of Science</v>
      </c>
    </row>
    <row r="240" spans="1:72" x14ac:dyDescent="0.15">
      <c r="A240" t="s">
        <v>72</v>
      </c>
      <c r="B240" t="s">
        <v>4972</v>
      </c>
      <c r="C240" t="s">
        <v>74</v>
      </c>
      <c r="D240" t="s">
        <v>74</v>
      </c>
      <c r="E240" t="s">
        <v>74</v>
      </c>
      <c r="F240" t="s">
        <v>4973</v>
      </c>
      <c r="G240" t="s">
        <v>74</v>
      </c>
      <c r="H240" t="s">
        <v>74</v>
      </c>
      <c r="I240" t="s">
        <v>4974</v>
      </c>
      <c r="J240" t="s">
        <v>4975</v>
      </c>
      <c r="K240" t="s">
        <v>74</v>
      </c>
      <c r="L240" t="s">
        <v>74</v>
      </c>
      <c r="M240" t="s">
        <v>78</v>
      </c>
      <c r="N240" t="s">
        <v>79</v>
      </c>
      <c r="O240" t="s">
        <v>74</v>
      </c>
      <c r="P240" t="s">
        <v>74</v>
      </c>
      <c r="Q240" t="s">
        <v>74</v>
      </c>
      <c r="R240" t="s">
        <v>74</v>
      </c>
      <c r="S240" t="s">
        <v>74</v>
      </c>
      <c r="T240" t="s">
        <v>4976</v>
      </c>
      <c r="U240" t="s">
        <v>4977</v>
      </c>
      <c r="V240" t="s">
        <v>4978</v>
      </c>
      <c r="W240" t="s">
        <v>4979</v>
      </c>
      <c r="X240" t="s">
        <v>4980</v>
      </c>
      <c r="Y240" t="s">
        <v>4981</v>
      </c>
      <c r="Z240" t="s">
        <v>4982</v>
      </c>
      <c r="AA240" t="s">
        <v>74</v>
      </c>
      <c r="AB240" t="s">
        <v>4983</v>
      </c>
      <c r="AC240" t="s">
        <v>4984</v>
      </c>
      <c r="AD240" t="s">
        <v>4985</v>
      </c>
      <c r="AE240" t="s">
        <v>4986</v>
      </c>
      <c r="AF240" t="s">
        <v>74</v>
      </c>
      <c r="AG240">
        <v>54</v>
      </c>
      <c r="AH240">
        <v>12</v>
      </c>
      <c r="AI240">
        <v>12</v>
      </c>
      <c r="AJ240">
        <v>0</v>
      </c>
      <c r="AK240">
        <v>13</v>
      </c>
      <c r="AL240" t="s">
        <v>550</v>
      </c>
      <c r="AM240" t="s">
        <v>551</v>
      </c>
      <c r="AN240" t="s">
        <v>552</v>
      </c>
      <c r="AO240" t="s">
        <v>4987</v>
      </c>
      <c r="AP240" t="s">
        <v>4988</v>
      </c>
      <c r="AQ240" t="s">
        <v>74</v>
      </c>
      <c r="AR240" t="s">
        <v>4989</v>
      </c>
      <c r="AS240" t="s">
        <v>4990</v>
      </c>
      <c r="AT240" t="s">
        <v>2547</v>
      </c>
      <c r="AU240">
        <v>2019</v>
      </c>
      <c r="AV240">
        <v>189</v>
      </c>
      <c r="AW240">
        <v>2</v>
      </c>
      <c r="AX240" t="s">
        <v>74</v>
      </c>
      <c r="AY240" t="s">
        <v>74</v>
      </c>
      <c r="AZ240" t="s">
        <v>74</v>
      </c>
      <c r="BA240" t="s">
        <v>74</v>
      </c>
      <c r="BB240">
        <v>213</v>
      </c>
      <c r="BC240">
        <v>222</v>
      </c>
      <c r="BD240" t="s">
        <v>74</v>
      </c>
      <c r="BE240" t="s">
        <v>4991</v>
      </c>
      <c r="BF240" t="str">
        <f>HYPERLINK("http://dx.doi.org/10.1007/s00360-019-01207-x","http://dx.doi.org/10.1007/s00360-019-01207-x")</f>
        <v>http://dx.doi.org/10.1007/s00360-019-01207-x</v>
      </c>
      <c r="BG240" t="s">
        <v>74</v>
      </c>
      <c r="BH240" t="s">
        <v>74</v>
      </c>
      <c r="BI240">
        <v>10</v>
      </c>
      <c r="BJ240" t="s">
        <v>4992</v>
      </c>
      <c r="BK240" t="s">
        <v>102</v>
      </c>
      <c r="BL240" t="s">
        <v>4992</v>
      </c>
      <c r="BM240" t="s">
        <v>4993</v>
      </c>
      <c r="BN240">
        <v>30739144</v>
      </c>
      <c r="BO240" t="s">
        <v>1014</v>
      </c>
      <c r="BP240" t="s">
        <v>74</v>
      </c>
      <c r="BQ240" t="s">
        <v>74</v>
      </c>
      <c r="BR240" t="s">
        <v>107</v>
      </c>
      <c r="BS240" t="s">
        <v>4994</v>
      </c>
      <c r="BT240" t="str">
        <f>HYPERLINK("https%3A%2F%2Fwww.webofscience.com%2Fwos%2Fwoscc%2Ffull-record%2FWOS:000462213000003","View Full Record in Web of Science")</f>
        <v>View Full Record in Web of Science</v>
      </c>
    </row>
    <row r="241" spans="1:72" x14ac:dyDescent="0.15">
      <c r="A241" t="s">
        <v>72</v>
      </c>
      <c r="B241" t="s">
        <v>4995</v>
      </c>
      <c r="C241" t="s">
        <v>74</v>
      </c>
      <c r="D241" t="s">
        <v>74</v>
      </c>
      <c r="E241" t="s">
        <v>74</v>
      </c>
      <c r="F241" t="s">
        <v>4996</v>
      </c>
      <c r="G241" t="s">
        <v>74</v>
      </c>
      <c r="H241" t="s">
        <v>74</v>
      </c>
      <c r="I241" t="s">
        <v>4997</v>
      </c>
      <c r="J241" t="s">
        <v>4998</v>
      </c>
      <c r="K241" t="s">
        <v>74</v>
      </c>
      <c r="L241" t="s">
        <v>74</v>
      </c>
      <c r="M241" t="s">
        <v>78</v>
      </c>
      <c r="N241" t="s">
        <v>79</v>
      </c>
      <c r="O241" t="s">
        <v>74</v>
      </c>
      <c r="P241" t="s">
        <v>74</v>
      </c>
      <c r="Q241" t="s">
        <v>74</v>
      </c>
      <c r="R241" t="s">
        <v>74</v>
      </c>
      <c r="S241" t="s">
        <v>74</v>
      </c>
      <c r="T241" t="s">
        <v>4999</v>
      </c>
      <c r="U241" t="s">
        <v>5000</v>
      </c>
      <c r="V241" t="s">
        <v>5001</v>
      </c>
      <c r="W241" t="s">
        <v>5002</v>
      </c>
      <c r="X241" t="s">
        <v>5003</v>
      </c>
      <c r="Y241" t="s">
        <v>5004</v>
      </c>
      <c r="Z241" t="s">
        <v>5005</v>
      </c>
      <c r="AA241" t="s">
        <v>74</v>
      </c>
      <c r="AB241" t="s">
        <v>74</v>
      </c>
      <c r="AC241" t="s">
        <v>5006</v>
      </c>
      <c r="AD241" t="s">
        <v>5007</v>
      </c>
      <c r="AE241" t="s">
        <v>5008</v>
      </c>
      <c r="AF241" t="s">
        <v>74</v>
      </c>
      <c r="AG241">
        <v>94</v>
      </c>
      <c r="AH241">
        <v>4</v>
      </c>
      <c r="AI241">
        <v>4</v>
      </c>
      <c r="AJ241">
        <v>0</v>
      </c>
      <c r="AK241">
        <v>20</v>
      </c>
      <c r="AL241" t="s">
        <v>240</v>
      </c>
      <c r="AM241" t="s">
        <v>241</v>
      </c>
      <c r="AN241" t="s">
        <v>5009</v>
      </c>
      <c r="AO241" t="s">
        <v>5010</v>
      </c>
      <c r="AP241" t="s">
        <v>5011</v>
      </c>
      <c r="AQ241" t="s">
        <v>74</v>
      </c>
      <c r="AR241" t="s">
        <v>5012</v>
      </c>
      <c r="AS241" t="s">
        <v>5013</v>
      </c>
      <c r="AT241" t="s">
        <v>2547</v>
      </c>
      <c r="AU241">
        <v>2019</v>
      </c>
      <c r="AV241">
        <v>62</v>
      </c>
      <c r="AW241">
        <v>4</v>
      </c>
      <c r="AX241" t="s">
        <v>74</v>
      </c>
      <c r="AY241" t="s">
        <v>74</v>
      </c>
      <c r="AZ241" t="s">
        <v>74</v>
      </c>
      <c r="BA241" t="s">
        <v>74</v>
      </c>
      <c r="BB241">
        <v>657</v>
      </c>
      <c r="BC241">
        <v>670</v>
      </c>
      <c r="BD241" t="s">
        <v>74</v>
      </c>
      <c r="BE241" t="s">
        <v>5014</v>
      </c>
      <c r="BF241" t="str">
        <f>HYPERLINK("http://dx.doi.org/10.1007/s11430-018-9285-6","http://dx.doi.org/10.1007/s11430-018-9285-6")</f>
        <v>http://dx.doi.org/10.1007/s11430-018-9285-6</v>
      </c>
      <c r="BG241" t="s">
        <v>74</v>
      </c>
      <c r="BH241" t="s">
        <v>74</v>
      </c>
      <c r="BI241">
        <v>14</v>
      </c>
      <c r="BJ241" t="s">
        <v>922</v>
      </c>
      <c r="BK241" t="s">
        <v>102</v>
      </c>
      <c r="BL241" t="s">
        <v>923</v>
      </c>
      <c r="BM241" t="s">
        <v>5015</v>
      </c>
      <c r="BN241" t="s">
        <v>74</v>
      </c>
      <c r="BO241" t="s">
        <v>74</v>
      </c>
      <c r="BP241" t="s">
        <v>74</v>
      </c>
      <c r="BQ241" t="s">
        <v>74</v>
      </c>
      <c r="BR241" t="s">
        <v>107</v>
      </c>
      <c r="BS241" t="s">
        <v>5016</v>
      </c>
      <c r="BT241" t="str">
        <f>HYPERLINK("https%3A%2F%2Fwww.webofscience.com%2Fwos%2Fwoscc%2Ffull-record%2FWOS:000462228900005","View Full Record in Web of Science")</f>
        <v>View Full Record in Web of Science</v>
      </c>
    </row>
    <row r="242" spans="1:72" x14ac:dyDescent="0.15">
      <c r="A242" t="s">
        <v>72</v>
      </c>
      <c r="B242" t="s">
        <v>5017</v>
      </c>
      <c r="C242" t="s">
        <v>74</v>
      </c>
      <c r="D242" t="s">
        <v>74</v>
      </c>
      <c r="E242" t="s">
        <v>74</v>
      </c>
      <c r="F242" t="s">
        <v>5018</v>
      </c>
      <c r="G242" t="s">
        <v>74</v>
      </c>
      <c r="H242" t="s">
        <v>74</v>
      </c>
      <c r="I242" t="s">
        <v>5019</v>
      </c>
      <c r="J242" t="s">
        <v>5020</v>
      </c>
      <c r="K242" t="s">
        <v>74</v>
      </c>
      <c r="L242" t="s">
        <v>74</v>
      </c>
      <c r="M242" t="s">
        <v>78</v>
      </c>
      <c r="N242" t="s">
        <v>79</v>
      </c>
      <c r="O242" t="s">
        <v>74</v>
      </c>
      <c r="P242" t="s">
        <v>74</v>
      </c>
      <c r="Q242" t="s">
        <v>74</v>
      </c>
      <c r="R242" t="s">
        <v>74</v>
      </c>
      <c r="S242" t="s">
        <v>74</v>
      </c>
      <c r="T242" t="s">
        <v>5021</v>
      </c>
      <c r="U242" t="s">
        <v>5022</v>
      </c>
      <c r="V242" t="s">
        <v>5023</v>
      </c>
      <c r="W242" t="s">
        <v>5024</v>
      </c>
      <c r="X242" t="s">
        <v>5025</v>
      </c>
      <c r="Y242" t="s">
        <v>5026</v>
      </c>
      <c r="Z242" t="s">
        <v>5027</v>
      </c>
      <c r="AA242" t="s">
        <v>5028</v>
      </c>
      <c r="AB242" t="s">
        <v>5029</v>
      </c>
      <c r="AC242" t="s">
        <v>5030</v>
      </c>
      <c r="AD242" t="s">
        <v>5031</v>
      </c>
      <c r="AE242" t="s">
        <v>5032</v>
      </c>
      <c r="AF242" t="s">
        <v>74</v>
      </c>
      <c r="AG242">
        <v>25</v>
      </c>
      <c r="AH242">
        <v>9</v>
      </c>
      <c r="AI242">
        <v>10</v>
      </c>
      <c r="AJ242">
        <v>4</v>
      </c>
      <c r="AK242">
        <v>46</v>
      </c>
      <c r="AL242" t="s">
        <v>5033</v>
      </c>
      <c r="AM242" t="s">
        <v>5034</v>
      </c>
      <c r="AN242" t="s">
        <v>5035</v>
      </c>
      <c r="AO242" t="s">
        <v>5036</v>
      </c>
      <c r="AP242" t="s">
        <v>5037</v>
      </c>
      <c r="AQ242" t="s">
        <v>74</v>
      </c>
      <c r="AR242" t="s">
        <v>5038</v>
      </c>
      <c r="AS242" t="s">
        <v>5039</v>
      </c>
      <c r="AT242" t="s">
        <v>2547</v>
      </c>
      <c r="AU242">
        <v>2019</v>
      </c>
      <c r="AV242">
        <v>28</v>
      </c>
      <c r="AW242">
        <v>2</v>
      </c>
      <c r="AX242" t="s">
        <v>74</v>
      </c>
      <c r="AY242" t="s">
        <v>74</v>
      </c>
      <c r="AZ242" t="s">
        <v>74</v>
      </c>
      <c r="BA242" t="s">
        <v>74</v>
      </c>
      <c r="BB242">
        <v>539</v>
      </c>
      <c r="BC242">
        <v>545</v>
      </c>
      <c r="BD242" t="s">
        <v>74</v>
      </c>
      <c r="BE242" t="s">
        <v>5040</v>
      </c>
      <c r="BF242" t="str">
        <f>HYPERLINK("http://dx.doi.org/10.1007/s10068-018-0463-5","http://dx.doi.org/10.1007/s10068-018-0463-5")</f>
        <v>http://dx.doi.org/10.1007/s10068-018-0463-5</v>
      </c>
      <c r="BG242" t="s">
        <v>74</v>
      </c>
      <c r="BH242" t="s">
        <v>74</v>
      </c>
      <c r="BI242">
        <v>7</v>
      </c>
      <c r="BJ242" t="s">
        <v>5041</v>
      </c>
      <c r="BK242" t="s">
        <v>102</v>
      </c>
      <c r="BL242" t="s">
        <v>5041</v>
      </c>
      <c r="BM242" t="s">
        <v>5042</v>
      </c>
      <c r="BN242">
        <v>30956866</v>
      </c>
      <c r="BO242" t="s">
        <v>925</v>
      </c>
      <c r="BP242" t="s">
        <v>74</v>
      </c>
      <c r="BQ242" t="s">
        <v>74</v>
      </c>
      <c r="BR242" t="s">
        <v>107</v>
      </c>
      <c r="BS242" t="s">
        <v>5043</v>
      </c>
      <c r="BT242" t="str">
        <f>HYPERLINK("https%3A%2F%2Fwww.webofscience.com%2Fwos%2Fwoscc%2Ffull-record%2FWOS:000462163300026","View Full Record in Web of Science")</f>
        <v>View Full Record in Web of Science</v>
      </c>
    </row>
    <row r="243" spans="1:72" x14ac:dyDescent="0.15">
      <c r="A243" t="s">
        <v>72</v>
      </c>
      <c r="B243" t="s">
        <v>5044</v>
      </c>
      <c r="C243" t="s">
        <v>74</v>
      </c>
      <c r="D243" t="s">
        <v>74</v>
      </c>
      <c r="E243" t="s">
        <v>74</v>
      </c>
      <c r="F243" t="s">
        <v>5045</v>
      </c>
      <c r="G243" t="s">
        <v>74</v>
      </c>
      <c r="H243" t="s">
        <v>74</v>
      </c>
      <c r="I243" t="s">
        <v>5046</v>
      </c>
      <c r="J243" t="s">
        <v>5047</v>
      </c>
      <c r="K243" t="s">
        <v>74</v>
      </c>
      <c r="L243" t="s">
        <v>74</v>
      </c>
      <c r="M243" t="s">
        <v>78</v>
      </c>
      <c r="N243" t="s">
        <v>79</v>
      </c>
      <c r="O243" t="s">
        <v>74</v>
      </c>
      <c r="P243" t="s">
        <v>74</v>
      </c>
      <c r="Q243" t="s">
        <v>74</v>
      </c>
      <c r="R243" t="s">
        <v>74</v>
      </c>
      <c r="S243" t="s">
        <v>74</v>
      </c>
      <c r="T243" t="s">
        <v>5048</v>
      </c>
      <c r="U243" t="s">
        <v>5049</v>
      </c>
      <c r="V243" t="s">
        <v>5050</v>
      </c>
      <c r="W243" t="s">
        <v>5051</v>
      </c>
      <c r="X243" t="s">
        <v>5052</v>
      </c>
      <c r="Y243" t="s">
        <v>5053</v>
      </c>
      <c r="Z243" t="s">
        <v>5054</v>
      </c>
      <c r="AA243" t="s">
        <v>5055</v>
      </c>
      <c r="AB243" t="s">
        <v>5056</v>
      </c>
      <c r="AC243" t="s">
        <v>5057</v>
      </c>
      <c r="AD243" t="s">
        <v>5057</v>
      </c>
      <c r="AE243" t="s">
        <v>5058</v>
      </c>
      <c r="AF243" t="s">
        <v>74</v>
      </c>
      <c r="AG243">
        <v>88</v>
      </c>
      <c r="AH243">
        <v>31</v>
      </c>
      <c r="AI243">
        <v>32</v>
      </c>
      <c r="AJ243">
        <v>9</v>
      </c>
      <c r="AK243">
        <v>93</v>
      </c>
      <c r="AL243" t="s">
        <v>153</v>
      </c>
      <c r="AM243" t="s">
        <v>154</v>
      </c>
      <c r="AN243" t="s">
        <v>155</v>
      </c>
      <c r="AO243" t="s">
        <v>5059</v>
      </c>
      <c r="AP243" t="s">
        <v>5060</v>
      </c>
      <c r="AQ243" t="s">
        <v>74</v>
      </c>
      <c r="AR243" t="s">
        <v>5061</v>
      </c>
      <c r="AS243" t="s">
        <v>5062</v>
      </c>
      <c r="AT243" t="s">
        <v>2547</v>
      </c>
      <c r="AU243">
        <v>2019</v>
      </c>
      <c r="AV243">
        <v>25</v>
      </c>
      <c r="AW243">
        <v>4</v>
      </c>
      <c r="AX243" t="s">
        <v>74</v>
      </c>
      <c r="AY243" t="s">
        <v>74</v>
      </c>
      <c r="AZ243" t="s">
        <v>74</v>
      </c>
      <c r="BA243" t="s">
        <v>74</v>
      </c>
      <c r="BB243">
        <v>1466</v>
      </c>
      <c r="BC243">
        <v>1481</v>
      </c>
      <c r="BD243" t="s">
        <v>74</v>
      </c>
      <c r="BE243" t="s">
        <v>5063</v>
      </c>
      <c r="BF243" t="str">
        <f>HYPERLINK("http://dx.doi.org/10.1111/gcb.14563","http://dx.doi.org/10.1111/gcb.14563")</f>
        <v>http://dx.doi.org/10.1111/gcb.14563</v>
      </c>
      <c r="BG243" t="s">
        <v>74</v>
      </c>
      <c r="BH243" t="s">
        <v>74</v>
      </c>
      <c r="BI243">
        <v>16</v>
      </c>
      <c r="BJ243" t="s">
        <v>5064</v>
      </c>
      <c r="BK243" t="s">
        <v>102</v>
      </c>
      <c r="BL243" t="s">
        <v>5065</v>
      </c>
      <c r="BM243" t="s">
        <v>5066</v>
      </c>
      <c r="BN243">
        <v>30609213</v>
      </c>
      <c r="BO243" t="s">
        <v>403</v>
      </c>
      <c r="BP243" t="s">
        <v>74</v>
      </c>
      <c r="BQ243" t="s">
        <v>74</v>
      </c>
      <c r="BR243" t="s">
        <v>107</v>
      </c>
      <c r="BS243" t="s">
        <v>5067</v>
      </c>
      <c r="BT243" t="str">
        <f>HYPERLINK("https%3A%2F%2Fwww.webofscience.com%2Fwos%2Fwoscc%2Ffull-record%2FWOS:000461817500020","View Full Record in Web of Science")</f>
        <v>View Full Record in Web of Science</v>
      </c>
    </row>
    <row r="244" spans="1:72" x14ac:dyDescent="0.15">
      <c r="A244" t="s">
        <v>72</v>
      </c>
      <c r="B244" t="s">
        <v>5068</v>
      </c>
      <c r="C244" t="s">
        <v>74</v>
      </c>
      <c r="D244" t="s">
        <v>74</v>
      </c>
      <c r="E244" t="s">
        <v>74</v>
      </c>
      <c r="F244" t="s">
        <v>5069</v>
      </c>
      <c r="G244" t="s">
        <v>74</v>
      </c>
      <c r="H244" t="s">
        <v>74</v>
      </c>
      <c r="I244" t="s">
        <v>5070</v>
      </c>
      <c r="J244" t="s">
        <v>5071</v>
      </c>
      <c r="K244" t="s">
        <v>74</v>
      </c>
      <c r="L244" t="s">
        <v>74</v>
      </c>
      <c r="M244" t="s">
        <v>78</v>
      </c>
      <c r="N244" t="s">
        <v>79</v>
      </c>
      <c r="O244" t="s">
        <v>74</v>
      </c>
      <c r="P244" t="s">
        <v>74</v>
      </c>
      <c r="Q244" t="s">
        <v>74</v>
      </c>
      <c r="R244" t="s">
        <v>74</v>
      </c>
      <c r="S244" t="s">
        <v>74</v>
      </c>
      <c r="T244" t="s">
        <v>5072</v>
      </c>
      <c r="U244" t="s">
        <v>5073</v>
      </c>
      <c r="V244" t="s">
        <v>5074</v>
      </c>
      <c r="W244" t="s">
        <v>5075</v>
      </c>
      <c r="X244" t="s">
        <v>5076</v>
      </c>
      <c r="Y244" t="s">
        <v>5077</v>
      </c>
      <c r="Z244" t="s">
        <v>5078</v>
      </c>
      <c r="AA244" t="s">
        <v>5079</v>
      </c>
      <c r="AB244" t="s">
        <v>5080</v>
      </c>
      <c r="AC244" t="s">
        <v>5081</v>
      </c>
      <c r="AD244" t="s">
        <v>5082</v>
      </c>
      <c r="AE244" t="s">
        <v>5083</v>
      </c>
      <c r="AF244" t="s">
        <v>74</v>
      </c>
      <c r="AG244">
        <v>27</v>
      </c>
      <c r="AH244">
        <v>5</v>
      </c>
      <c r="AI244">
        <v>6</v>
      </c>
      <c r="AJ244">
        <v>3</v>
      </c>
      <c r="AK244">
        <v>33</v>
      </c>
      <c r="AL244" t="s">
        <v>550</v>
      </c>
      <c r="AM244" t="s">
        <v>551</v>
      </c>
      <c r="AN244" t="s">
        <v>552</v>
      </c>
      <c r="AO244" t="s">
        <v>5084</v>
      </c>
      <c r="AP244" t="s">
        <v>5085</v>
      </c>
      <c r="AQ244" t="s">
        <v>74</v>
      </c>
      <c r="AR244" t="s">
        <v>5086</v>
      </c>
      <c r="AS244" t="s">
        <v>5087</v>
      </c>
      <c r="AT244" t="s">
        <v>2547</v>
      </c>
      <c r="AU244">
        <v>2019</v>
      </c>
      <c r="AV244">
        <v>23</v>
      </c>
      <c r="AW244">
        <v>2</v>
      </c>
      <c r="AX244" t="s">
        <v>74</v>
      </c>
      <c r="AY244" t="s">
        <v>74</v>
      </c>
      <c r="AZ244" t="s">
        <v>74</v>
      </c>
      <c r="BA244" t="s">
        <v>74</v>
      </c>
      <c r="BB244" t="s">
        <v>74</v>
      </c>
      <c r="BC244" t="s">
        <v>74</v>
      </c>
      <c r="BD244">
        <v>53</v>
      </c>
      <c r="BE244" t="s">
        <v>5088</v>
      </c>
      <c r="BF244" t="str">
        <f>HYPERLINK("http://dx.doi.org/10.1007/s10291-019-0848-9","http://dx.doi.org/10.1007/s10291-019-0848-9")</f>
        <v>http://dx.doi.org/10.1007/s10291-019-0848-9</v>
      </c>
      <c r="BG244" t="s">
        <v>74</v>
      </c>
      <c r="BH244" t="s">
        <v>74</v>
      </c>
      <c r="BI244">
        <v>14</v>
      </c>
      <c r="BJ244" t="s">
        <v>5089</v>
      </c>
      <c r="BK244" t="s">
        <v>102</v>
      </c>
      <c r="BL244" t="s">
        <v>5089</v>
      </c>
      <c r="BM244" t="s">
        <v>5090</v>
      </c>
      <c r="BN244" t="s">
        <v>74</v>
      </c>
      <c r="BO244" t="s">
        <v>74</v>
      </c>
      <c r="BP244" t="s">
        <v>74</v>
      </c>
      <c r="BQ244" t="s">
        <v>74</v>
      </c>
      <c r="BR244" t="s">
        <v>107</v>
      </c>
      <c r="BS244" t="s">
        <v>5091</v>
      </c>
      <c r="BT244" t="str">
        <f>HYPERLINK("https%3A%2F%2Fwww.webofscience.com%2Fwos%2Fwoscc%2Ffull-record%2FWOS:000462005000002","View Full Record in Web of Science")</f>
        <v>View Full Record in Web of Science</v>
      </c>
    </row>
    <row r="245" spans="1:72" x14ac:dyDescent="0.15">
      <c r="A245" t="s">
        <v>72</v>
      </c>
      <c r="B245" t="s">
        <v>5092</v>
      </c>
      <c r="C245" t="s">
        <v>74</v>
      </c>
      <c r="D245" t="s">
        <v>74</v>
      </c>
      <c r="E245" t="s">
        <v>74</v>
      </c>
      <c r="F245" t="s">
        <v>5093</v>
      </c>
      <c r="G245" t="s">
        <v>74</v>
      </c>
      <c r="H245" t="s">
        <v>74</v>
      </c>
      <c r="I245" t="s">
        <v>5094</v>
      </c>
      <c r="J245" t="s">
        <v>256</v>
      </c>
      <c r="K245" t="s">
        <v>74</v>
      </c>
      <c r="L245" t="s">
        <v>74</v>
      </c>
      <c r="M245" t="s">
        <v>78</v>
      </c>
      <c r="N245" t="s">
        <v>79</v>
      </c>
      <c r="O245" t="s">
        <v>74</v>
      </c>
      <c r="P245" t="s">
        <v>74</v>
      </c>
      <c r="Q245" t="s">
        <v>74</v>
      </c>
      <c r="R245" t="s">
        <v>74</v>
      </c>
      <c r="S245" t="s">
        <v>74</v>
      </c>
      <c r="T245" t="s">
        <v>5095</v>
      </c>
      <c r="U245" t="s">
        <v>5096</v>
      </c>
      <c r="V245" t="s">
        <v>5097</v>
      </c>
      <c r="W245" t="s">
        <v>5098</v>
      </c>
      <c r="X245" t="s">
        <v>5099</v>
      </c>
      <c r="Y245" t="s">
        <v>5100</v>
      </c>
      <c r="Z245" t="s">
        <v>5101</v>
      </c>
      <c r="AA245" t="s">
        <v>5102</v>
      </c>
      <c r="AB245" t="s">
        <v>5103</v>
      </c>
      <c r="AC245" t="s">
        <v>5104</v>
      </c>
      <c r="AD245" t="s">
        <v>3782</v>
      </c>
      <c r="AE245" t="s">
        <v>5105</v>
      </c>
      <c r="AF245" t="s">
        <v>74</v>
      </c>
      <c r="AG245">
        <v>46</v>
      </c>
      <c r="AH245">
        <v>14</v>
      </c>
      <c r="AI245">
        <v>14</v>
      </c>
      <c r="AJ245">
        <v>0</v>
      </c>
      <c r="AK245">
        <v>14</v>
      </c>
      <c r="AL245" t="s">
        <v>269</v>
      </c>
      <c r="AM245" t="s">
        <v>270</v>
      </c>
      <c r="AN245" t="s">
        <v>532</v>
      </c>
      <c r="AO245" t="s">
        <v>272</v>
      </c>
      <c r="AP245" t="s">
        <v>273</v>
      </c>
      <c r="AQ245" t="s">
        <v>74</v>
      </c>
      <c r="AR245" t="s">
        <v>274</v>
      </c>
      <c r="AS245" t="s">
        <v>275</v>
      </c>
      <c r="AT245" t="s">
        <v>2547</v>
      </c>
      <c r="AU245">
        <v>2019</v>
      </c>
      <c r="AV245">
        <v>49</v>
      </c>
      <c r="AW245">
        <v>4</v>
      </c>
      <c r="AX245" t="s">
        <v>74</v>
      </c>
      <c r="AY245" t="s">
        <v>74</v>
      </c>
      <c r="AZ245" t="s">
        <v>74</v>
      </c>
      <c r="BA245" t="s">
        <v>74</v>
      </c>
      <c r="BB245">
        <v>917</v>
      </c>
      <c r="BC245">
        <v>939</v>
      </c>
      <c r="BD245" t="s">
        <v>74</v>
      </c>
      <c r="BE245" t="s">
        <v>5106</v>
      </c>
      <c r="BF245" t="str">
        <f>HYPERLINK("http://dx.doi.org/10.1175/JPO-D-18-0131.1","http://dx.doi.org/10.1175/JPO-D-18-0131.1")</f>
        <v>http://dx.doi.org/10.1175/JPO-D-18-0131.1</v>
      </c>
      <c r="BG245" t="s">
        <v>74</v>
      </c>
      <c r="BH245" t="s">
        <v>74</v>
      </c>
      <c r="BI245">
        <v>23</v>
      </c>
      <c r="BJ245" t="s">
        <v>277</v>
      </c>
      <c r="BK245" t="s">
        <v>102</v>
      </c>
      <c r="BL245" t="s">
        <v>277</v>
      </c>
      <c r="BM245" t="s">
        <v>5107</v>
      </c>
      <c r="BN245" t="s">
        <v>74</v>
      </c>
      <c r="BO245" t="s">
        <v>5108</v>
      </c>
      <c r="BP245" t="s">
        <v>74</v>
      </c>
      <c r="BQ245" t="s">
        <v>74</v>
      </c>
      <c r="BR245" t="s">
        <v>107</v>
      </c>
      <c r="BS245" t="s">
        <v>5109</v>
      </c>
      <c r="BT245" t="str">
        <f>HYPERLINK("https%3A%2F%2Fwww.webofscience.com%2Fwos%2Fwoscc%2Ffull-record%2FWOS:000462031500001","View Full Record in Web of Science")</f>
        <v>View Full Record in Web of Science</v>
      </c>
    </row>
    <row r="246" spans="1:72" x14ac:dyDescent="0.15">
      <c r="A246" t="s">
        <v>72</v>
      </c>
      <c r="B246" t="s">
        <v>5110</v>
      </c>
      <c r="C246" t="s">
        <v>74</v>
      </c>
      <c r="D246" t="s">
        <v>74</v>
      </c>
      <c r="E246" t="s">
        <v>74</v>
      </c>
      <c r="F246" t="s">
        <v>5111</v>
      </c>
      <c r="G246" t="s">
        <v>74</v>
      </c>
      <c r="H246" t="s">
        <v>74</v>
      </c>
      <c r="I246" t="s">
        <v>5112</v>
      </c>
      <c r="J246" t="s">
        <v>5113</v>
      </c>
      <c r="K246" t="s">
        <v>74</v>
      </c>
      <c r="L246" t="s">
        <v>74</v>
      </c>
      <c r="M246" t="s">
        <v>78</v>
      </c>
      <c r="N246" t="s">
        <v>79</v>
      </c>
      <c r="O246" t="s">
        <v>74</v>
      </c>
      <c r="P246" t="s">
        <v>74</v>
      </c>
      <c r="Q246" t="s">
        <v>74</v>
      </c>
      <c r="R246" t="s">
        <v>74</v>
      </c>
      <c r="S246" t="s">
        <v>74</v>
      </c>
      <c r="T246" t="s">
        <v>5114</v>
      </c>
      <c r="U246" t="s">
        <v>5115</v>
      </c>
      <c r="V246" t="s">
        <v>5116</v>
      </c>
      <c r="W246" t="s">
        <v>5117</v>
      </c>
      <c r="X246" t="s">
        <v>5118</v>
      </c>
      <c r="Y246" t="s">
        <v>5119</v>
      </c>
      <c r="Z246" t="s">
        <v>5120</v>
      </c>
      <c r="AA246" t="s">
        <v>5121</v>
      </c>
      <c r="AB246" t="s">
        <v>5122</v>
      </c>
      <c r="AC246" t="s">
        <v>5123</v>
      </c>
      <c r="AD246" t="s">
        <v>5124</v>
      </c>
      <c r="AE246" t="s">
        <v>5125</v>
      </c>
      <c r="AF246" t="s">
        <v>74</v>
      </c>
      <c r="AG246">
        <v>70</v>
      </c>
      <c r="AH246">
        <v>21</v>
      </c>
      <c r="AI246">
        <v>24</v>
      </c>
      <c r="AJ246">
        <v>4</v>
      </c>
      <c r="AK246">
        <v>58</v>
      </c>
      <c r="AL246" t="s">
        <v>576</v>
      </c>
      <c r="AM246" t="s">
        <v>607</v>
      </c>
      <c r="AN246" t="s">
        <v>3493</v>
      </c>
      <c r="AO246" t="s">
        <v>5126</v>
      </c>
      <c r="AP246" t="s">
        <v>5127</v>
      </c>
      <c r="AQ246" t="s">
        <v>74</v>
      </c>
      <c r="AR246" t="s">
        <v>5128</v>
      </c>
      <c r="AS246" t="s">
        <v>5129</v>
      </c>
      <c r="AT246" t="s">
        <v>2547</v>
      </c>
      <c r="AU246">
        <v>2019</v>
      </c>
      <c r="AV246">
        <v>42</v>
      </c>
      <c r="AW246">
        <v>4</v>
      </c>
      <c r="AX246" t="s">
        <v>74</v>
      </c>
      <c r="AY246" t="s">
        <v>74</v>
      </c>
      <c r="AZ246" t="s">
        <v>74</v>
      </c>
      <c r="BA246" t="s">
        <v>74</v>
      </c>
      <c r="BB246">
        <v>685</v>
      </c>
      <c r="BC246">
        <v>701</v>
      </c>
      <c r="BD246" t="s">
        <v>74</v>
      </c>
      <c r="BE246" t="s">
        <v>5130</v>
      </c>
      <c r="BF246" t="str">
        <f>HYPERLINK("http://dx.doi.org/10.1007/s00300-019-02464-w","http://dx.doi.org/10.1007/s00300-019-02464-w")</f>
        <v>http://dx.doi.org/10.1007/s00300-019-02464-w</v>
      </c>
      <c r="BG246" t="s">
        <v>74</v>
      </c>
      <c r="BH246" t="s">
        <v>74</v>
      </c>
      <c r="BI246">
        <v>17</v>
      </c>
      <c r="BJ246" t="s">
        <v>5131</v>
      </c>
      <c r="BK246" t="s">
        <v>102</v>
      </c>
      <c r="BL246" t="s">
        <v>5065</v>
      </c>
      <c r="BM246" t="s">
        <v>5132</v>
      </c>
      <c r="BN246" t="s">
        <v>74</v>
      </c>
      <c r="BO246" t="s">
        <v>74</v>
      </c>
      <c r="BP246" t="s">
        <v>74</v>
      </c>
      <c r="BQ246" t="s">
        <v>74</v>
      </c>
      <c r="BR246" t="s">
        <v>107</v>
      </c>
      <c r="BS246" t="s">
        <v>5133</v>
      </c>
      <c r="BT246" t="str">
        <f>HYPERLINK("https%3A%2F%2Fwww.webofscience.com%2Fwos%2Fwoscc%2Ffull-record%2FWOS:000461817700004","View Full Record in Web of Science")</f>
        <v>View Full Record in Web of Science</v>
      </c>
    </row>
    <row r="247" spans="1:72" x14ac:dyDescent="0.15">
      <c r="A247" t="s">
        <v>72</v>
      </c>
      <c r="B247" t="s">
        <v>5134</v>
      </c>
      <c r="C247" t="s">
        <v>74</v>
      </c>
      <c r="D247" t="s">
        <v>74</v>
      </c>
      <c r="E247" t="s">
        <v>74</v>
      </c>
      <c r="F247" t="s">
        <v>5135</v>
      </c>
      <c r="G247" t="s">
        <v>74</v>
      </c>
      <c r="H247" t="s">
        <v>74</v>
      </c>
      <c r="I247" t="s">
        <v>5136</v>
      </c>
      <c r="J247" t="s">
        <v>5113</v>
      </c>
      <c r="K247" t="s">
        <v>74</v>
      </c>
      <c r="L247" t="s">
        <v>74</v>
      </c>
      <c r="M247" t="s">
        <v>78</v>
      </c>
      <c r="N247" t="s">
        <v>79</v>
      </c>
      <c r="O247" t="s">
        <v>74</v>
      </c>
      <c r="P247" t="s">
        <v>74</v>
      </c>
      <c r="Q247" t="s">
        <v>74</v>
      </c>
      <c r="R247" t="s">
        <v>74</v>
      </c>
      <c r="S247" t="s">
        <v>74</v>
      </c>
      <c r="T247" t="s">
        <v>5137</v>
      </c>
      <c r="U247" t="s">
        <v>5138</v>
      </c>
      <c r="V247" t="s">
        <v>5139</v>
      </c>
      <c r="W247" t="s">
        <v>5140</v>
      </c>
      <c r="X247" t="s">
        <v>5141</v>
      </c>
      <c r="Y247" t="s">
        <v>5142</v>
      </c>
      <c r="Z247" t="s">
        <v>5143</v>
      </c>
      <c r="AA247" t="s">
        <v>74</v>
      </c>
      <c r="AB247" t="s">
        <v>5144</v>
      </c>
      <c r="AC247" t="s">
        <v>5145</v>
      </c>
      <c r="AD247" t="s">
        <v>5146</v>
      </c>
      <c r="AE247" t="s">
        <v>5147</v>
      </c>
      <c r="AF247" t="s">
        <v>74</v>
      </c>
      <c r="AG247">
        <v>74</v>
      </c>
      <c r="AH247">
        <v>15</v>
      </c>
      <c r="AI247">
        <v>15</v>
      </c>
      <c r="AJ247">
        <v>0</v>
      </c>
      <c r="AK247">
        <v>28</v>
      </c>
      <c r="AL247" t="s">
        <v>576</v>
      </c>
      <c r="AM247" t="s">
        <v>607</v>
      </c>
      <c r="AN247" t="s">
        <v>2143</v>
      </c>
      <c r="AO247" t="s">
        <v>5126</v>
      </c>
      <c r="AP247" t="s">
        <v>5127</v>
      </c>
      <c r="AQ247" t="s">
        <v>74</v>
      </c>
      <c r="AR247" t="s">
        <v>5128</v>
      </c>
      <c r="AS247" t="s">
        <v>5129</v>
      </c>
      <c r="AT247" t="s">
        <v>2547</v>
      </c>
      <c r="AU247">
        <v>2019</v>
      </c>
      <c r="AV247">
        <v>42</v>
      </c>
      <c r="AW247">
        <v>4</v>
      </c>
      <c r="AX247" t="s">
        <v>74</v>
      </c>
      <c r="AY247" t="s">
        <v>74</v>
      </c>
      <c r="AZ247" t="s">
        <v>74</v>
      </c>
      <c r="BA247" t="s">
        <v>74</v>
      </c>
      <c r="BB247">
        <v>703</v>
      </c>
      <c r="BC247">
        <v>714</v>
      </c>
      <c r="BD247" t="s">
        <v>74</v>
      </c>
      <c r="BE247" t="s">
        <v>5148</v>
      </c>
      <c r="BF247" t="str">
        <f>HYPERLINK("http://dx.doi.org/10.1007/s00300-019-02465-9","http://dx.doi.org/10.1007/s00300-019-02465-9")</f>
        <v>http://dx.doi.org/10.1007/s00300-019-02465-9</v>
      </c>
      <c r="BG247" t="s">
        <v>74</v>
      </c>
      <c r="BH247" t="s">
        <v>74</v>
      </c>
      <c r="BI247">
        <v>12</v>
      </c>
      <c r="BJ247" t="s">
        <v>5131</v>
      </c>
      <c r="BK247" t="s">
        <v>102</v>
      </c>
      <c r="BL247" t="s">
        <v>5065</v>
      </c>
      <c r="BM247" t="s">
        <v>5132</v>
      </c>
      <c r="BN247" t="s">
        <v>74</v>
      </c>
      <c r="BO247" t="s">
        <v>74</v>
      </c>
      <c r="BP247" t="s">
        <v>74</v>
      </c>
      <c r="BQ247" t="s">
        <v>74</v>
      </c>
      <c r="BR247" t="s">
        <v>107</v>
      </c>
      <c r="BS247" t="s">
        <v>5149</v>
      </c>
      <c r="BT247" t="str">
        <f>HYPERLINK("https%3A%2F%2Fwww.webofscience.com%2Fwos%2Fwoscc%2Ffull-record%2FWOS:000461817700005","View Full Record in Web of Science")</f>
        <v>View Full Record in Web of Science</v>
      </c>
    </row>
    <row r="248" spans="1:72" x14ac:dyDescent="0.15">
      <c r="A248" t="s">
        <v>72</v>
      </c>
      <c r="B248" t="s">
        <v>5150</v>
      </c>
      <c r="C248" t="s">
        <v>74</v>
      </c>
      <c r="D248" t="s">
        <v>74</v>
      </c>
      <c r="E248" t="s">
        <v>74</v>
      </c>
      <c r="F248" t="s">
        <v>5151</v>
      </c>
      <c r="G248" t="s">
        <v>74</v>
      </c>
      <c r="H248" t="s">
        <v>74</v>
      </c>
      <c r="I248" t="s">
        <v>5152</v>
      </c>
      <c r="J248" t="s">
        <v>5113</v>
      </c>
      <c r="K248" t="s">
        <v>74</v>
      </c>
      <c r="L248" t="s">
        <v>74</v>
      </c>
      <c r="M248" t="s">
        <v>78</v>
      </c>
      <c r="N248" t="s">
        <v>79</v>
      </c>
      <c r="O248" t="s">
        <v>74</v>
      </c>
      <c r="P248" t="s">
        <v>74</v>
      </c>
      <c r="Q248" t="s">
        <v>74</v>
      </c>
      <c r="R248" t="s">
        <v>74</v>
      </c>
      <c r="S248" t="s">
        <v>74</v>
      </c>
      <c r="T248" t="s">
        <v>5153</v>
      </c>
      <c r="U248" t="s">
        <v>5154</v>
      </c>
      <c r="V248" t="s">
        <v>5155</v>
      </c>
      <c r="W248" t="s">
        <v>5156</v>
      </c>
      <c r="X248" t="s">
        <v>5157</v>
      </c>
      <c r="Y248" t="s">
        <v>5158</v>
      </c>
      <c r="Z248" t="s">
        <v>5159</v>
      </c>
      <c r="AA248" t="s">
        <v>5160</v>
      </c>
      <c r="AB248" t="s">
        <v>5161</v>
      </c>
      <c r="AC248" t="s">
        <v>5162</v>
      </c>
      <c r="AD248" t="s">
        <v>5163</v>
      </c>
      <c r="AE248" t="s">
        <v>5164</v>
      </c>
      <c r="AF248" t="s">
        <v>74</v>
      </c>
      <c r="AG248">
        <v>65</v>
      </c>
      <c r="AH248">
        <v>17</v>
      </c>
      <c r="AI248">
        <v>17</v>
      </c>
      <c r="AJ248">
        <v>0</v>
      </c>
      <c r="AK248">
        <v>20</v>
      </c>
      <c r="AL248" t="s">
        <v>576</v>
      </c>
      <c r="AM248" t="s">
        <v>607</v>
      </c>
      <c r="AN248" t="s">
        <v>3493</v>
      </c>
      <c r="AO248" t="s">
        <v>5126</v>
      </c>
      <c r="AP248" t="s">
        <v>5127</v>
      </c>
      <c r="AQ248" t="s">
        <v>74</v>
      </c>
      <c r="AR248" t="s">
        <v>5128</v>
      </c>
      <c r="AS248" t="s">
        <v>5129</v>
      </c>
      <c r="AT248" t="s">
        <v>2547</v>
      </c>
      <c r="AU248">
        <v>2019</v>
      </c>
      <c r="AV248">
        <v>42</v>
      </c>
      <c r="AW248">
        <v>4</v>
      </c>
      <c r="AX248" t="s">
        <v>74</v>
      </c>
      <c r="AY248" t="s">
        <v>74</v>
      </c>
      <c r="AZ248" t="s">
        <v>74</v>
      </c>
      <c r="BA248" t="s">
        <v>74</v>
      </c>
      <c r="BB248">
        <v>715</v>
      </c>
      <c r="BC248">
        <v>732</v>
      </c>
      <c r="BD248" t="s">
        <v>74</v>
      </c>
      <c r="BE248" t="s">
        <v>5165</v>
      </c>
      <c r="BF248" t="str">
        <f>HYPERLINK("http://dx.doi.org/10.1007/s00300-019-02466-8","http://dx.doi.org/10.1007/s00300-019-02466-8")</f>
        <v>http://dx.doi.org/10.1007/s00300-019-02466-8</v>
      </c>
      <c r="BG248" t="s">
        <v>74</v>
      </c>
      <c r="BH248" t="s">
        <v>74</v>
      </c>
      <c r="BI248">
        <v>18</v>
      </c>
      <c r="BJ248" t="s">
        <v>5131</v>
      </c>
      <c r="BK248" t="s">
        <v>102</v>
      </c>
      <c r="BL248" t="s">
        <v>5065</v>
      </c>
      <c r="BM248" t="s">
        <v>5132</v>
      </c>
      <c r="BN248" t="s">
        <v>74</v>
      </c>
      <c r="BO248" t="s">
        <v>74</v>
      </c>
      <c r="BP248" t="s">
        <v>74</v>
      </c>
      <c r="BQ248" t="s">
        <v>74</v>
      </c>
      <c r="BR248" t="s">
        <v>107</v>
      </c>
      <c r="BS248" t="s">
        <v>5166</v>
      </c>
      <c r="BT248" t="str">
        <f>HYPERLINK("https%3A%2F%2Fwww.webofscience.com%2Fwos%2Fwoscc%2Ffull-record%2FWOS:000461817700006","View Full Record in Web of Science")</f>
        <v>View Full Record in Web of Science</v>
      </c>
    </row>
    <row r="249" spans="1:72" x14ac:dyDescent="0.15">
      <c r="A249" t="s">
        <v>72</v>
      </c>
      <c r="B249" t="s">
        <v>5167</v>
      </c>
      <c r="C249" t="s">
        <v>74</v>
      </c>
      <c r="D249" t="s">
        <v>74</v>
      </c>
      <c r="E249" t="s">
        <v>74</v>
      </c>
      <c r="F249" t="s">
        <v>5168</v>
      </c>
      <c r="G249" t="s">
        <v>74</v>
      </c>
      <c r="H249" t="s">
        <v>74</v>
      </c>
      <c r="I249" t="s">
        <v>5169</v>
      </c>
      <c r="J249" t="s">
        <v>5113</v>
      </c>
      <c r="K249" t="s">
        <v>74</v>
      </c>
      <c r="L249" t="s">
        <v>74</v>
      </c>
      <c r="M249" t="s">
        <v>78</v>
      </c>
      <c r="N249" t="s">
        <v>79</v>
      </c>
      <c r="O249" t="s">
        <v>74</v>
      </c>
      <c r="P249" t="s">
        <v>74</v>
      </c>
      <c r="Q249" t="s">
        <v>74</v>
      </c>
      <c r="R249" t="s">
        <v>74</v>
      </c>
      <c r="S249" t="s">
        <v>74</v>
      </c>
      <c r="T249" t="s">
        <v>5170</v>
      </c>
      <c r="U249" t="s">
        <v>5171</v>
      </c>
      <c r="V249" t="s">
        <v>5172</v>
      </c>
      <c r="W249" t="s">
        <v>5173</v>
      </c>
      <c r="X249" t="s">
        <v>74</v>
      </c>
      <c r="Y249" t="s">
        <v>5174</v>
      </c>
      <c r="Z249" t="s">
        <v>5175</v>
      </c>
      <c r="AA249" t="s">
        <v>5176</v>
      </c>
      <c r="AB249" t="s">
        <v>5177</v>
      </c>
      <c r="AC249" t="s">
        <v>74</v>
      </c>
      <c r="AD249" t="s">
        <v>74</v>
      </c>
      <c r="AE249" t="s">
        <v>74</v>
      </c>
      <c r="AF249" t="s">
        <v>74</v>
      </c>
      <c r="AG249">
        <v>39</v>
      </c>
      <c r="AH249">
        <v>6</v>
      </c>
      <c r="AI249">
        <v>6</v>
      </c>
      <c r="AJ249">
        <v>4</v>
      </c>
      <c r="AK249">
        <v>16</v>
      </c>
      <c r="AL249" t="s">
        <v>576</v>
      </c>
      <c r="AM249" t="s">
        <v>607</v>
      </c>
      <c r="AN249" t="s">
        <v>3493</v>
      </c>
      <c r="AO249" t="s">
        <v>5126</v>
      </c>
      <c r="AP249" t="s">
        <v>5127</v>
      </c>
      <c r="AQ249" t="s">
        <v>74</v>
      </c>
      <c r="AR249" t="s">
        <v>5128</v>
      </c>
      <c r="AS249" t="s">
        <v>5129</v>
      </c>
      <c r="AT249" t="s">
        <v>2547</v>
      </c>
      <c r="AU249">
        <v>2019</v>
      </c>
      <c r="AV249">
        <v>42</v>
      </c>
      <c r="AW249">
        <v>4</v>
      </c>
      <c r="AX249" t="s">
        <v>74</v>
      </c>
      <c r="AY249" t="s">
        <v>74</v>
      </c>
      <c r="AZ249" t="s">
        <v>74</v>
      </c>
      <c r="BA249" t="s">
        <v>74</v>
      </c>
      <c r="BB249">
        <v>771</v>
      </c>
      <c r="BC249">
        <v>781</v>
      </c>
      <c r="BD249" t="s">
        <v>74</v>
      </c>
      <c r="BE249" t="s">
        <v>5178</v>
      </c>
      <c r="BF249" t="str">
        <f>HYPERLINK("http://dx.doi.org/10.1007/s00300-019-02470-y","http://dx.doi.org/10.1007/s00300-019-02470-y")</f>
        <v>http://dx.doi.org/10.1007/s00300-019-02470-y</v>
      </c>
      <c r="BG249" t="s">
        <v>74</v>
      </c>
      <c r="BH249" t="s">
        <v>74</v>
      </c>
      <c r="BI249">
        <v>11</v>
      </c>
      <c r="BJ249" t="s">
        <v>5131</v>
      </c>
      <c r="BK249" t="s">
        <v>102</v>
      </c>
      <c r="BL249" t="s">
        <v>5065</v>
      </c>
      <c r="BM249" t="s">
        <v>5132</v>
      </c>
      <c r="BN249" t="s">
        <v>74</v>
      </c>
      <c r="BO249" t="s">
        <v>74</v>
      </c>
      <c r="BP249" t="s">
        <v>74</v>
      </c>
      <c r="BQ249" t="s">
        <v>74</v>
      </c>
      <c r="BR249" t="s">
        <v>107</v>
      </c>
      <c r="BS249" t="s">
        <v>5179</v>
      </c>
      <c r="BT249" t="str">
        <f>HYPERLINK("https%3A%2F%2Fwww.webofscience.com%2Fwos%2Fwoscc%2Ffull-record%2FWOS:000461817700010","View Full Record in Web of Science")</f>
        <v>View Full Record in Web of Science</v>
      </c>
    </row>
    <row r="250" spans="1:72" x14ac:dyDescent="0.15">
      <c r="A250" t="s">
        <v>72</v>
      </c>
      <c r="B250" t="s">
        <v>5180</v>
      </c>
      <c r="C250" t="s">
        <v>74</v>
      </c>
      <c r="D250" t="s">
        <v>74</v>
      </c>
      <c r="E250" t="s">
        <v>74</v>
      </c>
      <c r="F250" t="s">
        <v>5181</v>
      </c>
      <c r="G250" t="s">
        <v>74</v>
      </c>
      <c r="H250" t="s">
        <v>74</v>
      </c>
      <c r="I250" t="s">
        <v>5182</v>
      </c>
      <c r="J250" t="s">
        <v>5113</v>
      </c>
      <c r="K250" t="s">
        <v>74</v>
      </c>
      <c r="L250" t="s">
        <v>74</v>
      </c>
      <c r="M250" t="s">
        <v>78</v>
      </c>
      <c r="N250" t="s">
        <v>79</v>
      </c>
      <c r="O250" t="s">
        <v>74</v>
      </c>
      <c r="P250" t="s">
        <v>74</v>
      </c>
      <c r="Q250" t="s">
        <v>74</v>
      </c>
      <c r="R250" t="s">
        <v>74</v>
      </c>
      <c r="S250" t="s">
        <v>74</v>
      </c>
      <c r="T250" t="s">
        <v>5183</v>
      </c>
      <c r="U250" t="s">
        <v>5184</v>
      </c>
      <c r="V250" t="s">
        <v>5185</v>
      </c>
      <c r="W250" t="s">
        <v>5186</v>
      </c>
      <c r="X250" t="s">
        <v>5187</v>
      </c>
      <c r="Y250" t="s">
        <v>5188</v>
      </c>
      <c r="Z250" t="s">
        <v>5189</v>
      </c>
      <c r="AA250" t="s">
        <v>5190</v>
      </c>
      <c r="AB250" t="s">
        <v>5191</v>
      </c>
      <c r="AC250" t="s">
        <v>5192</v>
      </c>
      <c r="AD250" t="s">
        <v>5193</v>
      </c>
      <c r="AE250" t="s">
        <v>5194</v>
      </c>
      <c r="AF250" t="s">
        <v>74</v>
      </c>
      <c r="AG250">
        <v>52</v>
      </c>
      <c r="AH250">
        <v>1</v>
      </c>
      <c r="AI250">
        <v>1</v>
      </c>
      <c r="AJ250">
        <v>1</v>
      </c>
      <c r="AK250">
        <v>9</v>
      </c>
      <c r="AL250" t="s">
        <v>576</v>
      </c>
      <c r="AM250" t="s">
        <v>607</v>
      </c>
      <c r="AN250" t="s">
        <v>2143</v>
      </c>
      <c r="AO250" t="s">
        <v>5126</v>
      </c>
      <c r="AP250" t="s">
        <v>5127</v>
      </c>
      <c r="AQ250" t="s">
        <v>74</v>
      </c>
      <c r="AR250" t="s">
        <v>5128</v>
      </c>
      <c r="AS250" t="s">
        <v>5129</v>
      </c>
      <c r="AT250" t="s">
        <v>2547</v>
      </c>
      <c r="AU250">
        <v>2019</v>
      </c>
      <c r="AV250">
        <v>42</v>
      </c>
      <c r="AW250">
        <v>4</v>
      </c>
      <c r="AX250" t="s">
        <v>74</v>
      </c>
      <c r="AY250" t="s">
        <v>74</v>
      </c>
      <c r="AZ250" t="s">
        <v>74</v>
      </c>
      <c r="BA250" t="s">
        <v>74</v>
      </c>
      <c r="BB250">
        <v>783</v>
      </c>
      <c r="BC250">
        <v>792</v>
      </c>
      <c r="BD250" t="s">
        <v>74</v>
      </c>
      <c r="BE250" t="s">
        <v>5195</v>
      </c>
      <c r="BF250" t="str">
        <f>HYPERLINK("http://dx.doi.org/10.1007/s00300-019-02473-9","http://dx.doi.org/10.1007/s00300-019-02473-9")</f>
        <v>http://dx.doi.org/10.1007/s00300-019-02473-9</v>
      </c>
      <c r="BG250" t="s">
        <v>74</v>
      </c>
      <c r="BH250" t="s">
        <v>74</v>
      </c>
      <c r="BI250">
        <v>10</v>
      </c>
      <c r="BJ250" t="s">
        <v>5131</v>
      </c>
      <c r="BK250" t="s">
        <v>102</v>
      </c>
      <c r="BL250" t="s">
        <v>5065</v>
      </c>
      <c r="BM250" t="s">
        <v>5132</v>
      </c>
      <c r="BN250" t="s">
        <v>74</v>
      </c>
      <c r="BO250" t="s">
        <v>74</v>
      </c>
      <c r="BP250" t="s">
        <v>74</v>
      </c>
      <c r="BQ250" t="s">
        <v>74</v>
      </c>
      <c r="BR250" t="s">
        <v>107</v>
      </c>
      <c r="BS250" t="s">
        <v>5196</v>
      </c>
      <c r="BT250" t="str">
        <f>HYPERLINK("https%3A%2F%2Fwww.webofscience.com%2Fwos%2Fwoscc%2Ffull-record%2FWOS:000461817700011","View Full Record in Web of Science")</f>
        <v>View Full Record in Web of Science</v>
      </c>
    </row>
    <row r="251" spans="1:72" x14ac:dyDescent="0.15">
      <c r="A251" t="s">
        <v>72</v>
      </c>
      <c r="B251" t="s">
        <v>5197</v>
      </c>
      <c r="C251" t="s">
        <v>74</v>
      </c>
      <c r="D251" t="s">
        <v>74</v>
      </c>
      <c r="E251" t="s">
        <v>74</v>
      </c>
      <c r="F251" t="s">
        <v>5197</v>
      </c>
      <c r="G251" t="s">
        <v>74</v>
      </c>
      <c r="H251" t="s">
        <v>74</v>
      </c>
      <c r="I251" t="s">
        <v>5198</v>
      </c>
      <c r="J251" t="s">
        <v>4519</v>
      </c>
      <c r="K251" t="s">
        <v>74</v>
      </c>
      <c r="L251" t="s">
        <v>74</v>
      </c>
      <c r="M251" t="s">
        <v>78</v>
      </c>
      <c r="N251" t="s">
        <v>168</v>
      </c>
      <c r="O251" t="s">
        <v>74</v>
      </c>
      <c r="P251" t="s">
        <v>74</v>
      </c>
      <c r="Q251" t="s">
        <v>74</v>
      </c>
      <c r="R251" t="s">
        <v>74</v>
      </c>
      <c r="S251" t="s">
        <v>74</v>
      </c>
      <c r="T251" t="s">
        <v>74</v>
      </c>
      <c r="U251" t="s">
        <v>74</v>
      </c>
      <c r="V251" t="s">
        <v>74</v>
      </c>
      <c r="W251" t="s">
        <v>74</v>
      </c>
      <c r="X251" t="s">
        <v>74</v>
      </c>
      <c r="Y251" t="s">
        <v>74</v>
      </c>
      <c r="Z251" t="s">
        <v>74</v>
      </c>
      <c r="AA251" t="s">
        <v>74</v>
      </c>
      <c r="AB251" t="s">
        <v>74</v>
      </c>
      <c r="AC251" t="s">
        <v>74</v>
      </c>
      <c r="AD251" t="s">
        <v>74</v>
      </c>
      <c r="AE251" t="s">
        <v>74</v>
      </c>
      <c r="AF251" t="s">
        <v>74</v>
      </c>
      <c r="AG251">
        <v>0</v>
      </c>
      <c r="AH251">
        <v>0</v>
      </c>
      <c r="AI251">
        <v>0</v>
      </c>
      <c r="AJ251">
        <v>0</v>
      </c>
      <c r="AK251">
        <v>0</v>
      </c>
      <c r="AL251" t="s">
        <v>2960</v>
      </c>
      <c r="AM251" t="s">
        <v>607</v>
      </c>
      <c r="AN251" t="s">
        <v>4525</v>
      </c>
      <c r="AO251" t="s">
        <v>4526</v>
      </c>
      <c r="AP251" t="s">
        <v>4527</v>
      </c>
      <c r="AQ251" t="s">
        <v>74</v>
      </c>
      <c r="AR251" t="s">
        <v>4528</v>
      </c>
      <c r="AS251" t="s">
        <v>4529</v>
      </c>
      <c r="AT251" t="s">
        <v>2547</v>
      </c>
      <c r="AU251">
        <v>2019</v>
      </c>
      <c r="AV251">
        <v>31</v>
      </c>
      <c r="AW251">
        <v>2</v>
      </c>
      <c r="AX251" t="s">
        <v>74</v>
      </c>
      <c r="AY251" t="s">
        <v>74</v>
      </c>
      <c r="AZ251" t="s">
        <v>74</v>
      </c>
      <c r="BA251" t="s">
        <v>74</v>
      </c>
      <c r="BB251">
        <v>57</v>
      </c>
      <c r="BC251">
        <v>57</v>
      </c>
      <c r="BD251" t="s">
        <v>74</v>
      </c>
      <c r="BE251" t="s">
        <v>5199</v>
      </c>
      <c r="BF251" t="str">
        <f>HYPERLINK("http://dx.doi.org/10.1017/S0954102019000117","http://dx.doi.org/10.1017/S0954102019000117")</f>
        <v>http://dx.doi.org/10.1017/S0954102019000117</v>
      </c>
      <c r="BG251" t="s">
        <v>74</v>
      </c>
      <c r="BH251" t="s">
        <v>74</v>
      </c>
      <c r="BI251">
        <v>1</v>
      </c>
      <c r="BJ251" t="s">
        <v>4532</v>
      </c>
      <c r="BK251" t="s">
        <v>102</v>
      </c>
      <c r="BL251" t="s">
        <v>4533</v>
      </c>
      <c r="BM251" t="s">
        <v>4534</v>
      </c>
      <c r="BN251" t="s">
        <v>74</v>
      </c>
      <c r="BO251" t="s">
        <v>279</v>
      </c>
      <c r="BP251" t="s">
        <v>74</v>
      </c>
      <c r="BQ251" t="s">
        <v>74</v>
      </c>
      <c r="BR251" t="s">
        <v>107</v>
      </c>
      <c r="BS251" t="s">
        <v>5200</v>
      </c>
      <c r="BT251" t="str">
        <f>HYPERLINK("https%3A%2F%2Fwww.webofscience.com%2Fwos%2Fwoscc%2Ffull-record%2FWOS:000463086400001","View Full Record in Web of Science")</f>
        <v>View Full Record in Web of Science</v>
      </c>
    </row>
    <row r="252" spans="1:72" x14ac:dyDescent="0.15">
      <c r="A252" t="s">
        <v>72</v>
      </c>
      <c r="B252" t="s">
        <v>5201</v>
      </c>
      <c r="C252" t="s">
        <v>74</v>
      </c>
      <c r="D252" t="s">
        <v>74</v>
      </c>
      <c r="E252" t="s">
        <v>74</v>
      </c>
      <c r="F252" t="s">
        <v>5202</v>
      </c>
      <c r="G252" t="s">
        <v>74</v>
      </c>
      <c r="H252" t="s">
        <v>74</v>
      </c>
      <c r="I252" t="s">
        <v>5203</v>
      </c>
      <c r="J252" t="s">
        <v>5204</v>
      </c>
      <c r="K252" t="s">
        <v>74</v>
      </c>
      <c r="L252" t="s">
        <v>74</v>
      </c>
      <c r="M252" t="s">
        <v>78</v>
      </c>
      <c r="N252" t="s">
        <v>79</v>
      </c>
      <c r="O252" t="s">
        <v>74</v>
      </c>
      <c r="P252" t="s">
        <v>74</v>
      </c>
      <c r="Q252" t="s">
        <v>74</v>
      </c>
      <c r="R252" t="s">
        <v>74</v>
      </c>
      <c r="S252" t="s">
        <v>74</v>
      </c>
      <c r="T252" t="s">
        <v>5205</v>
      </c>
      <c r="U252" t="s">
        <v>5206</v>
      </c>
      <c r="V252" t="s">
        <v>5207</v>
      </c>
      <c r="W252" t="s">
        <v>5208</v>
      </c>
      <c r="X252" t="s">
        <v>5209</v>
      </c>
      <c r="Y252" t="s">
        <v>5210</v>
      </c>
      <c r="Z252" t="s">
        <v>5211</v>
      </c>
      <c r="AA252" t="s">
        <v>5212</v>
      </c>
      <c r="AB252" t="s">
        <v>5213</v>
      </c>
      <c r="AC252" t="s">
        <v>5214</v>
      </c>
      <c r="AD252" t="s">
        <v>5215</v>
      </c>
      <c r="AE252" t="s">
        <v>5216</v>
      </c>
      <c r="AF252" t="s">
        <v>74</v>
      </c>
      <c r="AG252">
        <v>28</v>
      </c>
      <c r="AH252">
        <v>5</v>
      </c>
      <c r="AI252">
        <v>5</v>
      </c>
      <c r="AJ252">
        <v>0</v>
      </c>
      <c r="AK252">
        <v>14</v>
      </c>
      <c r="AL252" t="s">
        <v>153</v>
      </c>
      <c r="AM252" t="s">
        <v>154</v>
      </c>
      <c r="AN252" t="s">
        <v>155</v>
      </c>
      <c r="AO252" t="s">
        <v>5217</v>
      </c>
      <c r="AP252" t="s">
        <v>5218</v>
      </c>
      <c r="AQ252" t="s">
        <v>74</v>
      </c>
      <c r="AR252" t="s">
        <v>5219</v>
      </c>
      <c r="AS252" t="s">
        <v>5220</v>
      </c>
      <c r="AT252" t="s">
        <v>2547</v>
      </c>
      <c r="AU252">
        <v>2019</v>
      </c>
      <c r="AV252">
        <v>25</v>
      </c>
      <c r="AW252">
        <v>2</v>
      </c>
      <c r="AX252" t="s">
        <v>74</v>
      </c>
      <c r="AY252" t="s">
        <v>74</v>
      </c>
      <c r="AZ252" t="s">
        <v>74</v>
      </c>
      <c r="BA252" t="s">
        <v>74</v>
      </c>
      <c r="BB252">
        <v>201</v>
      </c>
      <c r="BC252">
        <v>211</v>
      </c>
      <c r="BD252" t="s">
        <v>74</v>
      </c>
      <c r="BE252" t="s">
        <v>5221</v>
      </c>
      <c r="BF252" t="str">
        <f>HYPERLINK("http://dx.doi.org/10.1111/ajgw.12381","http://dx.doi.org/10.1111/ajgw.12381")</f>
        <v>http://dx.doi.org/10.1111/ajgw.12381</v>
      </c>
      <c r="BG252" t="s">
        <v>74</v>
      </c>
      <c r="BH252" t="s">
        <v>74</v>
      </c>
      <c r="BI252">
        <v>11</v>
      </c>
      <c r="BJ252" t="s">
        <v>5222</v>
      </c>
      <c r="BK252" t="s">
        <v>102</v>
      </c>
      <c r="BL252" t="s">
        <v>5223</v>
      </c>
      <c r="BM252" t="s">
        <v>5224</v>
      </c>
      <c r="BN252" t="s">
        <v>74</v>
      </c>
      <c r="BO252" t="s">
        <v>135</v>
      </c>
      <c r="BP252" t="s">
        <v>74</v>
      </c>
      <c r="BQ252" t="s">
        <v>74</v>
      </c>
      <c r="BR252" t="s">
        <v>107</v>
      </c>
      <c r="BS252" t="s">
        <v>5225</v>
      </c>
      <c r="BT252" t="str">
        <f>HYPERLINK("https%3A%2F%2Fwww.webofscience.com%2Fwos%2Fwoscc%2Ffull-record%2FWOS:000462610700007","View Full Record in Web of Science")</f>
        <v>View Full Record in Web of Science</v>
      </c>
    </row>
    <row r="253" spans="1:72" x14ac:dyDescent="0.15">
      <c r="A253" t="s">
        <v>72</v>
      </c>
      <c r="B253" t="s">
        <v>5226</v>
      </c>
      <c r="C253" t="s">
        <v>74</v>
      </c>
      <c r="D253" t="s">
        <v>74</v>
      </c>
      <c r="E253" t="s">
        <v>74</v>
      </c>
      <c r="F253" t="s">
        <v>5227</v>
      </c>
      <c r="G253" t="s">
        <v>74</v>
      </c>
      <c r="H253" t="s">
        <v>74</v>
      </c>
      <c r="I253" t="s">
        <v>5228</v>
      </c>
      <c r="J253" t="s">
        <v>4245</v>
      </c>
      <c r="K253" t="s">
        <v>74</v>
      </c>
      <c r="L253" t="s">
        <v>74</v>
      </c>
      <c r="M253" t="s">
        <v>78</v>
      </c>
      <c r="N253" t="s">
        <v>168</v>
      </c>
      <c r="O253" t="s">
        <v>74</v>
      </c>
      <c r="P253" t="s">
        <v>74</v>
      </c>
      <c r="Q253" t="s">
        <v>74</v>
      </c>
      <c r="R253" t="s">
        <v>74</v>
      </c>
      <c r="S253" t="s">
        <v>74</v>
      </c>
      <c r="T253" t="s">
        <v>74</v>
      </c>
      <c r="U253" t="s">
        <v>74</v>
      </c>
      <c r="V253" t="s">
        <v>74</v>
      </c>
      <c r="W253" t="s">
        <v>5229</v>
      </c>
      <c r="X253" t="s">
        <v>5230</v>
      </c>
      <c r="Y253" t="s">
        <v>5231</v>
      </c>
      <c r="Z253" t="s">
        <v>5232</v>
      </c>
      <c r="AA253" t="s">
        <v>5233</v>
      </c>
      <c r="AB253" t="s">
        <v>5234</v>
      </c>
      <c r="AC253" t="s">
        <v>5235</v>
      </c>
      <c r="AD253" t="s">
        <v>5236</v>
      </c>
      <c r="AE253" t="s">
        <v>5237</v>
      </c>
      <c r="AF253" t="s">
        <v>74</v>
      </c>
      <c r="AG253">
        <v>20</v>
      </c>
      <c r="AH253">
        <v>8</v>
      </c>
      <c r="AI253">
        <v>9</v>
      </c>
      <c r="AJ253">
        <v>0</v>
      </c>
      <c r="AK253">
        <v>6</v>
      </c>
      <c r="AL253" t="s">
        <v>153</v>
      </c>
      <c r="AM253" t="s">
        <v>154</v>
      </c>
      <c r="AN253" t="s">
        <v>155</v>
      </c>
      <c r="AO253" t="s">
        <v>4257</v>
      </c>
      <c r="AP253" t="s">
        <v>4258</v>
      </c>
      <c r="AQ253" t="s">
        <v>74</v>
      </c>
      <c r="AR253" t="s">
        <v>4245</v>
      </c>
      <c r="AS253" t="s">
        <v>4259</v>
      </c>
      <c r="AT253" t="s">
        <v>2547</v>
      </c>
      <c r="AU253">
        <v>2019</v>
      </c>
      <c r="AV253">
        <v>48</v>
      </c>
      <c r="AW253">
        <v>2</v>
      </c>
      <c r="AX253" t="s">
        <v>74</v>
      </c>
      <c r="AY253" t="s">
        <v>74</v>
      </c>
      <c r="AZ253" t="s">
        <v>247</v>
      </c>
      <c r="BA253" t="s">
        <v>74</v>
      </c>
      <c r="BB253">
        <v>269</v>
      </c>
      <c r="BC253">
        <v>272</v>
      </c>
      <c r="BD253" t="s">
        <v>74</v>
      </c>
      <c r="BE253" t="s">
        <v>5238</v>
      </c>
      <c r="BF253" t="str">
        <f>HYPERLINK("http://dx.doi.org/10.1111/bor.12395","http://dx.doi.org/10.1111/bor.12395")</f>
        <v>http://dx.doi.org/10.1111/bor.12395</v>
      </c>
      <c r="BG253" t="s">
        <v>74</v>
      </c>
      <c r="BH253" t="s">
        <v>74</v>
      </c>
      <c r="BI253">
        <v>4</v>
      </c>
      <c r="BJ253" t="s">
        <v>1142</v>
      </c>
      <c r="BK253" t="s">
        <v>102</v>
      </c>
      <c r="BL253" t="s">
        <v>1143</v>
      </c>
      <c r="BM253" t="s">
        <v>4261</v>
      </c>
      <c r="BN253" t="s">
        <v>74</v>
      </c>
      <c r="BO253" t="s">
        <v>74</v>
      </c>
      <c r="BP253" t="s">
        <v>74</v>
      </c>
      <c r="BQ253" t="s">
        <v>74</v>
      </c>
      <c r="BR253" t="s">
        <v>107</v>
      </c>
      <c r="BS253" t="s">
        <v>5239</v>
      </c>
      <c r="BT253" t="str">
        <f>HYPERLINK("https%3A%2F%2Fwww.webofscience.com%2Fwos%2Fwoscc%2Ffull-record%2FWOS:000463748900001","View Full Record in Web of Science")</f>
        <v>View Full Record in Web of Science</v>
      </c>
    </row>
    <row r="254" spans="1:72" x14ac:dyDescent="0.15">
      <c r="A254" t="s">
        <v>72</v>
      </c>
      <c r="B254" t="s">
        <v>5240</v>
      </c>
      <c r="C254" t="s">
        <v>74</v>
      </c>
      <c r="D254" t="s">
        <v>74</v>
      </c>
      <c r="E254" t="s">
        <v>74</v>
      </c>
      <c r="F254" t="s">
        <v>5241</v>
      </c>
      <c r="G254" t="s">
        <v>74</v>
      </c>
      <c r="H254" t="s">
        <v>74</v>
      </c>
      <c r="I254" t="s">
        <v>5242</v>
      </c>
      <c r="J254" t="s">
        <v>589</v>
      </c>
      <c r="K254" t="s">
        <v>74</v>
      </c>
      <c r="L254" t="s">
        <v>74</v>
      </c>
      <c r="M254" t="s">
        <v>78</v>
      </c>
      <c r="N254" t="s">
        <v>79</v>
      </c>
      <c r="O254" t="s">
        <v>74</v>
      </c>
      <c r="P254" t="s">
        <v>74</v>
      </c>
      <c r="Q254" t="s">
        <v>74</v>
      </c>
      <c r="R254" t="s">
        <v>74</v>
      </c>
      <c r="S254" t="s">
        <v>74</v>
      </c>
      <c r="T254" t="s">
        <v>5243</v>
      </c>
      <c r="U254" t="s">
        <v>5244</v>
      </c>
      <c r="V254" t="s">
        <v>5245</v>
      </c>
      <c r="W254" t="s">
        <v>5246</v>
      </c>
      <c r="X254" t="s">
        <v>5247</v>
      </c>
      <c r="Y254" t="s">
        <v>5248</v>
      </c>
      <c r="Z254" t="s">
        <v>5249</v>
      </c>
      <c r="AA254" t="s">
        <v>5250</v>
      </c>
      <c r="AB254" t="s">
        <v>5251</v>
      </c>
      <c r="AC254" t="s">
        <v>5252</v>
      </c>
      <c r="AD254" t="s">
        <v>5253</v>
      </c>
      <c r="AE254" t="s">
        <v>5254</v>
      </c>
      <c r="AF254" t="s">
        <v>74</v>
      </c>
      <c r="AG254">
        <v>74</v>
      </c>
      <c r="AH254">
        <v>8</v>
      </c>
      <c r="AI254">
        <v>8</v>
      </c>
      <c r="AJ254">
        <v>1</v>
      </c>
      <c r="AK254">
        <v>12</v>
      </c>
      <c r="AL254" t="s">
        <v>606</v>
      </c>
      <c r="AM254" t="s">
        <v>607</v>
      </c>
      <c r="AN254" t="s">
        <v>608</v>
      </c>
      <c r="AO254" t="s">
        <v>609</v>
      </c>
      <c r="AP254" t="s">
        <v>610</v>
      </c>
      <c r="AQ254" t="s">
        <v>74</v>
      </c>
      <c r="AR254" t="s">
        <v>611</v>
      </c>
      <c r="AS254" t="s">
        <v>612</v>
      </c>
      <c r="AT254" t="s">
        <v>2547</v>
      </c>
      <c r="AU254">
        <v>2019</v>
      </c>
      <c r="AV254">
        <v>230</v>
      </c>
      <c r="AW254" t="s">
        <v>74</v>
      </c>
      <c r="AX254" t="s">
        <v>74</v>
      </c>
      <c r="AY254" t="s">
        <v>74</v>
      </c>
      <c r="AZ254" t="s">
        <v>74</v>
      </c>
      <c r="BA254" t="s">
        <v>74</v>
      </c>
      <c r="BB254">
        <v>28</v>
      </c>
      <c r="BC254">
        <v>38</v>
      </c>
      <c r="BD254" t="s">
        <v>74</v>
      </c>
      <c r="BE254" t="s">
        <v>5255</v>
      </c>
      <c r="BF254" t="str">
        <f>HYPERLINK("http://dx.doi.org/10.1016/j.cbpa.2018.12.012","http://dx.doi.org/10.1016/j.cbpa.2018.12.012")</f>
        <v>http://dx.doi.org/10.1016/j.cbpa.2018.12.012</v>
      </c>
      <c r="BG254" t="s">
        <v>74</v>
      </c>
      <c r="BH254" t="s">
        <v>74</v>
      </c>
      <c r="BI254">
        <v>11</v>
      </c>
      <c r="BJ254" t="s">
        <v>614</v>
      </c>
      <c r="BK254" t="s">
        <v>102</v>
      </c>
      <c r="BL254" t="s">
        <v>614</v>
      </c>
      <c r="BM254" t="s">
        <v>5256</v>
      </c>
      <c r="BN254">
        <v>30594528</v>
      </c>
      <c r="BO254" t="s">
        <v>1014</v>
      </c>
      <c r="BP254" t="s">
        <v>74</v>
      </c>
      <c r="BQ254" t="s">
        <v>74</v>
      </c>
      <c r="BR254" t="s">
        <v>107</v>
      </c>
      <c r="BS254" t="s">
        <v>5257</v>
      </c>
      <c r="BT254" t="str">
        <f>HYPERLINK("https%3A%2F%2Fwww.webofscience.com%2Fwos%2Fwoscc%2Ffull-record%2FWOS:000459838400004","View Full Record in Web of Science")</f>
        <v>View Full Record in Web of Science</v>
      </c>
    </row>
    <row r="255" spans="1:72" x14ac:dyDescent="0.15">
      <c r="A255" t="s">
        <v>72</v>
      </c>
      <c r="B255" t="s">
        <v>5258</v>
      </c>
      <c r="C255" t="s">
        <v>74</v>
      </c>
      <c r="D255" t="s">
        <v>74</v>
      </c>
      <c r="E255" t="s">
        <v>74</v>
      </c>
      <c r="F255" t="s">
        <v>5259</v>
      </c>
      <c r="G255" t="s">
        <v>74</v>
      </c>
      <c r="H255" t="s">
        <v>74</v>
      </c>
      <c r="I255" t="s">
        <v>5260</v>
      </c>
      <c r="J255" t="s">
        <v>5261</v>
      </c>
      <c r="K255" t="s">
        <v>74</v>
      </c>
      <c r="L255" t="s">
        <v>74</v>
      </c>
      <c r="M255" t="s">
        <v>78</v>
      </c>
      <c r="N255" t="s">
        <v>79</v>
      </c>
      <c r="O255" t="s">
        <v>74</v>
      </c>
      <c r="P255" t="s">
        <v>74</v>
      </c>
      <c r="Q255" t="s">
        <v>74</v>
      </c>
      <c r="R255" t="s">
        <v>74</v>
      </c>
      <c r="S255" t="s">
        <v>74</v>
      </c>
      <c r="T255" t="s">
        <v>5262</v>
      </c>
      <c r="U255" t="s">
        <v>5263</v>
      </c>
      <c r="V255" t="s">
        <v>5264</v>
      </c>
      <c r="W255" t="s">
        <v>5265</v>
      </c>
      <c r="X255" t="s">
        <v>5266</v>
      </c>
      <c r="Y255" t="s">
        <v>5267</v>
      </c>
      <c r="Z255" t="s">
        <v>5268</v>
      </c>
      <c r="AA255" t="s">
        <v>5269</v>
      </c>
      <c r="AB255" t="s">
        <v>74</v>
      </c>
      <c r="AC255" t="s">
        <v>5270</v>
      </c>
      <c r="AD255" t="s">
        <v>5271</v>
      </c>
      <c r="AE255" t="s">
        <v>5272</v>
      </c>
      <c r="AF255" t="s">
        <v>74</v>
      </c>
      <c r="AG255">
        <v>37</v>
      </c>
      <c r="AH255">
        <v>8</v>
      </c>
      <c r="AI255">
        <v>10</v>
      </c>
      <c r="AJ255">
        <v>1</v>
      </c>
      <c r="AK255">
        <v>15</v>
      </c>
      <c r="AL255" t="s">
        <v>153</v>
      </c>
      <c r="AM255" t="s">
        <v>154</v>
      </c>
      <c r="AN255" t="s">
        <v>155</v>
      </c>
      <c r="AO255" t="s">
        <v>5273</v>
      </c>
      <c r="AP255" t="s">
        <v>5274</v>
      </c>
      <c r="AQ255" t="s">
        <v>74</v>
      </c>
      <c r="AR255" t="s">
        <v>5275</v>
      </c>
      <c r="AS255" t="s">
        <v>5276</v>
      </c>
      <c r="AT255" t="s">
        <v>2547</v>
      </c>
      <c r="AU255">
        <v>2019</v>
      </c>
      <c r="AV255">
        <v>121</v>
      </c>
      <c r="AW255">
        <v>4</v>
      </c>
      <c r="AX255" t="s">
        <v>74</v>
      </c>
      <c r="AY255" t="s">
        <v>74</v>
      </c>
      <c r="AZ255" t="s">
        <v>74</v>
      </c>
      <c r="BA255" t="s">
        <v>74</v>
      </c>
      <c r="BB255" t="s">
        <v>74</v>
      </c>
      <c r="BC255" t="s">
        <v>74</v>
      </c>
      <c r="BD255">
        <v>1800446</v>
      </c>
      <c r="BE255" t="s">
        <v>5277</v>
      </c>
      <c r="BF255" t="str">
        <f>HYPERLINK("http://dx.doi.org/10.1002/ejlt.201800446","http://dx.doi.org/10.1002/ejlt.201800446")</f>
        <v>http://dx.doi.org/10.1002/ejlt.201800446</v>
      </c>
      <c r="BG255" t="s">
        <v>74</v>
      </c>
      <c r="BH255" t="s">
        <v>74</v>
      </c>
      <c r="BI255">
        <v>9</v>
      </c>
      <c r="BJ255" t="s">
        <v>5278</v>
      </c>
      <c r="BK255" t="s">
        <v>102</v>
      </c>
      <c r="BL255" t="s">
        <v>5278</v>
      </c>
      <c r="BM255" t="s">
        <v>5279</v>
      </c>
      <c r="BN255" t="s">
        <v>74</v>
      </c>
      <c r="BO255" t="s">
        <v>74</v>
      </c>
      <c r="BP255" t="s">
        <v>74</v>
      </c>
      <c r="BQ255" t="s">
        <v>74</v>
      </c>
      <c r="BR255" t="s">
        <v>107</v>
      </c>
      <c r="BS255" t="s">
        <v>5280</v>
      </c>
      <c r="BT255" t="str">
        <f>HYPERLINK("https%3A%2F%2Fwww.webofscience.com%2Fwos%2Fwoscc%2Ffull-record%2FWOS:000462920600019","View Full Record in Web of Science")</f>
        <v>View Full Record in Web of Science</v>
      </c>
    </row>
    <row r="256" spans="1:72" x14ac:dyDescent="0.15">
      <c r="A256" t="s">
        <v>72</v>
      </c>
      <c r="B256" t="s">
        <v>5281</v>
      </c>
      <c r="C256" t="s">
        <v>74</v>
      </c>
      <c r="D256" t="s">
        <v>74</v>
      </c>
      <c r="E256" t="s">
        <v>74</v>
      </c>
      <c r="F256" t="s">
        <v>5282</v>
      </c>
      <c r="G256" t="s">
        <v>74</v>
      </c>
      <c r="H256" t="s">
        <v>74</v>
      </c>
      <c r="I256" t="s">
        <v>5283</v>
      </c>
      <c r="J256" t="s">
        <v>5284</v>
      </c>
      <c r="K256" t="s">
        <v>74</v>
      </c>
      <c r="L256" t="s">
        <v>74</v>
      </c>
      <c r="M256" t="s">
        <v>78</v>
      </c>
      <c r="N256" t="s">
        <v>79</v>
      </c>
      <c r="O256" t="s">
        <v>74</v>
      </c>
      <c r="P256" t="s">
        <v>74</v>
      </c>
      <c r="Q256" t="s">
        <v>74</v>
      </c>
      <c r="R256" t="s">
        <v>74</v>
      </c>
      <c r="S256" t="s">
        <v>74</v>
      </c>
      <c r="T256" t="s">
        <v>74</v>
      </c>
      <c r="U256" t="s">
        <v>5285</v>
      </c>
      <c r="V256" t="s">
        <v>5286</v>
      </c>
      <c r="W256" t="s">
        <v>5287</v>
      </c>
      <c r="X256" t="s">
        <v>5288</v>
      </c>
      <c r="Y256" t="s">
        <v>5289</v>
      </c>
      <c r="Z256" t="s">
        <v>5290</v>
      </c>
      <c r="AA256" t="s">
        <v>74</v>
      </c>
      <c r="AB256" t="s">
        <v>2881</v>
      </c>
      <c r="AC256" t="s">
        <v>5291</v>
      </c>
      <c r="AD256" t="s">
        <v>5292</v>
      </c>
      <c r="AE256" t="s">
        <v>5293</v>
      </c>
      <c r="AF256" t="s">
        <v>74</v>
      </c>
      <c r="AG256">
        <v>27</v>
      </c>
      <c r="AH256">
        <v>23</v>
      </c>
      <c r="AI256">
        <v>26</v>
      </c>
      <c r="AJ256">
        <v>2</v>
      </c>
      <c r="AK256">
        <v>25</v>
      </c>
      <c r="AL256" t="s">
        <v>4820</v>
      </c>
      <c r="AM256" t="s">
        <v>4821</v>
      </c>
      <c r="AN256" t="s">
        <v>4822</v>
      </c>
      <c r="AO256" t="s">
        <v>5294</v>
      </c>
      <c r="AP256" t="s">
        <v>5295</v>
      </c>
      <c r="AQ256" t="s">
        <v>74</v>
      </c>
      <c r="AR256" t="s">
        <v>5284</v>
      </c>
      <c r="AS256" t="s">
        <v>923</v>
      </c>
      <c r="AT256" t="s">
        <v>2547</v>
      </c>
      <c r="AU256">
        <v>2019</v>
      </c>
      <c r="AV256">
        <v>47</v>
      </c>
      <c r="AW256">
        <v>4</v>
      </c>
      <c r="AX256" t="s">
        <v>74</v>
      </c>
      <c r="AY256" t="s">
        <v>74</v>
      </c>
      <c r="AZ256" t="s">
        <v>74</v>
      </c>
      <c r="BA256" t="s">
        <v>74</v>
      </c>
      <c r="BB256">
        <v>291</v>
      </c>
      <c r="BC256">
        <v>294</v>
      </c>
      <c r="BD256" t="s">
        <v>74</v>
      </c>
      <c r="BE256" t="s">
        <v>5296</v>
      </c>
      <c r="BF256" t="str">
        <f>HYPERLINK("http://dx.doi.org/10.1130/G45413.1","http://dx.doi.org/10.1130/G45413.1")</f>
        <v>http://dx.doi.org/10.1130/G45413.1</v>
      </c>
      <c r="BG256" t="s">
        <v>74</v>
      </c>
      <c r="BH256" t="s">
        <v>74</v>
      </c>
      <c r="BI256">
        <v>4</v>
      </c>
      <c r="BJ256" t="s">
        <v>923</v>
      </c>
      <c r="BK256" t="s">
        <v>102</v>
      </c>
      <c r="BL256" t="s">
        <v>923</v>
      </c>
      <c r="BM256" t="s">
        <v>5297</v>
      </c>
      <c r="BN256" t="s">
        <v>74</v>
      </c>
      <c r="BO256" t="s">
        <v>74</v>
      </c>
      <c r="BP256" t="s">
        <v>74</v>
      </c>
      <c r="BQ256" t="s">
        <v>74</v>
      </c>
      <c r="BR256" t="s">
        <v>107</v>
      </c>
      <c r="BS256" t="s">
        <v>5298</v>
      </c>
      <c r="BT256" t="str">
        <f>HYPERLINK("https%3A%2F%2Fwww.webofscience.com%2Fwos%2Fwoscc%2Ffull-record%2FWOS:000461609100003","View Full Record in Web of Science")</f>
        <v>View Full Record in Web of Science</v>
      </c>
    </row>
    <row r="257" spans="1:72" x14ac:dyDescent="0.15">
      <c r="A257" t="s">
        <v>72</v>
      </c>
      <c r="B257" t="s">
        <v>5299</v>
      </c>
      <c r="C257" t="s">
        <v>74</v>
      </c>
      <c r="D257" t="s">
        <v>74</v>
      </c>
      <c r="E257" t="s">
        <v>74</v>
      </c>
      <c r="F257" t="s">
        <v>5300</v>
      </c>
      <c r="G257" t="s">
        <v>74</v>
      </c>
      <c r="H257" t="s">
        <v>74</v>
      </c>
      <c r="I257" t="s">
        <v>5301</v>
      </c>
      <c r="J257" t="s">
        <v>5284</v>
      </c>
      <c r="K257" t="s">
        <v>74</v>
      </c>
      <c r="L257" t="s">
        <v>74</v>
      </c>
      <c r="M257" t="s">
        <v>78</v>
      </c>
      <c r="N257" t="s">
        <v>79</v>
      </c>
      <c r="O257" t="s">
        <v>74</v>
      </c>
      <c r="P257" t="s">
        <v>74</v>
      </c>
      <c r="Q257" t="s">
        <v>74</v>
      </c>
      <c r="R257" t="s">
        <v>74</v>
      </c>
      <c r="S257" t="s">
        <v>74</v>
      </c>
      <c r="T257" t="s">
        <v>74</v>
      </c>
      <c r="U257" t="s">
        <v>5302</v>
      </c>
      <c r="V257" t="s">
        <v>5303</v>
      </c>
      <c r="W257" t="s">
        <v>5304</v>
      </c>
      <c r="X257" t="s">
        <v>5305</v>
      </c>
      <c r="Y257" t="s">
        <v>5306</v>
      </c>
      <c r="Z257" t="s">
        <v>5307</v>
      </c>
      <c r="AA257" t="s">
        <v>74</v>
      </c>
      <c r="AB257" t="s">
        <v>5308</v>
      </c>
      <c r="AC257" t="s">
        <v>5309</v>
      </c>
      <c r="AD257" t="s">
        <v>5310</v>
      </c>
      <c r="AE257" t="s">
        <v>5311</v>
      </c>
      <c r="AF257" t="s">
        <v>74</v>
      </c>
      <c r="AG257">
        <v>33</v>
      </c>
      <c r="AH257">
        <v>12</v>
      </c>
      <c r="AI257">
        <v>14</v>
      </c>
      <c r="AJ257">
        <v>1</v>
      </c>
      <c r="AK257">
        <v>23</v>
      </c>
      <c r="AL257" t="s">
        <v>4820</v>
      </c>
      <c r="AM257" t="s">
        <v>4821</v>
      </c>
      <c r="AN257" t="s">
        <v>4822</v>
      </c>
      <c r="AO257" t="s">
        <v>5294</v>
      </c>
      <c r="AP257" t="s">
        <v>5295</v>
      </c>
      <c r="AQ257" t="s">
        <v>74</v>
      </c>
      <c r="AR257" t="s">
        <v>5284</v>
      </c>
      <c r="AS257" t="s">
        <v>923</v>
      </c>
      <c r="AT257" t="s">
        <v>2547</v>
      </c>
      <c r="AU257">
        <v>2019</v>
      </c>
      <c r="AV257">
        <v>47</v>
      </c>
      <c r="AW257">
        <v>4</v>
      </c>
      <c r="AX257" t="s">
        <v>74</v>
      </c>
      <c r="AY257" t="s">
        <v>74</v>
      </c>
      <c r="AZ257" t="s">
        <v>74</v>
      </c>
      <c r="BA257" t="s">
        <v>74</v>
      </c>
      <c r="BB257">
        <v>299</v>
      </c>
      <c r="BC257">
        <v>302</v>
      </c>
      <c r="BD257" t="s">
        <v>74</v>
      </c>
      <c r="BE257" t="s">
        <v>5312</v>
      </c>
      <c r="BF257" t="str">
        <f>HYPERLINK("http://dx.doi.org/10.1130/G45543.1","http://dx.doi.org/10.1130/G45543.1")</f>
        <v>http://dx.doi.org/10.1130/G45543.1</v>
      </c>
      <c r="BG257" t="s">
        <v>74</v>
      </c>
      <c r="BH257" t="s">
        <v>74</v>
      </c>
      <c r="BI257">
        <v>4</v>
      </c>
      <c r="BJ257" t="s">
        <v>923</v>
      </c>
      <c r="BK257" t="s">
        <v>102</v>
      </c>
      <c r="BL257" t="s">
        <v>923</v>
      </c>
      <c r="BM257" t="s">
        <v>5297</v>
      </c>
      <c r="BN257" t="s">
        <v>74</v>
      </c>
      <c r="BO257" t="s">
        <v>74</v>
      </c>
      <c r="BP257" t="s">
        <v>74</v>
      </c>
      <c r="BQ257" t="s">
        <v>74</v>
      </c>
      <c r="BR257" t="s">
        <v>107</v>
      </c>
      <c r="BS257" t="s">
        <v>5313</v>
      </c>
      <c r="BT257" t="str">
        <f>HYPERLINK("https%3A%2F%2Fwww.webofscience.com%2Fwos%2Fwoscc%2Ffull-record%2FWOS:000461609100005","View Full Record in Web of Science")</f>
        <v>View Full Record in Web of Science</v>
      </c>
    </row>
    <row r="258" spans="1:72" x14ac:dyDescent="0.15">
      <c r="A258" t="s">
        <v>72</v>
      </c>
      <c r="B258" t="s">
        <v>5314</v>
      </c>
      <c r="C258" t="s">
        <v>74</v>
      </c>
      <c r="D258" t="s">
        <v>74</v>
      </c>
      <c r="E258" t="s">
        <v>74</v>
      </c>
      <c r="F258" t="s">
        <v>5315</v>
      </c>
      <c r="G258" t="s">
        <v>74</v>
      </c>
      <c r="H258" t="s">
        <v>74</v>
      </c>
      <c r="I258" t="s">
        <v>5316</v>
      </c>
      <c r="J258" t="s">
        <v>5317</v>
      </c>
      <c r="K258" t="s">
        <v>74</v>
      </c>
      <c r="L258" t="s">
        <v>74</v>
      </c>
      <c r="M258" t="s">
        <v>78</v>
      </c>
      <c r="N258" t="s">
        <v>79</v>
      </c>
      <c r="O258" t="s">
        <v>74</v>
      </c>
      <c r="P258" t="s">
        <v>74</v>
      </c>
      <c r="Q258" t="s">
        <v>74</v>
      </c>
      <c r="R258" t="s">
        <v>74</v>
      </c>
      <c r="S258" t="s">
        <v>74</v>
      </c>
      <c r="T258" t="s">
        <v>5318</v>
      </c>
      <c r="U258" t="s">
        <v>5319</v>
      </c>
      <c r="V258" t="s">
        <v>5320</v>
      </c>
      <c r="W258" t="s">
        <v>5321</v>
      </c>
      <c r="X258" t="s">
        <v>5322</v>
      </c>
      <c r="Y258" t="s">
        <v>5323</v>
      </c>
      <c r="Z258" t="s">
        <v>5324</v>
      </c>
      <c r="AA258" t="s">
        <v>5325</v>
      </c>
      <c r="AB258" t="s">
        <v>5326</v>
      </c>
      <c r="AC258" t="s">
        <v>5327</v>
      </c>
      <c r="AD258" t="s">
        <v>5328</v>
      </c>
      <c r="AE258" t="s">
        <v>5329</v>
      </c>
      <c r="AF258" t="s">
        <v>74</v>
      </c>
      <c r="AG258">
        <v>84</v>
      </c>
      <c r="AH258">
        <v>33</v>
      </c>
      <c r="AI258">
        <v>36</v>
      </c>
      <c r="AJ258">
        <v>4</v>
      </c>
      <c r="AK258">
        <v>47</v>
      </c>
      <c r="AL258" t="s">
        <v>92</v>
      </c>
      <c r="AM258" t="s">
        <v>93</v>
      </c>
      <c r="AN258" t="s">
        <v>94</v>
      </c>
      <c r="AO258" t="s">
        <v>5330</v>
      </c>
      <c r="AP258" t="s">
        <v>74</v>
      </c>
      <c r="AQ258" t="s">
        <v>74</v>
      </c>
      <c r="AR258" t="s">
        <v>5317</v>
      </c>
      <c r="AS258" t="s">
        <v>5331</v>
      </c>
      <c r="AT258" t="s">
        <v>2547</v>
      </c>
      <c r="AU258">
        <v>2019</v>
      </c>
      <c r="AV258">
        <v>8</v>
      </c>
      <c r="AW258">
        <v>4</v>
      </c>
      <c r="AX258" t="s">
        <v>74</v>
      </c>
      <c r="AY258" t="s">
        <v>74</v>
      </c>
      <c r="AZ258" t="s">
        <v>74</v>
      </c>
      <c r="BA258" t="s">
        <v>74</v>
      </c>
      <c r="BB258" t="s">
        <v>74</v>
      </c>
      <c r="BC258" t="s">
        <v>74</v>
      </c>
      <c r="BD258" t="s">
        <v>5332</v>
      </c>
      <c r="BE258" t="s">
        <v>5333</v>
      </c>
      <c r="BF258" t="str">
        <f>HYPERLINK("http://dx.doi.org/10.1093/gigascience/giz016","http://dx.doi.org/10.1093/gigascience/giz016")</f>
        <v>http://dx.doi.org/10.1093/gigascience/giz016</v>
      </c>
      <c r="BG258" t="s">
        <v>74</v>
      </c>
      <c r="BH258" t="s">
        <v>74</v>
      </c>
      <c r="BI258">
        <v>16</v>
      </c>
      <c r="BJ258" t="s">
        <v>5334</v>
      </c>
      <c r="BK258" t="s">
        <v>102</v>
      </c>
      <c r="BL258" t="s">
        <v>5335</v>
      </c>
      <c r="BM258" t="s">
        <v>5336</v>
      </c>
      <c r="BN258">
        <v>30715292</v>
      </c>
      <c r="BO258" t="s">
        <v>1601</v>
      </c>
      <c r="BP258" t="s">
        <v>74</v>
      </c>
      <c r="BQ258" t="s">
        <v>74</v>
      </c>
      <c r="BR258" t="s">
        <v>107</v>
      </c>
      <c r="BS258" t="s">
        <v>5337</v>
      </c>
      <c r="BT258" t="str">
        <f>HYPERLINK("https%3A%2F%2Fwww.webofscience.com%2Fwos%2Fwoscc%2Ffull-record%2FWOS:000474855400015","View Full Record in Web of Science")</f>
        <v>View Full Record in Web of Science</v>
      </c>
    </row>
    <row r="259" spans="1:72" x14ac:dyDescent="0.15">
      <c r="A259" t="s">
        <v>72</v>
      </c>
      <c r="B259" t="s">
        <v>5338</v>
      </c>
      <c r="C259" t="s">
        <v>74</v>
      </c>
      <c r="D259" t="s">
        <v>74</v>
      </c>
      <c r="E259" t="s">
        <v>74</v>
      </c>
      <c r="F259" t="s">
        <v>5339</v>
      </c>
      <c r="G259" t="s">
        <v>74</v>
      </c>
      <c r="H259" t="s">
        <v>74</v>
      </c>
      <c r="I259" t="s">
        <v>5340</v>
      </c>
      <c r="J259" t="s">
        <v>5047</v>
      </c>
      <c r="K259" t="s">
        <v>74</v>
      </c>
      <c r="L259" t="s">
        <v>74</v>
      </c>
      <c r="M259" t="s">
        <v>78</v>
      </c>
      <c r="N259" t="s">
        <v>79</v>
      </c>
      <c r="O259" t="s">
        <v>74</v>
      </c>
      <c r="P259" t="s">
        <v>74</v>
      </c>
      <c r="Q259" t="s">
        <v>74</v>
      </c>
      <c r="R259" t="s">
        <v>74</v>
      </c>
      <c r="S259" t="s">
        <v>74</v>
      </c>
      <c r="T259" t="s">
        <v>5341</v>
      </c>
      <c r="U259" t="s">
        <v>5342</v>
      </c>
      <c r="V259" t="s">
        <v>5343</v>
      </c>
      <c r="W259" t="s">
        <v>5344</v>
      </c>
      <c r="X259" t="s">
        <v>5345</v>
      </c>
      <c r="Y259" t="s">
        <v>5346</v>
      </c>
      <c r="Z259" t="s">
        <v>5347</v>
      </c>
      <c r="AA259" t="s">
        <v>5348</v>
      </c>
      <c r="AB259" t="s">
        <v>5349</v>
      </c>
      <c r="AC259" t="s">
        <v>5350</v>
      </c>
      <c r="AD259" t="s">
        <v>5351</v>
      </c>
      <c r="AE259" t="s">
        <v>5352</v>
      </c>
      <c r="AF259" t="s">
        <v>74</v>
      </c>
      <c r="AG259">
        <v>116</v>
      </c>
      <c r="AH259">
        <v>98</v>
      </c>
      <c r="AI259">
        <v>106</v>
      </c>
      <c r="AJ259">
        <v>15</v>
      </c>
      <c r="AK259">
        <v>195</v>
      </c>
      <c r="AL259" t="s">
        <v>153</v>
      </c>
      <c r="AM259" t="s">
        <v>154</v>
      </c>
      <c r="AN259" t="s">
        <v>155</v>
      </c>
      <c r="AO259" t="s">
        <v>5059</v>
      </c>
      <c r="AP259" t="s">
        <v>5060</v>
      </c>
      <c r="AQ259" t="s">
        <v>74</v>
      </c>
      <c r="AR259" t="s">
        <v>5061</v>
      </c>
      <c r="AS259" t="s">
        <v>5062</v>
      </c>
      <c r="AT259" t="s">
        <v>2547</v>
      </c>
      <c r="AU259">
        <v>2019</v>
      </c>
      <c r="AV259">
        <v>25</v>
      </c>
      <c r="AW259">
        <v>4</v>
      </c>
      <c r="AX259" t="s">
        <v>74</v>
      </c>
      <c r="AY259" t="s">
        <v>74</v>
      </c>
      <c r="AZ259" t="s">
        <v>74</v>
      </c>
      <c r="BA259" t="s">
        <v>74</v>
      </c>
      <c r="BB259">
        <v>1263</v>
      </c>
      <c r="BC259">
        <v>1281</v>
      </c>
      <c r="BD259" t="s">
        <v>74</v>
      </c>
      <c r="BE259" t="s">
        <v>5353</v>
      </c>
      <c r="BF259" t="str">
        <f>HYPERLINK("http://dx.doi.org/10.1111/gcb.14573","http://dx.doi.org/10.1111/gcb.14573")</f>
        <v>http://dx.doi.org/10.1111/gcb.14573</v>
      </c>
      <c r="BG259" t="s">
        <v>74</v>
      </c>
      <c r="BH259" t="s">
        <v>74</v>
      </c>
      <c r="BI259">
        <v>19</v>
      </c>
      <c r="BJ259" t="s">
        <v>5064</v>
      </c>
      <c r="BK259" t="s">
        <v>102</v>
      </c>
      <c r="BL259" t="s">
        <v>5065</v>
      </c>
      <c r="BM259" t="s">
        <v>5066</v>
      </c>
      <c r="BN259">
        <v>30807685</v>
      </c>
      <c r="BO259" t="s">
        <v>2808</v>
      </c>
      <c r="BP259" t="s">
        <v>74</v>
      </c>
      <c r="BQ259" t="s">
        <v>74</v>
      </c>
      <c r="BR259" t="s">
        <v>107</v>
      </c>
      <c r="BS259" t="s">
        <v>5354</v>
      </c>
      <c r="BT259" t="str">
        <f>HYPERLINK("https%3A%2F%2Fwww.webofscience.com%2Fwos%2Fwoscc%2Ffull-record%2FWOS:000461817500008","View Full Record in Web of Science")</f>
        <v>View Full Record in Web of Science</v>
      </c>
    </row>
    <row r="260" spans="1:72" x14ac:dyDescent="0.15">
      <c r="A260" t="s">
        <v>72</v>
      </c>
      <c r="B260" t="s">
        <v>5355</v>
      </c>
      <c r="C260" t="s">
        <v>74</v>
      </c>
      <c r="D260" t="s">
        <v>74</v>
      </c>
      <c r="E260" t="s">
        <v>74</v>
      </c>
      <c r="F260" t="s">
        <v>5356</v>
      </c>
      <c r="G260" t="s">
        <v>74</v>
      </c>
      <c r="H260" t="s">
        <v>74</v>
      </c>
      <c r="I260" t="s">
        <v>5357</v>
      </c>
      <c r="J260" t="s">
        <v>5358</v>
      </c>
      <c r="K260" t="s">
        <v>74</v>
      </c>
      <c r="L260" t="s">
        <v>74</v>
      </c>
      <c r="M260" t="s">
        <v>78</v>
      </c>
      <c r="N260" t="s">
        <v>79</v>
      </c>
      <c r="O260" t="s">
        <v>74</v>
      </c>
      <c r="P260" t="s">
        <v>74</v>
      </c>
      <c r="Q260" t="s">
        <v>74</v>
      </c>
      <c r="R260" t="s">
        <v>74</v>
      </c>
      <c r="S260" t="s">
        <v>74</v>
      </c>
      <c r="T260" t="s">
        <v>5359</v>
      </c>
      <c r="U260" t="s">
        <v>5360</v>
      </c>
      <c r="V260" t="s">
        <v>5361</v>
      </c>
      <c r="W260" t="s">
        <v>5362</v>
      </c>
      <c r="X260" t="s">
        <v>5363</v>
      </c>
      <c r="Y260" t="s">
        <v>5364</v>
      </c>
      <c r="Z260" t="s">
        <v>5365</v>
      </c>
      <c r="AA260" t="s">
        <v>5366</v>
      </c>
      <c r="AB260" t="s">
        <v>5367</v>
      </c>
      <c r="AC260" t="s">
        <v>5368</v>
      </c>
      <c r="AD260" t="s">
        <v>5369</v>
      </c>
      <c r="AE260" t="s">
        <v>5370</v>
      </c>
      <c r="AF260" t="s">
        <v>74</v>
      </c>
      <c r="AG260">
        <v>57</v>
      </c>
      <c r="AH260">
        <v>40</v>
      </c>
      <c r="AI260">
        <v>40</v>
      </c>
      <c r="AJ260">
        <v>4</v>
      </c>
      <c r="AK260">
        <v>67</v>
      </c>
      <c r="AL260" t="s">
        <v>153</v>
      </c>
      <c r="AM260" t="s">
        <v>154</v>
      </c>
      <c r="AN260" t="s">
        <v>155</v>
      </c>
      <c r="AO260" t="s">
        <v>5371</v>
      </c>
      <c r="AP260" t="s">
        <v>5372</v>
      </c>
      <c r="AQ260" t="s">
        <v>74</v>
      </c>
      <c r="AR260" t="s">
        <v>5373</v>
      </c>
      <c r="AS260" t="s">
        <v>5374</v>
      </c>
      <c r="AT260" t="s">
        <v>2547</v>
      </c>
      <c r="AU260">
        <v>2019</v>
      </c>
      <c r="AV260">
        <v>28</v>
      </c>
      <c r="AW260">
        <v>4</v>
      </c>
      <c r="AX260" t="s">
        <v>74</v>
      </c>
      <c r="AY260" t="s">
        <v>74</v>
      </c>
      <c r="AZ260" t="s">
        <v>74</v>
      </c>
      <c r="BA260" t="s">
        <v>74</v>
      </c>
      <c r="BB260">
        <v>418</v>
      </c>
      <c r="BC260">
        <v>428</v>
      </c>
      <c r="BD260" t="s">
        <v>74</v>
      </c>
      <c r="BE260" t="s">
        <v>5375</v>
      </c>
      <c r="BF260" t="str">
        <f>HYPERLINK("http://dx.doi.org/10.1111/geb.12853","http://dx.doi.org/10.1111/geb.12853")</f>
        <v>http://dx.doi.org/10.1111/geb.12853</v>
      </c>
      <c r="BG260" t="s">
        <v>74</v>
      </c>
      <c r="BH260" t="s">
        <v>74</v>
      </c>
      <c r="BI260">
        <v>11</v>
      </c>
      <c r="BJ260" t="s">
        <v>4691</v>
      </c>
      <c r="BK260" t="s">
        <v>102</v>
      </c>
      <c r="BL260" t="s">
        <v>4692</v>
      </c>
      <c r="BM260" t="s">
        <v>5376</v>
      </c>
      <c r="BN260" t="s">
        <v>74</v>
      </c>
      <c r="BO260" t="s">
        <v>5377</v>
      </c>
      <c r="BP260" t="s">
        <v>74</v>
      </c>
      <c r="BQ260" t="s">
        <v>74</v>
      </c>
      <c r="BR260" t="s">
        <v>107</v>
      </c>
      <c r="BS260" t="s">
        <v>5378</v>
      </c>
      <c r="BT260" t="str">
        <f>HYPERLINK("https%3A%2F%2Fwww.webofscience.com%2Fwos%2Fwoscc%2Ffull-record%2FWOS:000460419900001","View Full Record in Web of Science")</f>
        <v>View Full Record in Web of Science</v>
      </c>
    </row>
    <row r="261" spans="1:72" x14ac:dyDescent="0.15">
      <c r="A261" t="s">
        <v>72</v>
      </c>
      <c r="B261" t="s">
        <v>5379</v>
      </c>
      <c r="C261" t="s">
        <v>74</v>
      </c>
      <c r="D261" t="s">
        <v>74</v>
      </c>
      <c r="E261" t="s">
        <v>74</v>
      </c>
      <c r="F261" t="s">
        <v>5380</v>
      </c>
      <c r="G261" t="s">
        <v>74</v>
      </c>
      <c r="H261" t="s">
        <v>74</v>
      </c>
      <c r="I261" t="s">
        <v>5381</v>
      </c>
      <c r="J261" t="s">
        <v>5382</v>
      </c>
      <c r="K261" t="s">
        <v>74</v>
      </c>
      <c r="L261" t="s">
        <v>74</v>
      </c>
      <c r="M261" t="s">
        <v>78</v>
      </c>
      <c r="N261" t="s">
        <v>79</v>
      </c>
      <c r="O261" t="s">
        <v>74</v>
      </c>
      <c r="P261" t="s">
        <v>74</v>
      </c>
      <c r="Q261" t="s">
        <v>74</v>
      </c>
      <c r="R261" t="s">
        <v>74</v>
      </c>
      <c r="S261" t="s">
        <v>74</v>
      </c>
      <c r="T261" t="s">
        <v>5383</v>
      </c>
      <c r="U261" t="s">
        <v>5384</v>
      </c>
      <c r="V261" t="s">
        <v>5385</v>
      </c>
      <c r="W261" t="s">
        <v>5386</v>
      </c>
      <c r="X261" t="s">
        <v>5387</v>
      </c>
      <c r="Y261" t="s">
        <v>5388</v>
      </c>
      <c r="Z261" t="s">
        <v>5389</v>
      </c>
      <c r="AA261" t="s">
        <v>5390</v>
      </c>
      <c r="AB261" t="s">
        <v>5391</v>
      </c>
      <c r="AC261" t="s">
        <v>5392</v>
      </c>
      <c r="AD261" t="s">
        <v>5393</v>
      </c>
      <c r="AE261" t="s">
        <v>5394</v>
      </c>
      <c r="AF261" t="s">
        <v>74</v>
      </c>
      <c r="AG261">
        <v>50</v>
      </c>
      <c r="AH261">
        <v>5</v>
      </c>
      <c r="AI261">
        <v>5</v>
      </c>
      <c r="AJ261">
        <v>0</v>
      </c>
      <c r="AK261">
        <v>4</v>
      </c>
      <c r="AL261" t="s">
        <v>550</v>
      </c>
      <c r="AM261" t="s">
        <v>551</v>
      </c>
      <c r="AN261" t="s">
        <v>552</v>
      </c>
      <c r="AO261" t="s">
        <v>5395</v>
      </c>
      <c r="AP261" t="s">
        <v>5396</v>
      </c>
      <c r="AQ261" t="s">
        <v>74</v>
      </c>
      <c r="AR261" t="s">
        <v>5397</v>
      </c>
      <c r="AS261" t="s">
        <v>5398</v>
      </c>
      <c r="AT261" t="s">
        <v>2547</v>
      </c>
      <c r="AU261">
        <v>2019</v>
      </c>
      <c r="AV261">
        <v>49</v>
      </c>
      <c r="AW261">
        <v>2</v>
      </c>
      <c r="AX261" t="s">
        <v>74</v>
      </c>
      <c r="AY261" t="s">
        <v>74</v>
      </c>
      <c r="AZ261" t="s">
        <v>74</v>
      </c>
      <c r="BA261" t="s">
        <v>74</v>
      </c>
      <c r="BB261">
        <v>863</v>
      </c>
      <c r="BC261">
        <v>885</v>
      </c>
      <c r="BD261" t="s">
        <v>74</v>
      </c>
      <c r="BE261" t="s">
        <v>5399</v>
      </c>
      <c r="BF261" t="str">
        <f>HYPERLINK("http://dx.doi.org/10.1007/s12526-018-0865-x","http://dx.doi.org/10.1007/s12526-018-0865-x")</f>
        <v>http://dx.doi.org/10.1007/s12526-018-0865-x</v>
      </c>
      <c r="BG261" t="s">
        <v>74</v>
      </c>
      <c r="BH261" t="s">
        <v>74</v>
      </c>
      <c r="BI261">
        <v>23</v>
      </c>
      <c r="BJ261" t="s">
        <v>5400</v>
      </c>
      <c r="BK261" t="s">
        <v>102</v>
      </c>
      <c r="BL261" t="s">
        <v>5401</v>
      </c>
      <c r="BM261" t="s">
        <v>5402</v>
      </c>
      <c r="BN261" t="s">
        <v>74</v>
      </c>
      <c r="BO261" t="s">
        <v>74</v>
      </c>
      <c r="BP261" t="s">
        <v>74</v>
      </c>
      <c r="BQ261" t="s">
        <v>74</v>
      </c>
      <c r="BR261" t="s">
        <v>107</v>
      </c>
      <c r="BS261" t="s">
        <v>5403</v>
      </c>
      <c r="BT261" t="str">
        <f>HYPERLINK("https%3A%2F%2Fwww.webofscience.com%2Fwos%2Fwoscc%2Ffull-record%2FWOS:000463684600024","View Full Record in Web of Science")</f>
        <v>View Full Record in Web of Science</v>
      </c>
    </row>
    <row r="262" spans="1:72" x14ac:dyDescent="0.15">
      <c r="A262" t="s">
        <v>72</v>
      </c>
      <c r="B262" t="s">
        <v>5404</v>
      </c>
      <c r="C262" t="s">
        <v>74</v>
      </c>
      <c r="D262" t="s">
        <v>74</v>
      </c>
      <c r="E262" t="s">
        <v>74</v>
      </c>
      <c r="F262" t="s">
        <v>5405</v>
      </c>
      <c r="G262" t="s">
        <v>74</v>
      </c>
      <c r="H262" t="s">
        <v>74</v>
      </c>
      <c r="I262" t="s">
        <v>5406</v>
      </c>
      <c r="J262" t="s">
        <v>3263</v>
      </c>
      <c r="K262" t="s">
        <v>74</v>
      </c>
      <c r="L262" t="s">
        <v>74</v>
      </c>
      <c r="M262" t="s">
        <v>78</v>
      </c>
      <c r="N262" t="s">
        <v>79</v>
      </c>
      <c r="O262" t="s">
        <v>74</v>
      </c>
      <c r="P262" t="s">
        <v>74</v>
      </c>
      <c r="Q262" t="s">
        <v>74</v>
      </c>
      <c r="R262" t="s">
        <v>74</v>
      </c>
      <c r="S262" t="s">
        <v>74</v>
      </c>
      <c r="T262" t="s">
        <v>5407</v>
      </c>
      <c r="U262" t="s">
        <v>5408</v>
      </c>
      <c r="V262" t="s">
        <v>5409</v>
      </c>
      <c r="W262" t="s">
        <v>5410</v>
      </c>
      <c r="X262" t="s">
        <v>5411</v>
      </c>
      <c r="Y262" t="s">
        <v>5412</v>
      </c>
      <c r="Z262" t="s">
        <v>5413</v>
      </c>
      <c r="AA262" t="s">
        <v>5414</v>
      </c>
      <c r="AB262" t="s">
        <v>5415</v>
      </c>
      <c r="AC262" t="s">
        <v>5416</v>
      </c>
      <c r="AD262" t="s">
        <v>5417</v>
      </c>
      <c r="AE262" t="s">
        <v>5418</v>
      </c>
      <c r="AF262" t="s">
        <v>74</v>
      </c>
      <c r="AG262">
        <v>83</v>
      </c>
      <c r="AH262">
        <v>54</v>
      </c>
      <c r="AI262">
        <v>59</v>
      </c>
      <c r="AJ262">
        <v>2</v>
      </c>
      <c r="AK262">
        <v>13</v>
      </c>
      <c r="AL262" t="s">
        <v>153</v>
      </c>
      <c r="AM262" t="s">
        <v>154</v>
      </c>
      <c r="AN262" t="s">
        <v>155</v>
      </c>
      <c r="AO262" t="s">
        <v>3274</v>
      </c>
      <c r="AP262" t="s">
        <v>3275</v>
      </c>
      <c r="AQ262" t="s">
        <v>74</v>
      </c>
      <c r="AR262" t="s">
        <v>3276</v>
      </c>
      <c r="AS262" t="s">
        <v>3277</v>
      </c>
      <c r="AT262" t="s">
        <v>2547</v>
      </c>
      <c r="AU262">
        <v>2019</v>
      </c>
      <c r="AV262">
        <v>35</v>
      </c>
      <c r="AW262">
        <v>2</v>
      </c>
      <c r="AX262" t="s">
        <v>74</v>
      </c>
      <c r="AY262" t="s">
        <v>74</v>
      </c>
      <c r="AZ262" t="s">
        <v>74</v>
      </c>
      <c r="BA262" t="s">
        <v>74</v>
      </c>
      <c r="BB262">
        <v>466</v>
      </c>
      <c r="BC262">
        <v>491</v>
      </c>
      <c r="BD262" t="s">
        <v>74</v>
      </c>
      <c r="BE262" t="s">
        <v>5419</v>
      </c>
      <c r="BF262" t="str">
        <f>HYPERLINK("http://dx.doi.org/10.1111/mms.12544","http://dx.doi.org/10.1111/mms.12544")</f>
        <v>http://dx.doi.org/10.1111/mms.12544</v>
      </c>
      <c r="BG262" t="s">
        <v>74</v>
      </c>
      <c r="BH262" t="s">
        <v>74</v>
      </c>
      <c r="BI262">
        <v>26</v>
      </c>
      <c r="BJ262" t="s">
        <v>184</v>
      </c>
      <c r="BK262" t="s">
        <v>102</v>
      </c>
      <c r="BL262" t="s">
        <v>184</v>
      </c>
      <c r="BM262" t="s">
        <v>3279</v>
      </c>
      <c r="BN262" t="s">
        <v>74</v>
      </c>
      <c r="BO262" t="s">
        <v>5420</v>
      </c>
      <c r="BP262" t="s">
        <v>74</v>
      </c>
      <c r="BQ262" t="s">
        <v>74</v>
      </c>
      <c r="BR262" t="s">
        <v>107</v>
      </c>
      <c r="BS262" t="s">
        <v>5421</v>
      </c>
      <c r="BT262" t="str">
        <f>HYPERLINK("https%3A%2F%2Fwww.webofscience.com%2Fwos%2Fwoscc%2Ffull-record%2FWOS:000468040700005","View Full Record in Web of Science")</f>
        <v>View Full Record in Web of Science</v>
      </c>
    </row>
    <row r="263" spans="1:72" x14ac:dyDescent="0.15">
      <c r="A263" t="s">
        <v>72</v>
      </c>
      <c r="B263" t="s">
        <v>5422</v>
      </c>
      <c r="C263" t="s">
        <v>74</v>
      </c>
      <c r="D263" t="s">
        <v>74</v>
      </c>
      <c r="E263" t="s">
        <v>74</v>
      </c>
      <c r="F263" t="s">
        <v>5423</v>
      </c>
      <c r="G263" t="s">
        <v>74</v>
      </c>
      <c r="H263" t="s">
        <v>74</v>
      </c>
      <c r="I263" t="s">
        <v>5424</v>
      </c>
      <c r="J263" t="s">
        <v>5425</v>
      </c>
      <c r="K263" t="s">
        <v>74</v>
      </c>
      <c r="L263" t="s">
        <v>74</v>
      </c>
      <c r="M263" t="s">
        <v>78</v>
      </c>
      <c r="N263" t="s">
        <v>168</v>
      </c>
      <c r="O263" t="s">
        <v>74</v>
      </c>
      <c r="P263" t="s">
        <v>74</v>
      </c>
      <c r="Q263" t="s">
        <v>74</v>
      </c>
      <c r="R263" t="s">
        <v>74</v>
      </c>
      <c r="S263" t="s">
        <v>74</v>
      </c>
      <c r="T263" t="s">
        <v>5426</v>
      </c>
      <c r="U263" t="s">
        <v>5427</v>
      </c>
      <c r="V263" t="s">
        <v>74</v>
      </c>
      <c r="W263" t="s">
        <v>5428</v>
      </c>
      <c r="X263" t="s">
        <v>5429</v>
      </c>
      <c r="Y263" t="s">
        <v>5430</v>
      </c>
      <c r="Z263" t="s">
        <v>5431</v>
      </c>
      <c r="AA263" t="s">
        <v>5432</v>
      </c>
      <c r="AB263" t="s">
        <v>5433</v>
      </c>
      <c r="AC263" t="s">
        <v>5434</v>
      </c>
      <c r="AD263" t="s">
        <v>3239</v>
      </c>
      <c r="AE263" t="s">
        <v>74</v>
      </c>
      <c r="AF263" t="s">
        <v>74</v>
      </c>
      <c r="AG263">
        <v>38</v>
      </c>
      <c r="AH263">
        <v>211</v>
      </c>
      <c r="AI263">
        <v>233</v>
      </c>
      <c r="AJ263">
        <v>10</v>
      </c>
      <c r="AK263">
        <v>86</v>
      </c>
      <c r="AL263" t="s">
        <v>153</v>
      </c>
      <c r="AM263" t="s">
        <v>154</v>
      </c>
      <c r="AN263" t="s">
        <v>155</v>
      </c>
      <c r="AO263" t="s">
        <v>5435</v>
      </c>
      <c r="AP263" t="s">
        <v>5436</v>
      </c>
      <c r="AQ263" t="s">
        <v>74</v>
      </c>
      <c r="AR263" t="s">
        <v>5437</v>
      </c>
      <c r="AS263" t="s">
        <v>5438</v>
      </c>
      <c r="AT263" t="s">
        <v>2547</v>
      </c>
      <c r="AU263">
        <v>2019</v>
      </c>
      <c r="AV263">
        <v>28</v>
      </c>
      <c r="AW263">
        <v>8</v>
      </c>
      <c r="AX263" t="s">
        <v>74</v>
      </c>
      <c r="AY263" t="s">
        <v>74</v>
      </c>
      <c r="AZ263" t="s">
        <v>74</v>
      </c>
      <c r="BA263" t="s">
        <v>74</v>
      </c>
      <c r="BB263">
        <v>1857</v>
      </c>
      <c r="BC263">
        <v>1862</v>
      </c>
      <c r="BD263" t="s">
        <v>74</v>
      </c>
      <c r="BE263" t="s">
        <v>5439</v>
      </c>
      <c r="BF263" t="str">
        <f>HYPERLINK("http://dx.doi.org/10.1111/mec.15060","http://dx.doi.org/10.1111/mec.15060")</f>
        <v>http://dx.doi.org/10.1111/mec.15060</v>
      </c>
      <c r="BG263" t="s">
        <v>74</v>
      </c>
      <c r="BH263" t="s">
        <v>74</v>
      </c>
      <c r="BI263">
        <v>6</v>
      </c>
      <c r="BJ263" t="s">
        <v>5440</v>
      </c>
      <c r="BK263" t="s">
        <v>102</v>
      </c>
      <c r="BL263" t="s">
        <v>5441</v>
      </c>
      <c r="BM263" t="s">
        <v>5442</v>
      </c>
      <c r="BN263">
        <v>31033079</v>
      </c>
      <c r="BO263" t="s">
        <v>223</v>
      </c>
      <c r="BP263" t="s">
        <v>74</v>
      </c>
      <c r="BQ263" t="s">
        <v>74</v>
      </c>
      <c r="BR263" t="s">
        <v>107</v>
      </c>
      <c r="BS263" t="s">
        <v>5443</v>
      </c>
      <c r="BT263" t="str">
        <f>HYPERLINK("https%3A%2F%2Fwww.webofscience.com%2Fwos%2Fwoscc%2Ffull-record%2FWOS:000468200800001","View Full Record in Web of Science")</f>
        <v>View Full Record in Web of Science</v>
      </c>
    </row>
    <row r="264" spans="1:72" x14ac:dyDescent="0.15">
      <c r="A264" t="s">
        <v>72</v>
      </c>
      <c r="B264" t="s">
        <v>5444</v>
      </c>
      <c r="C264" t="s">
        <v>74</v>
      </c>
      <c r="D264" t="s">
        <v>74</v>
      </c>
      <c r="E264" t="s">
        <v>74</v>
      </c>
      <c r="F264" t="s">
        <v>5445</v>
      </c>
      <c r="G264" t="s">
        <v>74</v>
      </c>
      <c r="H264" t="s">
        <v>74</v>
      </c>
      <c r="I264" t="s">
        <v>5446</v>
      </c>
      <c r="J264" t="s">
        <v>321</v>
      </c>
      <c r="K264" t="s">
        <v>74</v>
      </c>
      <c r="L264" t="s">
        <v>74</v>
      </c>
      <c r="M264" t="s">
        <v>78</v>
      </c>
      <c r="N264" t="s">
        <v>79</v>
      </c>
      <c r="O264" t="s">
        <v>74</v>
      </c>
      <c r="P264" t="s">
        <v>74</v>
      </c>
      <c r="Q264" t="s">
        <v>74</v>
      </c>
      <c r="R264" t="s">
        <v>74</v>
      </c>
      <c r="S264" t="s">
        <v>74</v>
      </c>
      <c r="T264" t="s">
        <v>74</v>
      </c>
      <c r="U264" t="s">
        <v>5447</v>
      </c>
      <c r="V264" t="s">
        <v>5448</v>
      </c>
      <c r="W264" t="s">
        <v>5449</v>
      </c>
      <c r="X264" t="s">
        <v>5450</v>
      </c>
      <c r="Y264" t="s">
        <v>5451</v>
      </c>
      <c r="Z264" t="s">
        <v>5452</v>
      </c>
      <c r="AA264" t="s">
        <v>5453</v>
      </c>
      <c r="AB264" t="s">
        <v>5454</v>
      </c>
      <c r="AC264" t="s">
        <v>5455</v>
      </c>
      <c r="AD264" t="s">
        <v>5456</v>
      </c>
      <c r="AE264" t="s">
        <v>5457</v>
      </c>
      <c r="AF264" t="s">
        <v>74</v>
      </c>
      <c r="AG264">
        <v>67</v>
      </c>
      <c r="AH264">
        <v>812</v>
      </c>
      <c r="AI264">
        <v>876</v>
      </c>
      <c r="AJ264">
        <v>73</v>
      </c>
      <c r="AK264">
        <v>708</v>
      </c>
      <c r="AL264" t="s">
        <v>1393</v>
      </c>
      <c r="AM264" t="s">
        <v>1371</v>
      </c>
      <c r="AN264" t="s">
        <v>1372</v>
      </c>
      <c r="AO264" t="s">
        <v>331</v>
      </c>
      <c r="AP264" t="s">
        <v>332</v>
      </c>
      <c r="AQ264" t="s">
        <v>74</v>
      </c>
      <c r="AR264" t="s">
        <v>333</v>
      </c>
      <c r="AS264" t="s">
        <v>334</v>
      </c>
      <c r="AT264" t="s">
        <v>2547</v>
      </c>
      <c r="AU264">
        <v>2019</v>
      </c>
      <c r="AV264">
        <v>9</v>
      </c>
      <c r="AW264">
        <v>4</v>
      </c>
      <c r="AX264" t="s">
        <v>74</v>
      </c>
      <c r="AY264" t="s">
        <v>74</v>
      </c>
      <c r="AZ264" t="s">
        <v>74</v>
      </c>
      <c r="BA264" t="s">
        <v>74</v>
      </c>
      <c r="BB264">
        <v>306</v>
      </c>
      <c r="BC264" t="s">
        <v>1394</v>
      </c>
      <c r="BD264" t="s">
        <v>74</v>
      </c>
      <c r="BE264" t="s">
        <v>5458</v>
      </c>
      <c r="BF264" t="str">
        <f>HYPERLINK("http://dx.doi.org/10.1038/s41558-019-0412-1","http://dx.doi.org/10.1038/s41558-019-0412-1")</f>
        <v>http://dx.doi.org/10.1038/s41558-019-0412-1</v>
      </c>
      <c r="BG264" t="s">
        <v>74</v>
      </c>
      <c r="BH264" t="s">
        <v>74</v>
      </c>
      <c r="BI264">
        <v>10</v>
      </c>
      <c r="BJ264" t="s">
        <v>336</v>
      </c>
      <c r="BK264" t="s">
        <v>337</v>
      </c>
      <c r="BL264" t="s">
        <v>338</v>
      </c>
      <c r="BM264" t="s">
        <v>5459</v>
      </c>
      <c r="BN264" t="s">
        <v>74</v>
      </c>
      <c r="BO264" t="s">
        <v>925</v>
      </c>
      <c r="BP264" t="s">
        <v>105</v>
      </c>
      <c r="BQ264" t="s">
        <v>106</v>
      </c>
      <c r="BR264" t="s">
        <v>107</v>
      </c>
      <c r="BS264" t="s">
        <v>5460</v>
      </c>
      <c r="BT264" t="str">
        <f>HYPERLINK("https%3A%2F%2Fwww.webofscience.com%2Fwos%2Fwoscc%2Ffull-record%2FWOS:000462353800016","View Full Record in Web of Science")</f>
        <v>View Full Record in Web of Science</v>
      </c>
    </row>
    <row r="265" spans="1:72" x14ac:dyDescent="0.15">
      <c r="A265" t="s">
        <v>72</v>
      </c>
      <c r="B265" t="s">
        <v>5461</v>
      </c>
      <c r="C265" t="s">
        <v>74</v>
      </c>
      <c r="D265" t="s">
        <v>74</v>
      </c>
      <c r="E265" t="s">
        <v>74</v>
      </c>
      <c r="F265" t="s">
        <v>5462</v>
      </c>
      <c r="G265" t="s">
        <v>74</v>
      </c>
      <c r="H265" t="s">
        <v>74</v>
      </c>
      <c r="I265" t="s">
        <v>5463</v>
      </c>
      <c r="J265" t="s">
        <v>5113</v>
      </c>
      <c r="K265" t="s">
        <v>74</v>
      </c>
      <c r="L265" t="s">
        <v>74</v>
      </c>
      <c r="M265" t="s">
        <v>78</v>
      </c>
      <c r="N265" t="s">
        <v>79</v>
      </c>
      <c r="O265" t="s">
        <v>74</v>
      </c>
      <c r="P265" t="s">
        <v>74</v>
      </c>
      <c r="Q265" t="s">
        <v>74</v>
      </c>
      <c r="R265" t="s">
        <v>74</v>
      </c>
      <c r="S265" t="s">
        <v>74</v>
      </c>
      <c r="T265" t="s">
        <v>5464</v>
      </c>
      <c r="U265" t="s">
        <v>5465</v>
      </c>
      <c r="V265" t="s">
        <v>5466</v>
      </c>
      <c r="W265" t="s">
        <v>5467</v>
      </c>
      <c r="X265" t="s">
        <v>5468</v>
      </c>
      <c r="Y265" t="s">
        <v>5469</v>
      </c>
      <c r="Z265" t="s">
        <v>5470</v>
      </c>
      <c r="AA265" t="s">
        <v>5471</v>
      </c>
      <c r="AB265" t="s">
        <v>5472</v>
      </c>
      <c r="AC265" t="s">
        <v>5473</v>
      </c>
      <c r="AD265" t="s">
        <v>5474</v>
      </c>
      <c r="AE265" t="s">
        <v>5475</v>
      </c>
      <c r="AF265" t="s">
        <v>74</v>
      </c>
      <c r="AG265">
        <v>110</v>
      </c>
      <c r="AH265">
        <v>61</v>
      </c>
      <c r="AI265">
        <v>64</v>
      </c>
      <c r="AJ265">
        <v>3</v>
      </c>
      <c r="AK265">
        <v>89</v>
      </c>
      <c r="AL265" t="s">
        <v>576</v>
      </c>
      <c r="AM265" t="s">
        <v>607</v>
      </c>
      <c r="AN265" t="s">
        <v>3493</v>
      </c>
      <c r="AO265" t="s">
        <v>5126</v>
      </c>
      <c r="AP265" t="s">
        <v>5127</v>
      </c>
      <c r="AQ265" t="s">
        <v>74</v>
      </c>
      <c r="AR265" t="s">
        <v>5128</v>
      </c>
      <c r="AS265" t="s">
        <v>5129</v>
      </c>
      <c r="AT265" t="s">
        <v>2547</v>
      </c>
      <c r="AU265">
        <v>2019</v>
      </c>
      <c r="AV265">
        <v>42</v>
      </c>
      <c r="AW265">
        <v>4</v>
      </c>
      <c r="AX265" t="s">
        <v>74</v>
      </c>
      <c r="AY265" t="s">
        <v>74</v>
      </c>
      <c r="AZ265" t="s">
        <v>74</v>
      </c>
      <c r="BA265" t="s">
        <v>74</v>
      </c>
      <c r="BB265">
        <v>743</v>
      </c>
      <c r="BC265">
        <v>757</v>
      </c>
      <c r="BD265" t="s">
        <v>74</v>
      </c>
      <c r="BE265" t="s">
        <v>5476</v>
      </c>
      <c r="BF265" t="str">
        <f>HYPERLINK("http://dx.doi.org/10.1007/s00300-019-02468-6","http://dx.doi.org/10.1007/s00300-019-02468-6")</f>
        <v>http://dx.doi.org/10.1007/s00300-019-02468-6</v>
      </c>
      <c r="BG265" t="s">
        <v>74</v>
      </c>
      <c r="BH265" t="s">
        <v>74</v>
      </c>
      <c r="BI265">
        <v>15</v>
      </c>
      <c r="BJ265" t="s">
        <v>5131</v>
      </c>
      <c r="BK265" t="s">
        <v>102</v>
      </c>
      <c r="BL265" t="s">
        <v>5065</v>
      </c>
      <c r="BM265" t="s">
        <v>5132</v>
      </c>
      <c r="BN265" t="s">
        <v>74</v>
      </c>
      <c r="BO265" t="s">
        <v>74</v>
      </c>
      <c r="BP265" t="s">
        <v>74</v>
      </c>
      <c r="BQ265" t="s">
        <v>74</v>
      </c>
      <c r="BR265" t="s">
        <v>107</v>
      </c>
      <c r="BS265" t="s">
        <v>5477</v>
      </c>
      <c r="BT265" t="str">
        <f>HYPERLINK("https%3A%2F%2Fwww.webofscience.com%2Fwos%2Fwoscc%2Ffull-record%2FWOS:000461817700008","View Full Record in Web of Science")</f>
        <v>View Full Record in Web of Science</v>
      </c>
    </row>
    <row r="266" spans="1:72" x14ac:dyDescent="0.15">
      <c r="A266" t="s">
        <v>72</v>
      </c>
      <c r="B266" t="s">
        <v>5478</v>
      </c>
      <c r="C266" t="s">
        <v>74</v>
      </c>
      <c r="D266" t="s">
        <v>74</v>
      </c>
      <c r="E266" t="s">
        <v>74</v>
      </c>
      <c r="F266" t="s">
        <v>5479</v>
      </c>
      <c r="G266" t="s">
        <v>74</v>
      </c>
      <c r="H266" t="s">
        <v>74</v>
      </c>
      <c r="I266" t="s">
        <v>5480</v>
      </c>
      <c r="J266" t="s">
        <v>368</v>
      </c>
      <c r="K266" t="s">
        <v>74</v>
      </c>
      <c r="L266" t="s">
        <v>74</v>
      </c>
      <c r="M266" t="s">
        <v>78</v>
      </c>
      <c r="N266" t="s">
        <v>79</v>
      </c>
      <c r="O266" t="s">
        <v>74</v>
      </c>
      <c r="P266" t="s">
        <v>74</v>
      </c>
      <c r="Q266" t="s">
        <v>74</v>
      </c>
      <c r="R266" t="s">
        <v>74</v>
      </c>
      <c r="S266" t="s">
        <v>74</v>
      </c>
      <c r="T266" t="s">
        <v>5481</v>
      </c>
      <c r="U266" t="s">
        <v>5482</v>
      </c>
      <c r="V266" t="s">
        <v>5483</v>
      </c>
      <c r="W266" t="s">
        <v>5484</v>
      </c>
      <c r="X266" t="s">
        <v>5485</v>
      </c>
      <c r="Y266" t="s">
        <v>5486</v>
      </c>
      <c r="Z266" t="s">
        <v>5487</v>
      </c>
      <c r="AA266" t="s">
        <v>5488</v>
      </c>
      <c r="AB266" t="s">
        <v>5489</v>
      </c>
      <c r="AC266" t="s">
        <v>5490</v>
      </c>
      <c r="AD266" t="s">
        <v>5491</v>
      </c>
      <c r="AE266" t="s">
        <v>5492</v>
      </c>
      <c r="AF266" t="s">
        <v>74</v>
      </c>
      <c r="AG266">
        <v>380</v>
      </c>
      <c r="AH266">
        <v>93</v>
      </c>
      <c r="AI266">
        <v>102</v>
      </c>
      <c r="AJ266">
        <v>3</v>
      </c>
      <c r="AK266">
        <v>73</v>
      </c>
      <c r="AL266" t="s">
        <v>378</v>
      </c>
      <c r="AM266" t="s">
        <v>93</v>
      </c>
      <c r="AN266" t="s">
        <v>379</v>
      </c>
      <c r="AO266" t="s">
        <v>380</v>
      </c>
      <c r="AP266" t="s">
        <v>401</v>
      </c>
      <c r="AQ266" t="s">
        <v>74</v>
      </c>
      <c r="AR266" t="s">
        <v>381</v>
      </c>
      <c r="AS266" t="s">
        <v>382</v>
      </c>
      <c r="AT266" t="s">
        <v>2547</v>
      </c>
      <c r="AU266">
        <v>2019</v>
      </c>
      <c r="AV266">
        <v>173</v>
      </c>
      <c r="AW266" t="s">
        <v>74</v>
      </c>
      <c r="AX266" t="s">
        <v>74</v>
      </c>
      <c r="AY266" t="s">
        <v>74</v>
      </c>
      <c r="AZ266" t="s">
        <v>74</v>
      </c>
      <c r="BA266" t="s">
        <v>74</v>
      </c>
      <c r="BB266">
        <v>208</v>
      </c>
      <c r="BC266">
        <v>237</v>
      </c>
      <c r="BD266" t="s">
        <v>74</v>
      </c>
      <c r="BE266" t="s">
        <v>5493</v>
      </c>
      <c r="BF266" t="str">
        <f>HYPERLINK("http://dx.doi.org/10.1016/j.pocean.2019.03.003","http://dx.doi.org/10.1016/j.pocean.2019.03.003")</f>
        <v>http://dx.doi.org/10.1016/j.pocean.2019.03.003</v>
      </c>
      <c r="BG266" t="s">
        <v>74</v>
      </c>
      <c r="BH266" t="s">
        <v>74</v>
      </c>
      <c r="BI266">
        <v>30</v>
      </c>
      <c r="BJ266" t="s">
        <v>277</v>
      </c>
      <c r="BK266" t="s">
        <v>102</v>
      </c>
      <c r="BL266" t="s">
        <v>277</v>
      </c>
      <c r="BM266" t="s">
        <v>2782</v>
      </c>
      <c r="BN266" t="s">
        <v>74</v>
      </c>
      <c r="BO266" t="s">
        <v>5494</v>
      </c>
      <c r="BP266" t="s">
        <v>74</v>
      </c>
      <c r="BQ266" t="s">
        <v>74</v>
      </c>
      <c r="BR266" t="s">
        <v>107</v>
      </c>
      <c r="BS266" t="s">
        <v>5495</v>
      </c>
      <c r="BT266" t="str">
        <f>HYPERLINK("https%3A%2F%2Fwww.webofscience.com%2Fwos%2Fwoscc%2Ffull-record%2FWOS:000471739000015","View Full Record in Web of Science")</f>
        <v>View Full Record in Web of Science</v>
      </c>
    </row>
    <row r="267" spans="1:72" x14ac:dyDescent="0.15">
      <c r="A267" t="s">
        <v>72</v>
      </c>
      <c r="B267" t="s">
        <v>5496</v>
      </c>
      <c r="C267" t="s">
        <v>74</v>
      </c>
      <c r="D267" t="s">
        <v>74</v>
      </c>
      <c r="E267" t="s">
        <v>74</v>
      </c>
      <c r="F267" t="s">
        <v>5497</v>
      </c>
      <c r="G267" t="s">
        <v>74</v>
      </c>
      <c r="H267" t="s">
        <v>74</v>
      </c>
      <c r="I267" t="s">
        <v>5498</v>
      </c>
      <c r="J267" t="s">
        <v>5499</v>
      </c>
      <c r="K267" t="s">
        <v>74</v>
      </c>
      <c r="L267" t="s">
        <v>74</v>
      </c>
      <c r="M267" t="s">
        <v>78</v>
      </c>
      <c r="N267" t="s">
        <v>79</v>
      </c>
      <c r="O267" t="s">
        <v>74</v>
      </c>
      <c r="P267" t="s">
        <v>74</v>
      </c>
      <c r="Q267" t="s">
        <v>74</v>
      </c>
      <c r="R267" t="s">
        <v>74</v>
      </c>
      <c r="S267" t="s">
        <v>74</v>
      </c>
      <c r="T267" t="s">
        <v>5500</v>
      </c>
      <c r="U267" t="s">
        <v>5501</v>
      </c>
      <c r="V267" t="s">
        <v>5502</v>
      </c>
      <c r="W267" t="s">
        <v>5503</v>
      </c>
      <c r="X267" t="s">
        <v>5504</v>
      </c>
      <c r="Y267" t="s">
        <v>5505</v>
      </c>
      <c r="Z267" t="s">
        <v>5506</v>
      </c>
      <c r="AA267" t="s">
        <v>4487</v>
      </c>
      <c r="AB267" t="s">
        <v>5507</v>
      </c>
      <c r="AC267" t="s">
        <v>74</v>
      </c>
      <c r="AD267" t="s">
        <v>74</v>
      </c>
      <c r="AE267" t="s">
        <v>74</v>
      </c>
      <c r="AF267" t="s">
        <v>74</v>
      </c>
      <c r="AG267">
        <v>29</v>
      </c>
      <c r="AH267">
        <v>5</v>
      </c>
      <c r="AI267">
        <v>5</v>
      </c>
      <c r="AJ267">
        <v>0</v>
      </c>
      <c r="AK267">
        <v>8</v>
      </c>
      <c r="AL267" t="s">
        <v>2960</v>
      </c>
      <c r="AM267" t="s">
        <v>607</v>
      </c>
      <c r="AN267" t="s">
        <v>4525</v>
      </c>
      <c r="AO267" t="s">
        <v>5508</v>
      </c>
      <c r="AP267" t="s">
        <v>5509</v>
      </c>
      <c r="AQ267" t="s">
        <v>74</v>
      </c>
      <c r="AR267" t="s">
        <v>5499</v>
      </c>
      <c r="AS267" t="s">
        <v>3598</v>
      </c>
      <c r="AT267" t="s">
        <v>2547</v>
      </c>
      <c r="AU267">
        <v>2019</v>
      </c>
      <c r="AV267">
        <v>146</v>
      </c>
      <c r="AW267">
        <v>4</v>
      </c>
      <c r="AX267" t="s">
        <v>74</v>
      </c>
      <c r="AY267" t="s">
        <v>74</v>
      </c>
      <c r="AZ267" t="s">
        <v>74</v>
      </c>
      <c r="BA267" t="s">
        <v>74</v>
      </c>
      <c r="BB267">
        <v>506</v>
      </c>
      <c r="BC267">
        <v>510</v>
      </c>
      <c r="BD267" t="s">
        <v>74</v>
      </c>
      <c r="BE267" t="s">
        <v>5510</v>
      </c>
      <c r="BF267" t="str">
        <f>HYPERLINK("http://dx.doi.org/10.1017/S0031182018001774","http://dx.doi.org/10.1017/S0031182018001774")</f>
        <v>http://dx.doi.org/10.1017/S0031182018001774</v>
      </c>
      <c r="BG267" t="s">
        <v>74</v>
      </c>
      <c r="BH267" t="s">
        <v>74</v>
      </c>
      <c r="BI267">
        <v>5</v>
      </c>
      <c r="BJ267" t="s">
        <v>3598</v>
      </c>
      <c r="BK267" t="s">
        <v>102</v>
      </c>
      <c r="BL267" t="s">
        <v>3598</v>
      </c>
      <c r="BM267" t="s">
        <v>5511</v>
      </c>
      <c r="BN267">
        <v>30355382</v>
      </c>
      <c r="BO267" t="s">
        <v>74</v>
      </c>
      <c r="BP267" t="s">
        <v>74</v>
      </c>
      <c r="BQ267" t="s">
        <v>74</v>
      </c>
      <c r="BR267" t="s">
        <v>107</v>
      </c>
      <c r="BS267" t="s">
        <v>5512</v>
      </c>
      <c r="BT267" t="str">
        <f>HYPERLINK("https%3A%2F%2Fwww.webofscience.com%2Fwos%2Fwoscc%2Ffull-record%2FWOS:000461638300010","View Full Record in Web of Science")</f>
        <v>View Full Record in Web of Science</v>
      </c>
    </row>
    <row r="268" spans="1:72" x14ac:dyDescent="0.15">
      <c r="A268" t="s">
        <v>72</v>
      </c>
      <c r="B268" t="s">
        <v>5513</v>
      </c>
      <c r="C268" t="s">
        <v>74</v>
      </c>
      <c r="D268" t="s">
        <v>74</v>
      </c>
      <c r="E268" t="s">
        <v>74</v>
      </c>
      <c r="F268" t="s">
        <v>5514</v>
      </c>
      <c r="G268" t="s">
        <v>74</v>
      </c>
      <c r="H268" t="s">
        <v>74</v>
      </c>
      <c r="I268" t="s">
        <v>5515</v>
      </c>
      <c r="J268" t="s">
        <v>5516</v>
      </c>
      <c r="K268" t="s">
        <v>74</v>
      </c>
      <c r="L268" t="s">
        <v>74</v>
      </c>
      <c r="M268" t="s">
        <v>78</v>
      </c>
      <c r="N268" t="s">
        <v>79</v>
      </c>
      <c r="O268" t="s">
        <v>74</v>
      </c>
      <c r="P268" t="s">
        <v>74</v>
      </c>
      <c r="Q268" t="s">
        <v>74</v>
      </c>
      <c r="R268" t="s">
        <v>74</v>
      </c>
      <c r="S268" t="s">
        <v>74</v>
      </c>
      <c r="T268" t="s">
        <v>74</v>
      </c>
      <c r="U268" t="s">
        <v>5517</v>
      </c>
      <c r="V268" t="s">
        <v>5518</v>
      </c>
      <c r="W268" t="s">
        <v>5519</v>
      </c>
      <c r="X268" t="s">
        <v>5520</v>
      </c>
      <c r="Y268" t="s">
        <v>5521</v>
      </c>
      <c r="Z268" t="s">
        <v>5522</v>
      </c>
      <c r="AA268" t="s">
        <v>74</v>
      </c>
      <c r="AB268" t="s">
        <v>5523</v>
      </c>
      <c r="AC268" t="s">
        <v>5524</v>
      </c>
      <c r="AD268" t="s">
        <v>5525</v>
      </c>
      <c r="AE268" t="s">
        <v>5526</v>
      </c>
      <c r="AF268" t="s">
        <v>74</v>
      </c>
      <c r="AG268">
        <v>45</v>
      </c>
      <c r="AH268">
        <v>29</v>
      </c>
      <c r="AI268">
        <v>29</v>
      </c>
      <c r="AJ268">
        <v>1</v>
      </c>
      <c r="AK268">
        <v>25</v>
      </c>
      <c r="AL268" t="s">
        <v>306</v>
      </c>
      <c r="AM268" t="s">
        <v>93</v>
      </c>
      <c r="AN268" t="s">
        <v>307</v>
      </c>
      <c r="AO268" t="s">
        <v>5527</v>
      </c>
      <c r="AP268" t="s">
        <v>5528</v>
      </c>
      <c r="AQ268" t="s">
        <v>74</v>
      </c>
      <c r="AR268" t="s">
        <v>5529</v>
      </c>
      <c r="AS268" t="s">
        <v>5530</v>
      </c>
      <c r="AT268" t="s">
        <v>2547</v>
      </c>
      <c r="AU268">
        <v>2019</v>
      </c>
      <c r="AV268">
        <v>232</v>
      </c>
      <c r="AW268" t="s">
        <v>74</v>
      </c>
      <c r="AX268" t="s">
        <v>74</v>
      </c>
      <c r="AY268" t="s">
        <v>74</v>
      </c>
      <c r="AZ268" t="s">
        <v>74</v>
      </c>
      <c r="BA268" t="s">
        <v>74</v>
      </c>
      <c r="BB268">
        <v>253</v>
      </c>
      <c r="BC268">
        <v>257</v>
      </c>
      <c r="BD268" t="s">
        <v>74</v>
      </c>
      <c r="BE268" t="s">
        <v>5531</v>
      </c>
      <c r="BF268" t="str">
        <f>HYPERLINK("http://dx.doi.org/10.1016/j.biocon.2019.02.014","http://dx.doi.org/10.1016/j.biocon.2019.02.014")</f>
        <v>http://dx.doi.org/10.1016/j.biocon.2019.02.014</v>
      </c>
      <c r="BG268" t="s">
        <v>74</v>
      </c>
      <c r="BH268" t="s">
        <v>74</v>
      </c>
      <c r="BI268">
        <v>5</v>
      </c>
      <c r="BJ268" t="s">
        <v>5064</v>
      </c>
      <c r="BK268" t="s">
        <v>102</v>
      </c>
      <c r="BL268" t="s">
        <v>5065</v>
      </c>
      <c r="BM268" t="s">
        <v>5532</v>
      </c>
      <c r="BN268" t="s">
        <v>74</v>
      </c>
      <c r="BO268" t="s">
        <v>74</v>
      </c>
      <c r="BP268" t="s">
        <v>74</v>
      </c>
      <c r="BQ268" t="s">
        <v>74</v>
      </c>
      <c r="BR268" t="s">
        <v>107</v>
      </c>
      <c r="BS268" t="s">
        <v>5533</v>
      </c>
      <c r="BT268" t="str">
        <f>HYPERLINK("https%3A%2F%2Fwww.webofscience.com%2Fwos%2Fwoscc%2Ffull-record%2FWOS:000460992700026","View Full Record in Web of Science")</f>
        <v>View Full Record in Web of Science</v>
      </c>
    </row>
    <row r="269" spans="1:72" x14ac:dyDescent="0.15">
      <c r="A269" t="s">
        <v>72</v>
      </c>
      <c r="B269" t="s">
        <v>5534</v>
      </c>
      <c r="C269" t="s">
        <v>74</v>
      </c>
      <c r="D269" t="s">
        <v>74</v>
      </c>
      <c r="E269" t="s">
        <v>74</v>
      </c>
      <c r="F269" t="s">
        <v>5535</v>
      </c>
      <c r="G269" t="s">
        <v>74</v>
      </c>
      <c r="H269" t="s">
        <v>74</v>
      </c>
      <c r="I269" t="s">
        <v>5536</v>
      </c>
      <c r="J269" t="s">
        <v>564</v>
      </c>
      <c r="K269" t="s">
        <v>74</v>
      </c>
      <c r="L269" t="s">
        <v>74</v>
      </c>
      <c r="M269" t="s">
        <v>78</v>
      </c>
      <c r="N269" t="s">
        <v>79</v>
      </c>
      <c r="O269" t="s">
        <v>74</v>
      </c>
      <c r="P269" t="s">
        <v>74</v>
      </c>
      <c r="Q269" t="s">
        <v>74</v>
      </c>
      <c r="R269" t="s">
        <v>74</v>
      </c>
      <c r="S269" t="s">
        <v>74</v>
      </c>
      <c r="T269" t="s">
        <v>5537</v>
      </c>
      <c r="U269" t="s">
        <v>5538</v>
      </c>
      <c r="V269" t="s">
        <v>5539</v>
      </c>
      <c r="W269" t="s">
        <v>5540</v>
      </c>
      <c r="X269" t="s">
        <v>5541</v>
      </c>
      <c r="Y269" t="s">
        <v>5542</v>
      </c>
      <c r="Z269" t="s">
        <v>5543</v>
      </c>
      <c r="AA269" t="s">
        <v>5544</v>
      </c>
      <c r="AB269" t="s">
        <v>74</v>
      </c>
      <c r="AC269" t="s">
        <v>5545</v>
      </c>
      <c r="AD269" t="s">
        <v>5546</v>
      </c>
      <c r="AE269" t="s">
        <v>5547</v>
      </c>
      <c r="AF269" t="s">
        <v>74</v>
      </c>
      <c r="AG269">
        <v>74</v>
      </c>
      <c r="AH269">
        <v>40</v>
      </c>
      <c r="AI269">
        <v>41</v>
      </c>
      <c r="AJ269">
        <v>0</v>
      </c>
      <c r="AK269">
        <v>10</v>
      </c>
      <c r="AL269" t="s">
        <v>576</v>
      </c>
      <c r="AM269" t="s">
        <v>577</v>
      </c>
      <c r="AN269" t="s">
        <v>578</v>
      </c>
      <c r="AO269" t="s">
        <v>579</v>
      </c>
      <c r="AP269" t="s">
        <v>580</v>
      </c>
      <c r="AQ269" t="s">
        <v>74</v>
      </c>
      <c r="AR269" t="s">
        <v>581</v>
      </c>
      <c r="AS269" t="s">
        <v>582</v>
      </c>
      <c r="AT269" t="s">
        <v>2547</v>
      </c>
      <c r="AU269">
        <v>2019</v>
      </c>
      <c r="AV269">
        <v>171</v>
      </c>
      <c r="AW269">
        <v>1</v>
      </c>
      <c r="AX269" t="s">
        <v>74</v>
      </c>
      <c r="AY269" t="s">
        <v>74</v>
      </c>
      <c r="AZ269" t="s">
        <v>74</v>
      </c>
      <c r="BA269" t="s">
        <v>74</v>
      </c>
      <c r="BB269">
        <v>101</v>
      </c>
      <c r="BC269">
        <v>128</v>
      </c>
      <c r="BD269" t="s">
        <v>74</v>
      </c>
      <c r="BE269" t="s">
        <v>5548</v>
      </c>
      <c r="BF269" t="str">
        <f>HYPERLINK("http://dx.doi.org/10.1007/s10546-018-0419-6","http://dx.doi.org/10.1007/s10546-018-0419-6")</f>
        <v>http://dx.doi.org/10.1007/s10546-018-0419-6</v>
      </c>
      <c r="BG269" t="s">
        <v>74</v>
      </c>
      <c r="BH269" t="s">
        <v>74</v>
      </c>
      <c r="BI269">
        <v>28</v>
      </c>
      <c r="BJ269" t="s">
        <v>133</v>
      </c>
      <c r="BK269" t="s">
        <v>102</v>
      </c>
      <c r="BL269" t="s">
        <v>133</v>
      </c>
      <c r="BM269" t="s">
        <v>5549</v>
      </c>
      <c r="BN269" t="s">
        <v>74</v>
      </c>
      <c r="BO269" t="s">
        <v>74</v>
      </c>
      <c r="BP269" t="s">
        <v>74</v>
      </c>
      <c r="BQ269" t="s">
        <v>74</v>
      </c>
      <c r="BR269" t="s">
        <v>107</v>
      </c>
      <c r="BS269" t="s">
        <v>5550</v>
      </c>
      <c r="BT269" t="str">
        <f>HYPERLINK("https%3A%2F%2Fwww.webofscience.com%2Fwos%2Fwoscc%2Ffull-record%2FWOS:000461378900005","View Full Record in Web of Science")</f>
        <v>View Full Record in Web of Science</v>
      </c>
    </row>
    <row r="270" spans="1:72" x14ac:dyDescent="0.15">
      <c r="A270" t="s">
        <v>72</v>
      </c>
      <c r="B270" t="s">
        <v>5551</v>
      </c>
      <c r="C270" t="s">
        <v>74</v>
      </c>
      <c r="D270" t="s">
        <v>74</v>
      </c>
      <c r="E270" t="s">
        <v>74</v>
      </c>
      <c r="F270" t="s">
        <v>5552</v>
      </c>
      <c r="G270" t="s">
        <v>74</v>
      </c>
      <c r="H270" t="s">
        <v>74</v>
      </c>
      <c r="I270" t="s">
        <v>5553</v>
      </c>
      <c r="J270" t="s">
        <v>5554</v>
      </c>
      <c r="K270" t="s">
        <v>74</v>
      </c>
      <c r="L270" t="s">
        <v>74</v>
      </c>
      <c r="M270" t="s">
        <v>78</v>
      </c>
      <c r="N270" t="s">
        <v>79</v>
      </c>
      <c r="O270" t="s">
        <v>74</v>
      </c>
      <c r="P270" t="s">
        <v>74</v>
      </c>
      <c r="Q270" t="s">
        <v>74</v>
      </c>
      <c r="R270" t="s">
        <v>74</v>
      </c>
      <c r="S270" t="s">
        <v>74</v>
      </c>
      <c r="T270" t="s">
        <v>5555</v>
      </c>
      <c r="U270" t="s">
        <v>5556</v>
      </c>
      <c r="V270" t="s">
        <v>5557</v>
      </c>
      <c r="W270" t="s">
        <v>5558</v>
      </c>
      <c r="X270" t="s">
        <v>5559</v>
      </c>
      <c r="Y270" t="s">
        <v>5560</v>
      </c>
      <c r="Z270" t="s">
        <v>5561</v>
      </c>
      <c r="AA270" t="s">
        <v>5562</v>
      </c>
      <c r="AB270" t="s">
        <v>5563</v>
      </c>
      <c r="AC270" t="s">
        <v>5564</v>
      </c>
      <c r="AD270" t="s">
        <v>5565</v>
      </c>
      <c r="AE270" t="s">
        <v>5566</v>
      </c>
      <c r="AF270" t="s">
        <v>74</v>
      </c>
      <c r="AG270">
        <v>80</v>
      </c>
      <c r="AH270">
        <v>20</v>
      </c>
      <c r="AI270">
        <v>22</v>
      </c>
      <c r="AJ270">
        <v>3</v>
      </c>
      <c r="AK270">
        <v>48</v>
      </c>
      <c r="AL270" t="s">
        <v>306</v>
      </c>
      <c r="AM270" t="s">
        <v>93</v>
      </c>
      <c r="AN270" t="s">
        <v>307</v>
      </c>
      <c r="AO270" t="s">
        <v>5567</v>
      </c>
      <c r="AP270" t="s">
        <v>5568</v>
      </c>
      <c r="AQ270" t="s">
        <v>74</v>
      </c>
      <c r="AR270" t="s">
        <v>5569</v>
      </c>
      <c r="AS270" t="s">
        <v>5570</v>
      </c>
      <c r="AT270" t="s">
        <v>2547</v>
      </c>
      <c r="AU270">
        <v>2019</v>
      </c>
      <c r="AV270">
        <v>247</v>
      </c>
      <c r="AW270" t="s">
        <v>74</v>
      </c>
      <c r="AX270" t="s">
        <v>74</v>
      </c>
      <c r="AY270" t="s">
        <v>74</v>
      </c>
      <c r="AZ270" t="s">
        <v>74</v>
      </c>
      <c r="BA270" t="s">
        <v>74</v>
      </c>
      <c r="BB270">
        <v>332</v>
      </c>
      <c r="BC270">
        <v>339</v>
      </c>
      <c r="BD270" t="s">
        <v>74</v>
      </c>
      <c r="BE270" t="s">
        <v>5571</v>
      </c>
      <c r="BF270" t="str">
        <f>HYPERLINK("http://dx.doi.org/10.1016/j.envpol.2019.01.031","http://dx.doi.org/10.1016/j.envpol.2019.01.031")</f>
        <v>http://dx.doi.org/10.1016/j.envpol.2019.01.031</v>
      </c>
      <c r="BG270" t="s">
        <v>74</v>
      </c>
      <c r="BH270" t="s">
        <v>74</v>
      </c>
      <c r="BI270">
        <v>8</v>
      </c>
      <c r="BJ270" t="s">
        <v>2296</v>
      </c>
      <c r="BK270" t="s">
        <v>102</v>
      </c>
      <c r="BL270" t="s">
        <v>2297</v>
      </c>
      <c r="BM270" t="s">
        <v>5572</v>
      </c>
      <c r="BN270">
        <v>30685674</v>
      </c>
      <c r="BO270" t="s">
        <v>5573</v>
      </c>
      <c r="BP270" t="s">
        <v>74</v>
      </c>
      <c r="BQ270" t="s">
        <v>74</v>
      </c>
      <c r="BR270" t="s">
        <v>107</v>
      </c>
      <c r="BS270" t="s">
        <v>5574</v>
      </c>
      <c r="BT270" t="str">
        <f>HYPERLINK("https%3A%2F%2Fwww.webofscience.com%2Fwos%2Fwoscc%2Ffull-record%2FWOS:000460844800036","View Full Record in Web of Science")</f>
        <v>View Full Record in Web of Science</v>
      </c>
    </row>
    <row r="271" spans="1:72" x14ac:dyDescent="0.15">
      <c r="A271" t="s">
        <v>72</v>
      </c>
      <c r="B271" t="s">
        <v>5575</v>
      </c>
      <c r="C271" t="s">
        <v>74</v>
      </c>
      <c r="D271" t="s">
        <v>74</v>
      </c>
      <c r="E271" t="s">
        <v>74</v>
      </c>
      <c r="F271" t="s">
        <v>5576</v>
      </c>
      <c r="G271" t="s">
        <v>74</v>
      </c>
      <c r="H271" t="s">
        <v>74</v>
      </c>
      <c r="I271" t="s">
        <v>5577</v>
      </c>
      <c r="J271" t="s">
        <v>5578</v>
      </c>
      <c r="K271" t="s">
        <v>74</v>
      </c>
      <c r="L271" t="s">
        <v>74</v>
      </c>
      <c r="M271" t="s">
        <v>78</v>
      </c>
      <c r="N271" t="s">
        <v>79</v>
      </c>
      <c r="O271" t="s">
        <v>74</v>
      </c>
      <c r="P271" t="s">
        <v>74</v>
      </c>
      <c r="Q271" t="s">
        <v>74</v>
      </c>
      <c r="R271" t="s">
        <v>74</v>
      </c>
      <c r="S271" t="s">
        <v>74</v>
      </c>
      <c r="T271" t="s">
        <v>5579</v>
      </c>
      <c r="U271" t="s">
        <v>5580</v>
      </c>
      <c r="V271" t="s">
        <v>5581</v>
      </c>
      <c r="W271" t="s">
        <v>5582</v>
      </c>
      <c r="X271" t="s">
        <v>5583</v>
      </c>
      <c r="Y271" t="s">
        <v>5584</v>
      </c>
      <c r="Z271" t="s">
        <v>5585</v>
      </c>
      <c r="AA271" t="s">
        <v>5586</v>
      </c>
      <c r="AB271" t="s">
        <v>5587</v>
      </c>
      <c r="AC271" t="s">
        <v>5588</v>
      </c>
      <c r="AD271" t="s">
        <v>5589</v>
      </c>
      <c r="AE271" t="s">
        <v>5590</v>
      </c>
      <c r="AF271" t="s">
        <v>74</v>
      </c>
      <c r="AG271">
        <v>117</v>
      </c>
      <c r="AH271">
        <v>12</v>
      </c>
      <c r="AI271">
        <v>12</v>
      </c>
      <c r="AJ271">
        <v>0</v>
      </c>
      <c r="AK271">
        <v>11</v>
      </c>
      <c r="AL271" t="s">
        <v>662</v>
      </c>
      <c r="AM271" t="s">
        <v>635</v>
      </c>
      <c r="AN271" t="s">
        <v>663</v>
      </c>
      <c r="AO271" t="s">
        <v>5591</v>
      </c>
      <c r="AP271" t="s">
        <v>5592</v>
      </c>
      <c r="AQ271" t="s">
        <v>74</v>
      </c>
      <c r="AR271" t="s">
        <v>5578</v>
      </c>
      <c r="AS271" t="s">
        <v>5593</v>
      </c>
      <c r="AT271" t="s">
        <v>2710</v>
      </c>
      <c r="AU271">
        <v>2019</v>
      </c>
      <c r="AV271">
        <v>330</v>
      </c>
      <c r="AW271" t="s">
        <v>74</v>
      </c>
      <c r="AX271" t="s">
        <v>74</v>
      </c>
      <c r="AY271" t="s">
        <v>74</v>
      </c>
      <c r="AZ271" t="s">
        <v>74</v>
      </c>
      <c r="BA271" t="s">
        <v>74</v>
      </c>
      <c r="BB271">
        <v>40</v>
      </c>
      <c r="BC271">
        <v>56</v>
      </c>
      <c r="BD271" t="s">
        <v>74</v>
      </c>
      <c r="BE271" t="s">
        <v>5594</v>
      </c>
      <c r="BF271" t="str">
        <f>HYPERLINK("http://dx.doi.org/10.1016/j.geomorph.2019.01.007","http://dx.doi.org/10.1016/j.geomorph.2019.01.007")</f>
        <v>http://dx.doi.org/10.1016/j.geomorph.2019.01.007</v>
      </c>
      <c r="BG271" t="s">
        <v>74</v>
      </c>
      <c r="BH271" t="s">
        <v>74</v>
      </c>
      <c r="BI271">
        <v>17</v>
      </c>
      <c r="BJ271" t="s">
        <v>1142</v>
      </c>
      <c r="BK271" t="s">
        <v>102</v>
      </c>
      <c r="BL271" t="s">
        <v>1143</v>
      </c>
      <c r="BM271" t="s">
        <v>5595</v>
      </c>
      <c r="BN271" t="s">
        <v>74</v>
      </c>
      <c r="BO271" t="s">
        <v>74</v>
      </c>
      <c r="BP271" t="s">
        <v>74</v>
      </c>
      <c r="BQ271" t="s">
        <v>74</v>
      </c>
      <c r="BR271" t="s">
        <v>107</v>
      </c>
      <c r="BS271" t="s">
        <v>5596</v>
      </c>
      <c r="BT271" t="str">
        <f>HYPERLINK("https%3A%2F%2Fwww.webofscience.com%2Fwos%2Fwoscc%2Ffull-record%2FWOS:000461407500004","View Full Record in Web of Science")</f>
        <v>View Full Record in Web of Science</v>
      </c>
    </row>
    <row r="272" spans="1:72" x14ac:dyDescent="0.15">
      <c r="A272" t="s">
        <v>72</v>
      </c>
      <c r="B272" t="s">
        <v>5597</v>
      </c>
      <c r="C272" t="s">
        <v>74</v>
      </c>
      <c r="D272" t="s">
        <v>74</v>
      </c>
      <c r="E272" t="s">
        <v>74</v>
      </c>
      <c r="F272" t="s">
        <v>5598</v>
      </c>
      <c r="G272" t="s">
        <v>74</v>
      </c>
      <c r="H272" t="s">
        <v>74</v>
      </c>
      <c r="I272" t="s">
        <v>5599</v>
      </c>
      <c r="J272" t="s">
        <v>496</v>
      </c>
      <c r="K272" t="s">
        <v>74</v>
      </c>
      <c r="L272" t="s">
        <v>74</v>
      </c>
      <c r="M272" t="s">
        <v>78</v>
      </c>
      <c r="N272" t="s">
        <v>79</v>
      </c>
      <c r="O272" t="s">
        <v>74</v>
      </c>
      <c r="P272" t="s">
        <v>74</v>
      </c>
      <c r="Q272" t="s">
        <v>74</v>
      </c>
      <c r="R272" t="s">
        <v>74</v>
      </c>
      <c r="S272" t="s">
        <v>74</v>
      </c>
      <c r="T272" t="s">
        <v>5600</v>
      </c>
      <c r="U272" t="s">
        <v>5601</v>
      </c>
      <c r="V272" t="s">
        <v>5602</v>
      </c>
      <c r="W272" t="s">
        <v>5603</v>
      </c>
      <c r="X272" t="s">
        <v>5604</v>
      </c>
      <c r="Y272" t="s">
        <v>5605</v>
      </c>
      <c r="Z272" t="s">
        <v>5606</v>
      </c>
      <c r="AA272" t="s">
        <v>5607</v>
      </c>
      <c r="AB272" t="s">
        <v>5608</v>
      </c>
      <c r="AC272" t="s">
        <v>5609</v>
      </c>
      <c r="AD272" t="s">
        <v>5610</v>
      </c>
      <c r="AE272" t="s">
        <v>5611</v>
      </c>
      <c r="AF272" t="s">
        <v>74</v>
      </c>
      <c r="AG272">
        <v>78</v>
      </c>
      <c r="AH272">
        <v>30</v>
      </c>
      <c r="AI272">
        <v>32</v>
      </c>
      <c r="AJ272">
        <v>2</v>
      </c>
      <c r="AK272">
        <v>24</v>
      </c>
      <c r="AL272" t="s">
        <v>269</v>
      </c>
      <c r="AM272" t="s">
        <v>270</v>
      </c>
      <c r="AN272" t="s">
        <v>532</v>
      </c>
      <c r="AO272" t="s">
        <v>509</v>
      </c>
      <c r="AP272" t="s">
        <v>510</v>
      </c>
      <c r="AQ272" t="s">
        <v>74</v>
      </c>
      <c r="AR272" t="s">
        <v>511</v>
      </c>
      <c r="AS272" t="s">
        <v>512</v>
      </c>
      <c r="AT272" t="s">
        <v>2547</v>
      </c>
      <c r="AU272">
        <v>2019</v>
      </c>
      <c r="AV272">
        <v>32</v>
      </c>
      <c r="AW272">
        <v>7</v>
      </c>
      <c r="AX272" t="s">
        <v>74</v>
      </c>
      <c r="AY272" t="s">
        <v>74</v>
      </c>
      <c r="AZ272" t="s">
        <v>74</v>
      </c>
      <c r="BA272" t="s">
        <v>74</v>
      </c>
      <c r="BB272">
        <v>2013</v>
      </c>
      <c r="BC272">
        <v>2035</v>
      </c>
      <c r="BD272" t="s">
        <v>74</v>
      </c>
      <c r="BE272" t="s">
        <v>5612</v>
      </c>
      <c r="BF272" t="str">
        <f>HYPERLINK("http://dx.doi.org/10.1175/JCLI-D-18-0205.1","http://dx.doi.org/10.1175/JCLI-D-18-0205.1")</f>
        <v>http://dx.doi.org/10.1175/JCLI-D-18-0205.1</v>
      </c>
      <c r="BG272" t="s">
        <v>74</v>
      </c>
      <c r="BH272" t="s">
        <v>74</v>
      </c>
      <c r="BI272">
        <v>23</v>
      </c>
      <c r="BJ272" t="s">
        <v>133</v>
      </c>
      <c r="BK272" t="s">
        <v>102</v>
      </c>
      <c r="BL272" t="s">
        <v>133</v>
      </c>
      <c r="BM272" t="s">
        <v>5613</v>
      </c>
      <c r="BN272" t="s">
        <v>74</v>
      </c>
      <c r="BO272" t="s">
        <v>5614</v>
      </c>
      <c r="BP272" t="s">
        <v>74</v>
      </c>
      <c r="BQ272" t="s">
        <v>74</v>
      </c>
      <c r="BR272" t="s">
        <v>107</v>
      </c>
      <c r="BS272" t="s">
        <v>5615</v>
      </c>
      <c r="BT272" t="str">
        <f>HYPERLINK("https%3A%2F%2Fwww.webofscience.com%2Fwos%2Fwoscc%2Ffull-record%2FWOS:000461609800001","View Full Record in Web of Science")</f>
        <v>View Full Record in Web of Science</v>
      </c>
    </row>
    <row r="273" spans="1:72" x14ac:dyDescent="0.15">
      <c r="A273" t="s">
        <v>72</v>
      </c>
      <c r="B273" t="s">
        <v>5616</v>
      </c>
      <c r="C273" t="s">
        <v>74</v>
      </c>
      <c r="D273" t="s">
        <v>74</v>
      </c>
      <c r="E273" t="s">
        <v>74</v>
      </c>
      <c r="F273" t="s">
        <v>5617</v>
      </c>
      <c r="G273" t="s">
        <v>74</v>
      </c>
      <c r="H273" t="s">
        <v>74</v>
      </c>
      <c r="I273" t="s">
        <v>5618</v>
      </c>
      <c r="J273" t="s">
        <v>5619</v>
      </c>
      <c r="K273" t="s">
        <v>74</v>
      </c>
      <c r="L273" t="s">
        <v>74</v>
      </c>
      <c r="M273" t="s">
        <v>78</v>
      </c>
      <c r="N273" t="s">
        <v>79</v>
      </c>
      <c r="O273" t="s">
        <v>74</v>
      </c>
      <c r="P273" t="s">
        <v>74</v>
      </c>
      <c r="Q273" t="s">
        <v>74</v>
      </c>
      <c r="R273" t="s">
        <v>74</v>
      </c>
      <c r="S273" t="s">
        <v>74</v>
      </c>
      <c r="T273" t="s">
        <v>5620</v>
      </c>
      <c r="U273" t="s">
        <v>5621</v>
      </c>
      <c r="V273" t="s">
        <v>5622</v>
      </c>
      <c r="W273" t="s">
        <v>5623</v>
      </c>
      <c r="X273" t="s">
        <v>5624</v>
      </c>
      <c r="Y273" t="s">
        <v>5625</v>
      </c>
      <c r="Z273" t="s">
        <v>5626</v>
      </c>
      <c r="AA273" t="s">
        <v>5627</v>
      </c>
      <c r="AB273" t="s">
        <v>5628</v>
      </c>
      <c r="AC273" t="s">
        <v>5629</v>
      </c>
      <c r="AD273" t="s">
        <v>5630</v>
      </c>
      <c r="AE273" t="s">
        <v>5631</v>
      </c>
      <c r="AF273" t="s">
        <v>74</v>
      </c>
      <c r="AG273">
        <v>86</v>
      </c>
      <c r="AH273">
        <v>9</v>
      </c>
      <c r="AI273">
        <v>9</v>
      </c>
      <c r="AJ273">
        <v>1</v>
      </c>
      <c r="AK273">
        <v>12</v>
      </c>
      <c r="AL273" t="s">
        <v>5632</v>
      </c>
      <c r="AM273" t="s">
        <v>5633</v>
      </c>
      <c r="AN273" t="s">
        <v>5634</v>
      </c>
      <c r="AO273" t="s">
        <v>5635</v>
      </c>
      <c r="AP273" t="s">
        <v>5636</v>
      </c>
      <c r="AQ273" t="s">
        <v>74</v>
      </c>
      <c r="AR273" t="s">
        <v>5637</v>
      </c>
      <c r="AS273" t="s">
        <v>5638</v>
      </c>
      <c r="AT273" t="s">
        <v>2547</v>
      </c>
      <c r="AU273">
        <v>2019</v>
      </c>
      <c r="AV273">
        <v>128</v>
      </c>
      <c r="AW273">
        <v>3</v>
      </c>
      <c r="AX273" t="s">
        <v>74</v>
      </c>
      <c r="AY273" t="s">
        <v>74</v>
      </c>
      <c r="AZ273" t="s">
        <v>74</v>
      </c>
      <c r="BA273" t="s">
        <v>74</v>
      </c>
      <c r="BB273" t="s">
        <v>74</v>
      </c>
      <c r="BC273" t="s">
        <v>74</v>
      </c>
      <c r="BD273">
        <v>68</v>
      </c>
      <c r="BE273" t="s">
        <v>5639</v>
      </c>
      <c r="BF273" t="str">
        <f>HYPERLINK("http://dx.doi.org/10.1007/s12040-019-1085-x","http://dx.doi.org/10.1007/s12040-019-1085-x")</f>
        <v>http://dx.doi.org/10.1007/s12040-019-1085-x</v>
      </c>
      <c r="BG273" t="s">
        <v>74</v>
      </c>
      <c r="BH273" t="s">
        <v>74</v>
      </c>
      <c r="BI273">
        <v>20</v>
      </c>
      <c r="BJ273" t="s">
        <v>5640</v>
      </c>
      <c r="BK273" t="s">
        <v>102</v>
      </c>
      <c r="BL273" t="s">
        <v>5641</v>
      </c>
      <c r="BM273" t="s">
        <v>5642</v>
      </c>
      <c r="BN273" t="s">
        <v>74</v>
      </c>
      <c r="BO273" t="s">
        <v>279</v>
      </c>
      <c r="BP273" t="s">
        <v>74</v>
      </c>
      <c r="BQ273" t="s">
        <v>74</v>
      </c>
      <c r="BR273" t="s">
        <v>107</v>
      </c>
      <c r="BS273" t="s">
        <v>5643</v>
      </c>
      <c r="BT273" t="str">
        <f>HYPERLINK("https%3A%2F%2Fwww.webofscience.com%2Fwos%2Fwoscc%2Ffull-record%2FWOS:000460945500002","View Full Record in Web of Science")</f>
        <v>View Full Record in Web of Science</v>
      </c>
    </row>
    <row r="274" spans="1:72" x14ac:dyDescent="0.15">
      <c r="A274" t="s">
        <v>72</v>
      </c>
      <c r="B274" t="s">
        <v>5644</v>
      </c>
      <c r="C274" t="s">
        <v>74</v>
      </c>
      <c r="D274" t="s">
        <v>74</v>
      </c>
      <c r="E274" t="s">
        <v>74</v>
      </c>
      <c r="F274" t="s">
        <v>5645</v>
      </c>
      <c r="G274" t="s">
        <v>74</v>
      </c>
      <c r="H274" t="s">
        <v>74</v>
      </c>
      <c r="I274" t="s">
        <v>5646</v>
      </c>
      <c r="J274" t="s">
        <v>5619</v>
      </c>
      <c r="K274" t="s">
        <v>74</v>
      </c>
      <c r="L274" t="s">
        <v>74</v>
      </c>
      <c r="M274" t="s">
        <v>78</v>
      </c>
      <c r="N274" t="s">
        <v>79</v>
      </c>
      <c r="O274" t="s">
        <v>74</v>
      </c>
      <c r="P274" t="s">
        <v>74</v>
      </c>
      <c r="Q274" t="s">
        <v>74</v>
      </c>
      <c r="R274" t="s">
        <v>74</v>
      </c>
      <c r="S274" t="s">
        <v>74</v>
      </c>
      <c r="T274" t="s">
        <v>5647</v>
      </c>
      <c r="U274" t="s">
        <v>5648</v>
      </c>
      <c r="V274" t="s">
        <v>5649</v>
      </c>
      <c r="W274" t="s">
        <v>5650</v>
      </c>
      <c r="X274" t="s">
        <v>5651</v>
      </c>
      <c r="Y274" t="s">
        <v>5652</v>
      </c>
      <c r="Z274" t="s">
        <v>5653</v>
      </c>
      <c r="AA274" t="s">
        <v>74</v>
      </c>
      <c r="AB274" t="s">
        <v>74</v>
      </c>
      <c r="AC274" t="s">
        <v>74</v>
      </c>
      <c r="AD274" t="s">
        <v>74</v>
      </c>
      <c r="AE274" t="s">
        <v>74</v>
      </c>
      <c r="AF274" t="s">
        <v>74</v>
      </c>
      <c r="AG274">
        <v>38</v>
      </c>
      <c r="AH274">
        <v>3</v>
      </c>
      <c r="AI274">
        <v>3</v>
      </c>
      <c r="AJ274">
        <v>1</v>
      </c>
      <c r="AK274">
        <v>10</v>
      </c>
      <c r="AL274" t="s">
        <v>5632</v>
      </c>
      <c r="AM274" t="s">
        <v>5633</v>
      </c>
      <c r="AN274" t="s">
        <v>5634</v>
      </c>
      <c r="AO274" t="s">
        <v>5635</v>
      </c>
      <c r="AP274" t="s">
        <v>5636</v>
      </c>
      <c r="AQ274" t="s">
        <v>74</v>
      </c>
      <c r="AR274" t="s">
        <v>5637</v>
      </c>
      <c r="AS274" t="s">
        <v>5638</v>
      </c>
      <c r="AT274" t="s">
        <v>2547</v>
      </c>
      <c r="AU274">
        <v>2019</v>
      </c>
      <c r="AV274">
        <v>128</v>
      </c>
      <c r="AW274">
        <v>3</v>
      </c>
      <c r="AX274" t="s">
        <v>74</v>
      </c>
      <c r="AY274" t="s">
        <v>74</v>
      </c>
      <c r="AZ274" t="s">
        <v>74</v>
      </c>
      <c r="BA274" t="s">
        <v>74</v>
      </c>
      <c r="BB274" t="s">
        <v>74</v>
      </c>
      <c r="BC274" t="s">
        <v>74</v>
      </c>
      <c r="BD274">
        <v>64</v>
      </c>
      <c r="BE274" t="s">
        <v>5654</v>
      </c>
      <c r="BF274" t="str">
        <f>HYPERLINK("http://dx.doi.org/10.1007/s12040-019-1093-x","http://dx.doi.org/10.1007/s12040-019-1093-x")</f>
        <v>http://dx.doi.org/10.1007/s12040-019-1093-x</v>
      </c>
      <c r="BG274" t="s">
        <v>74</v>
      </c>
      <c r="BH274" t="s">
        <v>74</v>
      </c>
      <c r="BI274">
        <v>11</v>
      </c>
      <c r="BJ274" t="s">
        <v>5640</v>
      </c>
      <c r="BK274" t="s">
        <v>102</v>
      </c>
      <c r="BL274" t="s">
        <v>5641</v>
      </c>
      <c r="BM274" t="s">
        <v>5642</v>
      </c>
      <c r="BN274" t="s">
        <v>74</v>
      </c>
      <c r="BO274" t="s">
        <v>279</v>
      </c>
      <c r="BP274" t="s">
        <v>74</v>
      </c>
      <c r="BQ274" t="s">
        <v>74</v>
      </c>
      <c r="BR274" t="s">
        <v>107</v>
      </c>
      <c r="BS274" t="s">
        <v>5655</v>
      </c>
      <c r="BT274" t="str">
        <f>HYPERLINK("https%3A%2F%2Fwww.webofscience.com%2Fwos%2Fwoscc%2Ffull-record%2FWOS:000460945500004","View Full Record in Web of Science")</f>
        <v>View Full Record in Web of Science</v>
      </c>
    </row>
    <row r="275" spans="1:72" x14ac:dyDescent="0.15">
      <c r="A275" t="s">
        <v>72</v>
      </c>
      <c r="B275" t="s">
        <v>5656</v>
      </c>
      <c r="C275" t="s">
        <v>74</v>
      </c>
      <c r="D275" t="s">
        <v>74</v>
      </c>
      <c r="E275" t="s">
        <v>74</v>
      </c>
      <c r="F275" t="s">
        <v>5657</v>
      </c>
      <c r="G275" t="s">
        <v>74</v>
      </c>
      <c r="H275" t="s">
        <v>74</v>
      </c>
      <c r="I275" t="s">
        <v>5658</v>
      </c>
      <c r="J275" t="s">
        <v>5659</v>
      </c>
      <c r="K275" t="s">
        <v>74</v>
      </c>
      <c r="L275" t="s">
        <v>74</v>
      </c>
      <c r="M275" t="s">
        <v>78</v>
      </c>
      <c r="N275" t="s">
        <v>79</v>
      </c>
      <c r="O275" t="s">
        <v>74</v>
      </c>
      <c r="P275" t="s">
        <v>74</v>
      </c>
      <c r="Q275" t="s">
        <v>74</v>
      </c>
      <c r="R275" t="s">
        <v>74</v>
      </c>
      <c r="S275" t="s">
        <v>74</v>
      </c>
      <c r="T275" t="s">
        <v>5660</v>
      </c>
      <c r="U275" t="s">
        <v>5661</v>
      </c>
      <c r="V275" t="s">
        <v>5662</v>
      </c>
      <c r="W275" t="s">
        <v>5663</v>
      </c>
      <c r="X275" t="s">
        <v>5664</v>
      </c>
      <c r="Y275" t="s">
        <v>5665</v>
      </c>
      <c r="Z275" t="s">
        <v>5666</v>
      </c>
      <c r="AA275" t="s">
        <v>5667</v>
      </c>
      <c r="AB275" t="s">
        <v>5668</v>
      </c>
      <c r="AC275" t="s">
        <v>74</v>
      </c>
      <c r="AD275" t="s">
        <v>74</v>
      </c>
      <c r="AE275" t="s">
        <v>74</v>
      </c>
      <c r="AF275" t="s">
        <v>74</v>
      </c>
      <c r="AG275">
        <v>35</v>
      </c>
      <c r="AH275">
        <v>4</v>
      </c>
      <c r="AI275">
        <v>4</v>
      </c>
      <c r="AJ275">
        <v>2</v>
      </c>
      <c r="AK275">
        <v>19</v>
      </c>
      <c r="AL275" t="s">
        <v>5669</v>
      </c>
      <c r="AM275" t="s">
        <v>5670</v>
      </c>
      <c r="AN275" t="s">
        <v>5671</v>
      </c>
      <c r="AO275" t="s">
        <v>5672</v>
      </c>
      <c r="AP275" t="s">
        <v>5673</v>
      </c>
      <c r="AQ275" t="s">
        <v>74</v>
      </c>
      <c r="AR275" t="s">
        <v>5674</v>
      </c>
      <c r="AS275" t="s">
        <v>5675</v>
      </c>
      <c r="AT275" t="s">
        <v>2547</v>
      </c>
      <c r="AU275">
        <v>2019</v>
      </c>
      <c r="AV275">
        <v>113</v>
      </c>
      <c r="AW275">
        <v>2</v>
      </c>
      <c r="AX275" t="s">
        <v>74</v>
      </c>
      <c r="AY275" t="s">
        <v>74</v>
      </c>
      <c r="AZ275" t="s">
        <v>74</v>
      </c>
      <c r="BA275" t="s">
        <v>74</v>
      </c>
      <c r="BB275">
        <v>155</v>
      </c>
      <c r="BC275">
        <v>167</v>
      </c>
      <c r="BD275" t="s">
        <v>74</v>
      </c>
      <c r="BE275" t="s">
        <v>5676</v>
      </c>
      <c r="BF275" t="str">
        <f>HYPERLINK("http://dx.doi.org/10.1007/s00710-018-00651-x","http://dx.doi.org/10.1007/s00710-018-00651-x")</f>
        <v>http://dx.doi.org/10.1007/s00710-018-00651-x</v>
      </c>
      <c r="BG275" t="s">
        <v>74</v>
      </c>
      <c r="BH275" t="s">
        <v>74</v>
      </c>
      <c r="BI275">
        <v>13</v>
      </c>
      <c r="BJ275" t="s">
        <v>5677</v>
      </c>
      <c r="BK275" t="s">
        <v>102</v>
      </c>
      <c r="BL275" t="s">
        <v>5677</v>
      </c>
      <c r="BM275" t="s">
        <v>5678</v>
      </c>
      <c r="BN275" t="s">
        <v>74</v>
      </c>
      <c r="BO275" t="s">
        <v>74</v>
      </c>
      <c r="BP275" t="s">
        <v>74</v>
      </c>
      <c r="BQ275" t="s">
        <v>74</v>
      </c>
      <c r="BR275" t="s">
        <v>107</v>
      </c>
      <c r="BS275" t="s">
        <v>5679</v>
      </c>
      <c r="BT275" t="str">
        <f>HYPERLINK("https%3A%2F%2Fwww.webofscience.com%2Fwos%2Fwoscc%2Ffull-record%2FWOS:000461393900001","View Full Record in Web of Science")</f>
        <v>View Full Record in Web of Science</v>
      </c>
    </row>
    <row r="276" spans="1:72" x14ac:dyDescent="0.15">
      <c r="A276" t="s">
        <v>72</v>
      </c>
      <c r="B276" t="s">
        <v>5680</v>
      </c>
      <c r="C276" t="s">
        <v>74</v>
      </c>
      <c r="D276" t="s">
        <v>74</v>
      </c>
      <c r="E276" t="s">
        <v>74</v>
      </c>
      <c r="F276" t="s">
        <v>5681</v>
      </c>
      <c r="G276" t="s">
        <v>74</v>
      </c>
      <c r="H276" t="s">
        <v>74</v>
      </c>
      <c r="I276" t="s">
        <v>5682</v>
      </c>
      <c r="J276" t="s">
        <v>5683</v>
      </c>
      <c r="K276" t="s">
        <v>74</v>
      </c>
      <c r="L276" t="s">
        <v>74</v>
      </c>
      <c r="M276" t="s">
        <v>78</v>
      </c>
      <c r="N276" t="s">
        <v>79</v>
      </c>
      <c r="O276" t="s">
        <v>74</v>
      </c>
      <c r="P276" t="s">
        <v>74</v>
      </c>
      <c r="Q276" t="s">
        <v>74</v>
      </c>
      <c r="R276" t="s">
        <v>74</v>
      </c>
      <c r="S276" t="s">
        <v>74</v>
      </c>
      <c r="T276" t="s">
        <v>5684</v>
      </c>
      <c r="U276" t="s">
        <v>5685</v>
      </c>
      <c r="V276" t="s">
        <v>5686</v>
      </c>
      <c r="W276" t="s">
        <v>5687</v>
      </c>
      <c r="X276" t="s">
        <v>5688</v>
      </c>
      <c r="Y276" t="s">
        <v>5689</v>
      </c>
      <c r="Z276" t="s">
        <v>5690</v>
      </c>
      <c r="AA276" t="s">
        <v>5691</v>
      </c>
      <c r="AB276" t="s">
        <v>5692</v>
      </c>
      <c r="AC276" t="s">
        <v>5693</v>
      </c>
      <c r="AD276" t="s">
        <v>5694</v>
      </c>
      <c r="AE276" t="s">
        <v>5695</v>
      </c>
      <c r="AF276" t="s">
        <v>74</v>
      </c>
      <c r="AG276">
        <v>50</v>
      </c>
      <c r="AH276">
        <v>9</v>
      </c>
      <c r="AI276">
        <v>9</v>
      </c>
      <c r="AJ276">
        <v>5</v>
      </c>
      <c r="AK276">
        <v>28</v>
      </c>
      <c r="AL276" t="s">
        <v>153</v>
      </c>
      <c r="AM276" t="s">
        <v>154</v>
      </c>
      <c r="AN276" t="s">
        <v>155</v>
      </c>
      <c r="AO276" t="s">
        <v>5696</v>
      </c>
      <c r="AP276" t="s">
        <v>5697</v>
      </c>
      <c r="AQ276" t="s">
        <v>74</v>
      </c>
      <c r="AR276" t="s">
        <v>5698</v>
      </c>
      <c r="AS276" t="s">
        <v>5699</v>
      </c>
      <c r="AT276" t="s">
        <v>2547</v>
      </c>
      <c r="AU276">
        <v>2019</v>
      </c>
      <c r="AV276">
        <v>33</v>
      </c>
      <c r="AW276">
        <v>2</v>
      </c>
      <c r="AX276" t="s">
        <v>74</v>
      </c>
      <c r="AY276" t="s">
        <v>74</v>
      </c>
      <c r="AZ276" t="s">
        <v>74</v>
      </c>
      <c r="BA276" t="s">
        <v>74</v>
      </c>
      <c r="BB276">
        <v>403</v>
      </c>
      <c r="BC276">
        <v>412</v>
      </c>
      <c r="BD276" t="s">
        <v>74</v>
      </c>
      <c r="BE276" t="s">
        <v>5700</v>
      </c>
      <c r="BF276" t="str">
        <f>HYPERLINK("http://dx.doi.org/10.1111/cobi.13202","http://dx.doi.org/10.1111/cobi.13202")</f>
        <v>http://dx.doi.org/10.1111/cobi.13202</v>
      </c>
      <c r="BG276" t="s">
        <v>74</v>
      </c>
      <c r="BH276" t="s">
        <v>74</v>
      </c>
      <c r="BI276">
        <v>10</v>
      </c>
      <c r="BJ276" t="s">
        <v>5064</v>
      </c>
      <c r="BK276" t="s">
        <v>102</v>
      </c>
      <c r="BL276" t="s">
        <v>5065</v>
      </c>
      <c r="BM276" t="s">
        <v>5701</v>
      </c>
      <c r="BN276">
        <v>30091174</v>
      </c>
      <c r="BO276" t="s">
        <v>403</v>
      </c>
      <c r="BP276" t="s">
        <v>74</v>
      </c>
      <c r="BQ276" t="s">
        <v>74</v>
      </c>
      <c r="BR276" t="s">
        <v>107</v>
      </c>
      <c r="BS276" t="s">
        <v>5702</v>
      </c>
      <c r="BT276" t="str">
        <f>HYPERLINK("https%3A%2F%2Fwww.webofscience.com%2Fwos%2Fwoscc%2Ffull-record%2FWOS:000460664300017","View Full Record in Web of Science")</f>
        <v>View Full Record in Web of Science</v>
      </c>
    </row>
    <row r="277" spans="1:72" x14ac:dyDescent="0.15">
      <c r="A277" t="s">
        <v>72</v>
      </c>
      <c r="B277" t="s">
        <v>5703</v>
      </c>
      <c r="C277" t="s">
        <v>74</v>
      </c>
      <c r="D277" t="s">
        <v>74</v>
      </c>
      <c r="E277" t="s">
        <v>74</v>
      </c>
      <c r="F277" t="s">
        <v>5704</v>
      </c>
      <c r="G277" t="s">
        <v>74</v>
      </c>
      <c r="H277" t="s">
        <v>74</v>
      </c>
      <c r="I277" t="s">
        <v>5705</v>
      </c>
      <c r="J277" t="s">
        <v>5683</v>
      </c>
      <c r="K277" t="s">
        <v>74</v>
      </c>
      <c r="L277" t="s">
        <v>74</v>
      </c>
      <c r="M277" t="s">
        <v>78</v>
      </c>
      <c r="N277" t="s">
        <v>79</v>
      </c>
      <c r="O277" t="s">
        <v>74</v>
      </c>
      <c r="P277" t="s">
        <v>74</v>
      </c>
      <c r="Q277" t="s">
        <v>74</v>
      </c>
      <c r="R277" t="s">
        <v>74</v>
      </c>
      <c r="S277" t="s">
        <v>74</v>
      </c>
      <c r="T277" t="s">
        <v>5706</v>
      </c>
      <c r="U277" t="s">
        <v>5707</v>
      </c>
      <c r="V277" t="s">
        <v>5708</v>
      </c>
      <c r="W277" t="s">
        <v>5709</v>
      </c>
      <c r="X277" t="s">
        <v>5710</v>
      </c>
      <c r="Y277" t="s">
        <v>5711</v>
      </c>
      <c r="Z277" t="s">
        <v>5712</v>
      </c>
      <c r="AA277" t="s">
        <v>5713</v>
      </c>
      <c r="AB277" t="s">
        <v>5714</v>
      </c>
      <c r="AC277" t="s">
        <v>5715</v>
      </c>
      <c r="AD277" t="s">
        <v>5716</v>
      </c>
      <c r="AE277" t="s">
        <v>5717</v>
      </c>
      <c r="AF277" t="s">
        <v>74</v>
      </c>
      <c r="AG277">
        <v>42</v>
      </c>
      <c r="AH277">
        <v>31</v>
      </c>
      <c r="AI277">
        <v>32</v>
      </c>
      <c r="AJ277">
        <v>0</v>
      </c>
      <c r="AK277">
        <v>22</v>
      </c>
      <c r="AL277" t="s">
        <v>153</v>
      </c>
      <c r="AM277" t="s">
        <v>154</v>
      </c>
      <c r="AN277" t="s">
        <v>155</v>
      </c>
      <c r="AO277" t="s">
        <v>5696</v>
      </c>
      <c r="AP277" t="s">
        <v>5697</v>
      </c>
      <c r="AQ277" t="s">
        <v>74</v>
      </c>
      <c r="AR277" t="s">
        <v>5698</v>
      </c>
      <c r="AS277" t="s">
        <v>5699</v>
      </c>
      <c r="AT277" t="s">
        <v>2547</v>
      </c>
      <c r="AU277">
        <v>2019</v>
      </c>
      <c r="AV277">
        <v>33</v>
      </c>
      <c r="AW277">
        <v>2</v>
      </c>
      <c r="AX277" t="s">
        <v>74</v>
      </c>
      <c r="AY277" t="s">
        <v>74</v>
      </c>
      <c r="AZ277" t="s">
        <v>74</v>
      </c>
      <c r="BA277" t="s">
        <v>74</v>
      </c>
      <c r="BB277">
        <v>456</v>
      </c>
      <c r="BC277">
        <v>468</v>
      </c>
      <c r="BD277" t="s">
        <v>74</v>
      </c>
      <c r="BE277" t="s">
        <v>5718</v>
      </c>
      <c r="BF277" t="str">
        <f>HYPERLINK("http://dx.doi.org/10.1111/cobi.13220","http://dx.doi.org/10.1111/cobi.13220")</f>
        <v>http://dx.doi.org/10.1111/cobi.13220</v>
      </c>
      <c r="BG277" t="s">
        <v>74</v>
      </c>
      <c r="BH277" t="s">
        <v>74</v>
      </c>
      <c r="BI277">
        <v>13</v>
      </c>
      <c r="BJ277" t="s">
        <v>5064</v>
      </c>
      <c r="BK277" t="s">
        <v>102</v>
      </c>
      <c r="BL277" t="s">
        <v>5065</v>
      </c>
      <c r="BM277" t="s">
        <v>5701</v>
      </c>
      <c r="BN277">
        <v>30465331</v>
      </c>
      <c r="BO277" t="s">
        <v>491</v>
      </c>
      <c r="BP277" t="s">
        <v>74</v>
      </c>
      <c r="BQ277" t="s">
        <v>74</v>
      </c>
      <c r="BR277" t="s">
        <v>107</v>
      </c>
      <c r="BS277" t="s">
        <v>5719</v>
      </c>
      <c r="BT277" t="str">
        <f>HYPERLINK("https%3A%2F%2Fwww.webofscience.com%2Fwos%2Fwoscc%2Ffull-record%2FWOS:000460664300022","View Full Record in Web of Science")</f>
        <v>View Full Record in Web of Science</v>
      </c>
    </row>
    <row r="278" spans="1:72" x14ac:dyDescent="0.15">
      <c r="A278" t="s">
        <v>72</v>
      </c>
      <c r="B278" t="s">
        <v>5720</v>
      </c>
      <c r="C278" t="s">
        <v>74</v>
      </c>
      <c r="D278" t="s">
        <v>74</v>
      </c>
      <c r="E278" t="s">
        <v>74</v>
      </c>
      <c r="F278" t="s">
        <v>5721</v>
      </c>
      <c r="G278" t="s">
        <v>74</v>
      </c>
      <c r="H278" t="s">
        <v>74</v>
      </c>
      <c r="I278" t="s">
        <v>5722</v>
      </c>
      <c r="J278" t="s">
        <v>5723</v>
      </c>
      <c r="K278" t="s">
        <v>74</v>
      </c>
      <c r="L278" t="s">
        <v>74</v>
      </c>
      <c r="M278" t="s">
        <v>78</v>
      </c>
      <c r="N278" t="s">
        <v>79</v>
      </c>
      <c r="O278" t="s">
        <v>74</v>
      </c>
      <c r="P278" t="s">
        <v>74</v>
      </c>
      <c r="Q278" t="s">
        <v>74</v>
      </c>
      <c r="R278" t="s">
        <v>74</v>
      </c>
      <c r="S278" t="s">
        <v>74</v>
      </c>
      <c r="T278" t="s">
        <v>5724</v>
      </c>
      <c r="U278" t="s">
        <v>5725</v>
      </c>
      <c r="V278" t="s">
        <v>5726</v>
      </c>
      <c r="W278" t="s">
        <v>5727</v>
      </c>
      <c r="X278" t="s">
        <v>5728</v>
      </c>
      <c r="Y278" t="s">
        <v>5729</v>
      </c>
      <c r="Z278" t="s">
        <v>5730</v>
      </c>
      <c r="AA278" t="s">
        <v>5731</v>
      </c>
      <c r="AB278" t="s">
        <v>5732</v>
      </c>
      <c r="AC278" t="s">
        <v>5733</v>
      </c>
      <c r="AD278" t="s">
        <v>5734</v>
      </c>
      <c r="AE278" t="s">
        <v>5735</v>
      </c>
      <c r="AF278" t="s">
        <v>74</v>
      </c>
      <c r="AG278">
        <v>108</v>
      </c>
      <c r="AH278">
        <v>8</v>
      </c>
      <c r="AI278">
        <v>8</v>
      </c>
      <c r="AJ278">
        <v>0</v>
      </c>
      <c r="AK278">
        <v>9</v>
      </c>
      <c r="AL278" t="s">
        <v>153</v>
      </c>
      <c r="AM278" t="s">
        <v>154</v>
      </c>
      <c r="AN278" t="s">
        <v>155</v>
      </c>
      <c r="AO278" t="s">
        <v>5736</v>
      </c>
      <c r="AP278" t="s">
        <v>5737</v>
      </c>
      <c r="AQ278" t="s">
        <v>74</v>
      </c>
      <c r="AR278" t="s">
        <v>5723</v>
      </c>
      <c r="AS278" t="s">
        <v>5738</v>
      </c>
      <c r="AT278" t="s">
        <v>2547</v>
      </c>
      <c r="AU278">
        <v>2019</v>
      </c>
      <c r="AV278">
        <v>66</v>
      </c>
      <c r="AW278">
        <v>3</v>
      </c>
      <c r="AX278" t="s">
        <v>74</v>
      </c>
      <c r="AY278" t="s">
        <v>74</v>
      </c>
      <c r="AZ278" t="s">
        <v>74</v>
      </c>
      <c r="BA278" t="s">
        <v>74</v>
      </c>
      <c r="BB278">
        <v>917</v>
      </c>
      <c r="BC278">
        <v>939</v>
      </c>
      <c r="BD278" t="s">
        <v>74</v>
      </c>
      <c r="BE278" t="s">
        <v>5739</v>
      </c>
      <c r="BF278" t="str">
        <f>HYPERLINK("http://dx.doi.org/10.1111/sed.12522","http://dx.doi.org/10.1111/sed.12522")</f>
        <v>http://dx.doi.org/10.1111/sed.12522</v>
      </c>
      <c r="BG278" t="s">
        <v>74</v>
      </c>
      <c r="BH278" t="s">
        <v>74</v>
      </c>
      <c r="BI278">
        <v>23</v>
      </c>
      <c r="BJ278" t="s">
        <v>923</v>
      </c>
      <c r="BK278" t="s">
        <v>102</v>
      </c>
      <c r="BL278" t="s">
        <v>923</v>
      </c>
      <c r="BM278" t="s">
        <v>5740</v>
      </c>
      <c r="BN278" t="s">
        <v>74</v>
      </c>
      <c r="BO278" t="s">
        <v>74</v>
      </c>
      <c r="BP278" t="s">
        <v>74</v>
      </c>
      <c r="BQ278" t="s">
        <v>74</v>
      </c>
      <c r="BR278" t="s">
        <v>107</v>
      </c>
      <c r="BS278" t="s">
        <v>5741</v>
      </c>
      <c r="BT278" t="str">
        <f>HYPERLINK("https%3A%2F%2Fwww.webofscience.com%2Fwos%2Fwoscc%2Ffull-record%2FWOS:000460772800006","View Full Record in Web of Science")</f>
        <v>View Full Record in Web of Science</v>
      </c>
    </row>
    <row r="279" spans="1:72" x14ac:dyDescent="0.15">
      <c r="A279" t="s">
        <v>72</v>
      </c>
      <c r="B279" t="s">
        <v>5742</v>
      </c>
      <c r="C279" t="s">
        <v>74</v>
      </c>
      <c r="D279" t="s">
        <v>74</v>
      </c>
      <c r="E279" t="s">
        <v>74</v>
      </c>
      <c r="F279" t="s">
        <v>5743</v>
      </c>
      <c r="G279" t="s">
        <v>74</v>
      </c>
      <c r="H279" t="s">
        <v>74</v>
      </c>
      <c r="I279" t="s">
        <v>5744</v>
      </c>
      <c r="J279" t="s">
        <v>5745</v>
      </c>
      <c r="K279" t="s">
        <v>74</v>
      </c>
      <c r="L279" t="s">
        <v>74</v>
      </c>
      <c r="M279" t="s">
        <v>78</v>
      </c>
      <c r="N279" t="s">
        <v>79</v>
      </c>
      <c r="O279" t="s">
        <v>74</v>
      </c>
      <c r="P279" t="s">
        <v>74</v>
      </c>
      <c r="Q279" t="s">
        <v>74</v>
      </c>
      <c r="R279" t="s">
        <v>74</v>
      </c>
      <c r="S279" t="s">
        <v>74</v>
      </c>
      <c r="T279" t="s">
        <v>5746</v>
      </c>
      <c r="U279" t="s">
        <v>5747</v>
      </c>
      <c r="V279" t="s">
        <v>5748</v>
      </c>
      <c r="W279" t="s">
        <v>5749</v>
      </c>
      <c r="X279" t="s">
        <v>5750</v>
      </c>
      <c r="Y279" t="s">
        <v>5751</v>
      </c>
      <c r="Z279" t="s">
        <v>5752</v>
      </c>
      <c r="AA279" t="s">
        <v>5753</v>
      </c>
      <c r="AB279" t="s">
        <v>5754</v>
      </c>
      <c r="AC279" t="s">
        <v>5755</v>
      </c>
      <c r="AD279" t="s">
        <v>5756</v>
      </c>
      <c r="AE279" t="s">
        <v>5757</v>
      </c>
      <c r="AF279" t="s">
        <v>74</v>
      </c>
      <c r="AG279">
        <v>54</v>
      </c>
      <c r="AH279">
        <v>48</v>
      </c>
      <c r="AI279">
        <v>50</v>
      </c>
      <c r="AJ279">
        <v>6</v>
      </c>
      <c r="AK279">
        <v>42</v>
      </c>
      <c r="AL279" t="s">
        <v>153</v>
      </c>
      <c r="AM279" t="s">
        <v>154</v>
      </c>
      <c r="AN279" t="s">
        <v>155</v>
      </c>
      <c r="AO279" t="s">
        <v>5758</v>
      </c>
      <c r="AP279" t="s">
        <v>5759</v>
      </c>
      <c r="AQ279" t="s">
        <v>74</v>
      </c>
      <c r="AR279" t="s">
        <v>5760</v>
      </c>
      <c r="AS279" t="s">
        <v>5761</v>
      </c>
      <c r="AT279" t="s">
        <v>2547</v>
      </c>
      <c r="AU279">
        <v>2019</v>
      </c>
      <c r="AV279">
        <v>22</v>
      </c>
      <c r="AW279">
        <v>4</v>
      </c>
      <c r="AX279" t="s">
        <v>74</v>
      </c>
      <c r="AY279" t="s">
        <v>74</v>
      </c>
      <c r="AZ279" t="s">
        <v>74</v>
      </c>
      <c r="BA279" t="s">
        <v>74</v>
      </c>
      <c r="BB279">
        <v>685</v>
      </c>
      <c r="BC279">
        <v>696</v>
      </c>
      <c r="BD279" t="s">
        <v>74</v>
      </c>
      <c r="BE279" t="s">
        <v>5762</v>
      </c>
      <c r="BF279" t="str">
        <f>HYPERLINK("http://dx.doi.org/10.1111/ele.13222","http://dx.doi.org/10.1111/ele.13222")</f>
        <v>http://dx.doi.org/10.1111/ele.13222</v>
      </c>
      <c r="BG279" t="s">
        <v>74</v>
      </c>
      <c r="BH279" t="s">
        <v>74</v>
      </c>
      <c r="BI279">
        <v>12</v>
      </c>
      <c r="BJ279" t="s">
        <v>5763</v>
      </c>
      <c r="BK279" t="s">
        <v>102</v>
      </c>
      <c r="BL279" t="s">
        <v>2297</v>
      </c>
      <c r="BM279" t="s">
        <v>5764</v>
      </c>
      <c r="BN279">
        <v>30740843</v>
      </c>
      <c r="BO279" t="s">
        <v>186</v>
      </c>
      <c r="BP279" t="s">
        <v>74</v>
      </c>
      <c r="BQ279" t="s">
        <v>74</v>
      </c>
      <c r="BR279" t="s">
        <v>107</v>
      </c>
      <c r="BS279" t="s">
        <v>5765</v>
      </c>
      <c r="BT279" t="str">
        <f>HYPERLINK("https%3A%2F%2Fwww.webofscience.com%2Fwos%2Fwoscc%2Ffull-record%2FWOS:000460768100013","View Full Record in Web of Science")</f>
        <v>View Full Record in Web of Science</v>
      </c>
    </row>
    <row r="280" spans="1:72" x14ac:dyDescent="0.15">
      <c r="A280" t="s">
        <v>72</v>
      </c>
      <c r="B280" t="s">
        <v>5766</v>
      </c>
      <c r="C280" t="s">
        <v>74</v>
      </c>
      <c r="D280" t="s">
        <v>74</v>
      </c>
      <c r="E280" t="s">
        <v>74</v>
      </c>
      <c r="F280" t="s">
        <v>5767</v>
      </c>
      <c r="G280" t="s">
        <v>74</v>
      </c>
      <c r="H280" t="s">
        <v>74</v>
      </c>
      <c r="I280" t="s">
        <v>5768</v>
      </c>
      <c r="J280" t="s">
        <v>5769</v>
      </c>
      <c r="K280" t="s">
        <v>74</v>
      </c>
      <c r="L280" t="s">
        <v>74</v>
      </c>
      <c r="M280" t="s">
        <v>78</v>
      </c>
      <c r="N280" t="s">
        <v>79</v>
      </c>
      <c r="O280" t="s">
        <v>74</v>
      </c>
      <c r="P280" t="s">
        <v>74</v>
      </c>
      <c r="Q280" t="s">
        <v>74</v>
      </c>
      <c r="R280" t="s">
        <v>74</v>
      </c>
      <c r="S280" t="s">
        <v>74</v>
      </c>
      <c r="T280" t="s">
        <v>74</v>
      </c>
      <c r="U280" t="s">
        <v>5770</v>
      </c>
      <c r="V280" t="s">
        <v>5771</v>
      </c>
      <c r="W280" t="s">
        <v>5772</v>
      </c>
      <c r="X280" t="s">
        <v>5773</v>
      </c>
      <c r="Y280" t="s">
        <v>5774</v>
      </c>
      <c r="Z280" t="s">
        <v>5775</v>
      </c>
      <c r="AA280" t="s">
        <v>5776</v>
      </c>
      <c r="AB280" t="s">
        <v>5777</v>
      </c>
      <c r="AC280" t="s">
        <v>5778</v>
      </c>
      <c r="AD280" t="s">
        <v>5779</v>
      </c>
      <c r="AE280" t="s">
        <v>5780</v>
      </c>
      <c r="AF280" t="s">
        <v>74</v>
      </c>
      <c r="AG280">
        <v>52</v>
      </c>
      <c r="AH280">
        <v>11</v>
      </c>
      <c r="AI280">
        <v>14</v>
      </c>
      <c r="AJ280">
        <v>1</v>
      </c>
      <c r="AK280">
        <v>8</v>
      </c>
      <c r="AL280" t="s">
        <v>662</v>
      </c>
      <c r="AM280" t="s">
        <v>635</v>
      </c>
      <c r="AN280" t="s">
        <v>663</v>
      </c>
      <c r="AO280" t="s">
        <v>5781</v>
      </c>
      <c r="AP280" t="s">
        <v>5782</v>
      </c>
      <c r="AQ280" t="s">
        <v>74</v>
      </c>
      <c r="AR280" t="s">
        <v>5783</v>
      </c>
      <c r="AS280" t="s">
        <v>5784</v>
      </c>
      <c r="AT280" t="s">
        <v>2547</v>
      </c>
      <c r="AU280">
        <v>2019</v>
      </c>
      <c r="AV280">
        <v>146</v>
      </c>
      <c r="AW280" t="s">
        <v>74</v>
      </c>
      <c r="AX280" t="s">
        <v>74</v>
      </c>
      <c r="AY280" t="s">
        <v>74</v>
      </c>
      <c r="AZ280" t="s">
        <v>74</v>
      </c>
      <c r="BA280" t="s">
        <v>74</v>
      </c>
      <c r="BB280">
        <v>33</v>
      </c>
      <c r="BC280">
        <v>45</v>
      </c>
      <c r="BD280" t="s">
        <v>74</v>
      </c>
      <c r="BE280" t="s">
        <v>5785</v>
      </c>
      <c r="BF280" t="str">
        <f>HYPERLINK("http://dx.doi.org/10.1016/j.seares.2019.01.007","http://dx.doi.org/10.1016/j.seares.2019.01.007")</f>
        <v>http://dx.doi.org/10.1016/j.seares.2019.01.007</v>
      </c>
      <c r="BG280" t="s">
        <v>74</v>
      </c>
      <c r="BH280" t="s">
        <v>74</v>
      </c>
      <c r="BI280">
        <v>13</v>
      </c>
      <c r="BJ280" t="s">
        <v>250</v>
      </c>
      <c r="BK280" t="s">
        <v>102</v>
      </c>
      <c r="BL280" t="s">
        <v>250</v>
      </c>
      <c r="BM280" t="s">
        <v>5786</v>
      </c>
      <c r="BN280" t="s">
        <v>74</v>
      </c>
      <c r="BO280" t="s">
        <v>74</v>
      </c>
      <c r="BP280" t="s">
        <v>74</v>
      </c>
      <c r="BQ280" t="s">
        <v>74</v>
      </c>
      <c r="BR280" t="s">
        <v>107</v>
      </c>
      <c r="BS280" t="s">
        <v>5787</v>
      </c>
      <c r="BT280" t="str">
        <f>HYPERLINK("https%3A%2F%2Fwww.webofscience.com%2Fwos%2Fwoscc%2Ffull-record%2FWOS:000460827200004","View Full Record in Web of Science")</f>
        <v>View Full Record in Web of Science</v>
      </c>
    </row>
    <row r="281" spans="1:72" x14ac:dyDescent="0.15">
      <c r="A281" t="s">
        <v>72</v>
      </c>
      <c r="B281" t="s">
        <v>5788</v>
      </c>
      <c r="C281" t="s">
        <v>74</v>
      </c>
      <c r="D281" t="s">
        <v>74</v>
      </c>
      <c r="E281" t="s">
        <v>74</v>
      </c>
      <c r="F281" t="s">
        <v>5789</v>
      </c>
      <c r="G281" t="s">
        <v>74</v>
      </c>
      <c r="H281" t="s">
        <v>74</v>
      </c>
      <c r="I281" t="s">
        <v>5790</v>
      </c>
      <c r="J281" t="s">
        <v>5791</v>
      </c>
      <c r="K281" t="s">
        <v>74</v>
      </c>
      <c r="L281" t="s">
        <v>74</v>
      </c>
      <c r="M281" t="s">
        <v>78</v>
      </c>
      <c r="N281" t="s">
        <v>79</v>
      </c>
      <c r="O281" t="s">
        <v>74</v>
      </c>
      <c r="P281" t="s">
        <v>74</v>
      </c>
      <c r="Q281" t="s">
        <v>74</v>
      </c>
      <c r="R281" t="s">
        <v>74</v>
      </c>
      <c r="S281" t="s">
        <v>74</v>
      </c>
      <c r="T281" t="s">
        <v>5792</v>
      </c>
      <c r="U281" t="s">
        <v>5793</v>
      </c>
      <c r="V281" t="s">
        <v>5794</v>
      </c>
      <c r="W281" t="s">
        <v>5795</v>
      </c>
      <c r="X281" t="s">
        <v>5796</v>
      </c>
      <c r="Y281" t="s">
        <v>5797</v>
      </c>
      <c r="Z281" t="s">
        <v>5798</v>
      </c>
      <c r="AA281" t="s">
        <v>5799</v>
      </c>
      <c r="AB281" t="s">
        <v>5800</v>
      </c>
      <c r="AC281" t="s">
        <v>5801</v>
      </c>
      <c r="AD281" t="s">
        <v>5801</v>
      </c>
      <c r="AE281" t="s">
        <v>5802</v>
      </c>
      <c r="AF281" t="s">
        <v>74</v>
      </c>
      <c r="AG281">
        <v>45</v>
      </c>
      <c r="AH281">
        <v>13</v>
      </c>
      <c r="AI281">
        <v>13</v>
      </c>
      <c r="AJ281">
        <v>0</v>
      </c>
      <c r="AK281">
        <v>2</v>
      </c>
      <c r="AL281" t="s">
        <v>606</v>
      </c>
      <c r="AM281" t="s">
        <v>607</v>
      </c>
      <c r="AN281" t="s">
        <v>608</v>
      </c>
      <c r="AO281" t="s">
        <v>5803</v>
      </c>
      <c r="AP281" t="s">
        <v>5804</v>
      </c>
      <c r="AQ281" t="s">
        <v>74</v>
      </c>
      <c r="AR281" t="s">
        <v>5791</v>
      </c>
      <c r="AS281" t="s">
        <v>5805</v>
      </c>
      <c r="AT281" t="s">
        <v>2547</v>
      </c>
      <c r="AU281">
        <v>2019</v>
      </c>
      <c r="AV281">
        <v>121</v>
      </c>
      <c r="AW281" t="s">
        <v>74</v>
      </c>
      <c r="AX281" t="s">
        <v>74</v>
      </c>
      <c r="AY281" t="s">
        <v>74</v>
      </c>
      <c r="AZ281" t="s">
        <v>74</v>
      </c>
      <c r="BA281" t="s">
        <v>74</v>
      </c>
      <c r="BB281">
        <v>267</v>
      </c>
      <c r="BC281">
        <v>276</v>
      </c>
      <c r="BD281" t="s">
        <v>74</v>
      </c>
      <c r="BE281" t="s">
        <v>5806</v>
      </c>
      <c r="BF281" t="str">
        <f>HYPERLINK("http://dx.doi.org/10.1016/j.bone.2019.02.002","http://dx.doi.org/10.1016/j.bone.2019.02.002")</f>
        <v>http://dx.doi.org/10.1016/j.bone.2019.02.002</v>
      </c>
      <c r="BG281" t="s">
        <v>74</v>
      </c>
      <c r="BH281" t="s">
        <v>74</v>
      </c>
      <c r="BI281">
        <v>10</v>
      </c>
      <c r="BJ281" t="s">
        <v>5807</v>
      </c>
      <c r="BK281" t="s">
        <v>102</v>
      </c>
      <c r="BL281" t="s">
        <v>5807</v>
      </c>
      <c r="BM281" t="s">
        <v>5808</v>
      </c>
      <c r="BN281">
        <v>30735797</v>
      </c>
      <c r="BO281" t="s">
        <v>5573</v>
      </c>
      <c r="BP281" t="s">
        <v>74</v>
      </c>
      <c r="BQ281" t="s">
        <v>74</v>
      </c>
      <c r="BR281" t="s">
        <v>107</v>
      </c>
      <c r="BS281" t="s">
        <v>5809</v>
      </c>
      <c r="BT281" t="str">
        <f>HYPERLINK("https%3A%2F%2Fwww.webofscience.com%2Fwos%2Fwoscc%2Ffull-record%2FWOS:000460495000031","View Full Record in Web of Science")</f>
        <v>View Full Record in Web of Science</v>
      </c>
    </row>
    <row r="282" spans="1:72" x14ac:dyDescent="0.15">
      <c r="A282" t="s">
        <v>72</v>
      </c>
      <c r="B282" t="s">
        <v>5810</v>
      </c>
      <c r="C282" t="s">
        <v>74</v>
      </c>
      <c r="D282" t="s">
        <v>74</v>
      </c>
      <c r="E282" t="s">
        <v>74</v>
      </c>
      <c r="F282" t="s">
        <v>5811</v>
      </c>
      <c r="G282" t="s">
        <v>74</v>
      </c>
      <c r="H282" t="s">
        <v>74</v>
      </c>
      <c r="I282" t="s">
        <v>5812</v>
      </c>
      <c r="J282" t="s">
        <v>5813</v>
      </c>
      <c r="K282" t="s">
        <v>74</v>
      </c>
      <c r="L282" t="s">
        <v>74</v>
      </c>
      <c r="M282" t="s">
        <v>78</v>
      </c>
      <c r="N282" t="s">
        <v>79</v>
      </c>
      <c r="O282" t="s">
        <v>74</v>
      </c>
      <c r="P282" t="s">
        <v>74</v>
      </c>
      <c r="Q282" t="s">
        <v>74</v>
      </c>
      <c r="R282" t="s">
        <v>74</v>
      </c>
      <c r="S282" t="s">
        <v>74</v>
      </c>
      <c r="T282" t="s">
        <v>5814</v>
      </c>
      <c r="U282" t="s">
        <v>5815</v>
      </c>
      <c r="V282" t="s">
        <v>5816</v>
      </c>
      <c r="W282" t="s">
        <v>5817</v>
      </c>
      <c r="X282" t="s">
        <v>5818</v>
      </c>
      <c r="Y282" t="s">
        <v>5819</v>
      </c>
      <c r="Z282" t="s">
        <v>5820</v>
      </c>
      <c r="AA282" t="s">
        <v>5821</v>
      </c>
      <c r="AB282" t="s">
        <v>5822</v>
      </c>
      <c r="AC282" t="s">
        <v>5823</v>
      </c>
      <c r="AD282" t="s">
        <v>5824</v>
      </c>
      <c r="AE282" t="s">
        <v>5825</v>
      </c>
      <c r="AF282" t="s">
        <v>74</v>
      </c>
      <c r="AG282">
        <v>110</v>
      </c>
      <c r="AH282">
        <v>7</v>
      </c>
      <c r="AI282">
        <v>7</v>
      </c>
      <c r="AJ282">
        <v>0</v>
      </c>
      <c r="AK282">
        <v>20</v>
      </c>
      <c r="AL282" t="s">
        <v>634</v>
      </c>
      <c r="AM282" t="s">
        <v>635</v>
      </c>
      <c r="AN282" t="s">
        <v>636</v>
      </c>
      <c r="AO282" t="s">
        <v>5826</v>
      </c>
      <c r="AP282" t="s">
        <v>5827</v>
      </c>
      <c r="AQ282" t="s">
        <v>74</v>
      </c>
      <c r="AR282" t="s">
        <v>5828</v>
      </c>
      <c r="AS282" t="s">
        <v>5829</v>
      </c>
      <c r="AT282" t="s">
        <v>2710</v>
      </c>
      <c r="AU282">
        <v>2019</v>
      </c>
      <c r="AV282">
        <v>1708</v>
      </c>
      <c r="AW282" t="s">
        <v>74</v>
      </c>
      <c r="AX282" t="s">
        <v>74</v>
      </c>
      <c r="AY282" t="s">
        <v>74</v>
      </c>
      <c r="AZ282" t="s">
        <v>74</v>
      </c>
      <c r="BA282" t="s">
        <v>74</v>
      </c>
      <c r="BB282">
        <v>126</v>
      </c>
      <c r="BC282">
        <v>137</v>
      </c>
      <c r="BD282" t="s">
        <v>74</v>
      </c>
      <c r="BE282" t="s">
        <v>5830</v>
      </c>
      <c r="BF282" t="str">
        <f>HYPERLINK("http://dx.doi.org/10.1016/j.brainres.2018.12.004","http://dx.doi.org/10.1016/j.brainres.2018.12.004")</f>
        <v>http://dx.doi.org/10.1016/j.brainres.2018.12.004</v>
      </c>
      <c r="BG282" t="s">
        <v>74</v>
      </c>
      <c r="BH282" t="s">
        <v>74</v>
      </c>
      <c r="BI282">
        <v>12</v>
      </c>
      <c r="BJ282" t="s">
        <v>5831</v>
      </c>
      <c r="BK282" t="s">
        <v>102</v>
      </c>
      <c r="BL282" t="s">
        <v>5832</v>
      </c>
      <c r="BM282" t="s">
        <v>5833</v>
      </c>
      <c r="BN282">
        <v>30527682</v>
      </c>
      <c r="BO282" t="s">
        <v>198</v>
      </c>
      <c r="BP282" t="s">
        <v>74</v>
      </c>
      <c r="BQ282" t="s">
        <v>74</v>
      </c>
      <c r="BR282" t="s">
        <v>107</v>
      </c>
      <c r="BS282" t="s">
        <v>5834</v>
      </c>
      <c r="BT282" t="str">
        <f>HYPERLINK("https%3A%2F%2Fwww.webofscience.com%2Fwos%2Fwoscc%2Ffull-record%2FWOS:000460712300015","View Full Record in Web of Science")</f>
        <v>View Full Record in Web of Science</v>
      </c>
    </row>
    <row r="283" spans="1:72" x14ac:dyDescent="0.15">
      <c r="A283" t="s">
        <v>72</v>
      </c>
      <c r="B283" t="s">
        <v>5835</v>
      </c>
      <c r="C283" t="s">
        <v>74</v>
      </c>
      <c r="D283" t="s">
        <v>74</v>
      </c>
      <c r="E283" t="s">
        <v>74</v>
      </c>
      <c r="F283" t="s">
        <v>5836</v>
      </c>
      <c r="G283" t="s">
        <v>74</v>
      </c>
      <c r="H283" t="s">
        <v>74</v>
      </c>
      <c r="I283" t="s">
        <v>5837</v>
      </c>
      <c r="J283" t="s">
        <v>5838</v>
      </c>
      <c r="K283" t="s">
        <v>74</v>
      </c>
      <c r="L283" t="s">
        <v>74</v>
      </c>
      <c r="M283" t="s">
        <v>78</v>
      </c>
      <c r="N283" t="s">
        <v>79</v>
      </c>
      <c r="O283" t="s">
        <v>74</v>
      </c>
      <c r="P283" t="s">
        <v>74</v>
      </c>
      <c r="Q283" t="s">
        <v>74</v>
      </c>
      <c r="R283" t="s">
        <v>74</v>
      </c>
      <c r="S283" t="s">
        <v>74</v>
      </c>
      <c r="T283" t="s">
        <v>5839</v>
      </c>
      <c r="U283" t="s">
        <v>5840</v>
      </c>
      <c r="V283" t="s">
        <v>5841</v>
      </c>
      <c r="W283" t="s">
        <v>5842</v>
      </c>
      <c r="X283" t="s">
        <v>5025</v>
      </c>
      <c r="Y283" t="s">
        <v>5843</v>
      </c>
      <c r="Z283" t="s">
        <v>5844</v>
      </c>
      <c r="AA283" t="s">
        <v>5845</v>
      </c>
      <c r="AB283" t="s">
        <v>5846</v>
      </c>
      <c r="AC283" t="s">
        <v>5847</v>
      </c>
      <c r="AD283" t="s">
        <v>5848</v>
      </c>
      <c r="AE283" t="s">
        <v>5849</v>
      </c>
      <c r="AF283" t="s">
        <v>74</v>
      </c>
      <c r="AG283">
        <v>43</v>
      </c>
      <c r="AH283">
        <v>5</v>
      </c>
      <c r="AI283">
        <v>5</v>
      </c>
      <c r="AJ283">
        <v>2</v>
      </c>
      <c r="AK283">
        <v>50</v>
      </c>
      <c r="AL283" t="s">
        <v>662</v>
      </c>
      <c r="AM283" t="s">
        <v>635</v>
      </c>
      <c r="AN283" t="s">
        <v>663</v>
      </c>
      <c r="AO283" t="s">
        <v>5850</v>
      </c>
      <c r="AP283" t="s">
        <v>5851</v>
      </c>
      <c r="AQ283" t="s">
        <v>74</v>
      </c>
      <c r="AR283" t="s">
        <v>5852</v>
      </c>
      <c r="AS283" t="s">
        <v>5853</v>
      </c>
      <c r="AT283" t="s">
        <v>2547</v>
      </c>
      <c r="AU283">
        <v>2019</v>
      </c>
      <c r="AV283">
        <v>28</v>
      </c>
      <c r="AW283" t="s">
        <v>74</v>
      </c>
      <c r="AX283" t="s">
        <v>74</v>
      </c>
      <c r="AY283" t="s">
        <v>74</v>
      </c>
      <c r="AZ283" t="s">
        <v>74</v>
      </c>
      <c r="BA283" t="s">
        <v>74</v>
      </c>
      <c r="BB283">
        <v>170</v>
      </c>
      <c r="BC283">
        <v>176</v>
      </c>
      <c r="BD283" t="s">
        <v>74</v>
      </c>
      <c r="BE283" t="s">
        <v>5854</v>
      </c>
      <c r="BF283" t="str">
        <f>HYPERLINK("http://dx.doi.org/10.1016/j.fbio.2019.02.002","http://dx.doi.org/10.1016/j.fbio.2019.02.002")</f>
        <v>http://dx.doi.org/10.1016/j.fbio.2019.02.002</v>
      </c>
      <c r="BG283" t="s">
        <v>74</v>
      </c>
      <c r="BH283" t="s">
        <v>74</v>
      </c>
      <c r="BI283">
        <v>7</v>
      </c>
      <c r="BJ283" t="s">
        <v>5041</v>
      </c>
      <c r="BK283" t="s">
        <v>102</v>
      </c>
      <c r="BL283" t="s">
        <v>5041</v>
      </c>
      <c r="BM283" t="s">
        <v>5855</v>
      </c>
      <c r="BN283" t="s">
        <v>74</v>
      </c>
      <c r="BO283" t="s">
        <v>74</v>
      </c>
      <c r="BP283" t="s">
        <v>74</v>
      </c>
      <c r="BQ283" t="s">
        <v>74</v>
      </c>
      <c r="BR283" t="s">
        <v>107</v>
      </c>
      <c r="BS283" t="s">
        <v>5856</v>
      </c>
      <c r="BT283" t="str">
        <f>HYPERLINK("https%3A%2F%2Fwww.webofscience.com%2Fwos%2Fwoscc%2Ffull-record%2FWOS:000460408800023","View Full Record in Web of Science")</f>
        <v>View Full Record in Web of Science</v>
      </c>
    </row>
    <row r="284" spans="1:72" x14ac:dyDescent="0.15">
      <c r="A284" t="s">
        <v>72</v>
      </c>
      <c r="B284" t="s">
        <v>5857</v>
      </c>
      <c r="C284" t="s">
        <v>74</v>
      </c>
      <c r="D284" t="s">
        <v>74</v>
      </c>
      <c r="E284" t="s">
        <v>74</v>
      </c>
      <c r="F284" t="s">
        <v>5858</v>
      </c>
      <c r="G284" t="s">
        <v>74</v>
      </c>
      <c r="H284" t="s">
        <v>74</v>
      </c>
      <c r="I284" t="s">
        <v>5859</v>
      </c>
      <c r="J284" t="s">
        <v>1829</v>
      </c>
      <c r="K284" t="s">
        <v>74</v>
      </c>
      <c r="L284" t="s">
        <v>74</v>
      </c>
      <c r="M284" t="s">
        <v>78</v>
      </c>
      <c r="N284" t="s">
        <v>79</v>
      </c>
      <c r="O284" t="s">
        <v>74</v>
      </c>
      <c r="P284" t="s">
        <v>74</v>
      </c>
      <c r="Q284" t="s">
        <v>74</v>
      </c>
      <c r="R284" t="s">
        <v>74</v>
      </c>
      <c r="S284" t="s">
        <v>74</v>
      </c>
      <c r="T284" t="s">
        <v>5860</v>
      </c>
      <c r="U284" t="s">
        <v>5861</v>
      </c>
      <c r="V284" t="s">
        <v>5862</v>
      </c>
      <c r="W284" t="s">
        <v>5863</v>
      </c>
      <c r="X284" t="s">
        <v>5864</v>
      </c>
      <c r="Y284" t="s">
        <v>5865</v>
      </c>
      <c r="Z284" t="s">
        <v>5866</v>
      </c>
      <c r="AA284" t="s">
        <v>5867</v>
      </c>
      <c r="AB284" t="s">
        <v>5868</v>
      </c>
      <c r="AC284" t="s">
        <v>5869</v>
      </c>
      <c r="AD284" t="s">
        <v>5870</v>
      </c>
      <c r="AE284" t="s">
        <v>5871</v>
      </c>
      <c r="AF284" t="s">
        <v>74</v>
      </c>
      <c r="AG284">
        <v>59</v>
      </c>
      <c r="AH284">
        <v>19</v>
      </c>
      <c r="AI284">
        <v>25</v>
      </c>
      <c r="AJ284">
        <v>1</v>
      </c>
      <c r="AK284">
        <v>11</v>
      </c>
      <c r="AL284" t="s">
        <v>378</v>
      </c>
      <c r="AM284" t="s">
        <v>93</v>
      </c>
      <c r="AN284" t="s">
        <v>379</v>
      </c>
      <c r="AO284" t="s">
        <v>1842</v>
      </c>
      <c r="AP284" t="s">
        <v>1843</v>
      </c>
      <c r="AQ284" t="s">
        <v>74</v>
      </c>
      <c r="AR284" t="s">
        <v>1844</v>
      </c>
      <c r="AS284" t="s">
        <v>1845</v>
      </c>
      <c r="AT284" t="s">
        <v>2710</v>
      </c>
      <c r="AU284">
        <v>2019</v>
      </c>
      <c r="AV284">
        <v>250</v>
      </c>
      <c r="AW284" t="s">
        <v>74</v>
      </c>
      <c r="AX284" t="s">
        <v>74</v>
      </c>
      <c r="AY284" t="s">
        <v>74</v>
      </c>
      <c r="AZ284" t="s">
        <v>74</v>
      </c>
      <c r="BA284" t="s">
        <v>74</v>
      </c>
      <c r="BB284">
        <v>238</v>
      </c>
      <c r="BC284">
        <v>250</v>
      </c>
      <c r="BD284" t="s">
        <v>74</v>
      </c>
      <c r="BE284" t="s">
        <v>5872</v>
      </c>
      <c r="BF284" t="str">
        <f>HYPERLINK("http://dx.doi.org/10.1016/j.gca.2019.02.014","http://dx.doi.org/10.1016/j.gca.2019.02.014")</f>
        <v>http://dx.doi.org/10.1016/j.gca.2019.02.014</v>
      </c>
      <c r="BG284" t="s">
        <v>74</v>
      </c>
      <c r="BH284" t="s">
        <v>74</v>
      </c>
      <c r="BI284">
        <v>13</v>
      </c>
      <c r="BJ284" t="s">
        <v>643</v>
      </c>
      <c r="BK284" t="s">
        <v>102</v>
      </c>
      <c r="BL284" t="s">
        <v>643</v>
      </c>
      <c r="BM284" t="s">
        <v>5873</v>
      </c>
      <c r="BN284" t="s">
        <v>74</v>
      </c>
      <c r="BO284" t="s">
        <v>74</v>
      </c>
      <c r="BP284" t="s">
        <v>74</v>
      </c>
      <c r="BQ284" t="s">
        <v>74</v>
      </c>
      <c r="BR284" t="s">
        <v>107</v>
      </c>
      <c r="BS284" t="s">
        <v>5874</v>
      </c>
      <c r="BT284" t="str">
        <f>HYPERLINK("https%3A%2F%2Fwww.webofscience.com%2Fwos%2Fwoscc%2Ffull-record%2FWOS:000460286800014","View Full Record in Web of Science")</f>
        <v>View Full Record in Web of Science</v>
      </c>
    </row>
    <row r="285" spans="1:72" x14ac:dyDescent="0.15">
      <c r="A285" t="s">
        <v>72</v>
      </c>
      <c r="B285" t="s">
        <v>5875</v>
      </c>
      <c r="C285" t="s">
        <v>74</v>
      </c>
      <c r="D285" t="s">
        <v>74</v>
      </c>
      <c r="E285" t="s">
        <v>74</v>
      </c>
      <c r="F285" t="s">
        <v>5876</v>
      </c>
      <c r="G285" t="s">
        <v>74</v>
      </c>
      <c r="H285" t="s">
        <v>74</v>
      </c>
      <c r="I285" t="s">
        <v>5877</v>
      </c>
      <c r="J285" t="s">
        <v>621</v>
      </c>
      <c r="K285" t="s">
        <v>74</v>
      </c>
      <c r="L285" t="s">
        <v>74</v>
      </c>
      <c r="M285" t="s">
        <v>78</v>
      </c>
      <c r="N285" t="s">
        <v>79</v>
      </c>
      <c r="O285" t="s">
        <v>74</v>
      </c>
      <c r="P285" t="s">
        <v>74</v>
      </c>
      <c r="Q285" t="s">
        <v>74</v>
      </c>
      <c r="R285" t="s">
        <v>74</v>
      </c>
      <c r="S285" t="s">
        <v>74</v>
      </c>
      <c r="T285" t="s">
        <v>5878</v>
      </c>
      <c r="U285" t="s">
        <v>5879</v>
      </c>
      <c r="V285" t="s">
        <v>5880</v>
      </c>
      <c r="W285" t="s">
        <v>5881</v>
      </c>
      <c r="X285" t="s">
        <v>5882</v>
      </c>
      <c r="Y285" t="s">
        <v>5883</v>
      </c>
      <c r="Z285" t="s">
        <v>5884</v>
      </c>
      <c r="AA285" t="s">
        <v>5885</v>
      </c>
      <c r="AB285" t="s">
        <v>5886</v>
      </c>
      <c r="AC285" t="s">
        <v>5887</v>
      </c>
      <c r="AD285" t="s">
        <v>5888</v>
      </c>
      <c r="AE285" t="s">
        <v>5889</v>
      </c>
      <c r="AF285" t="s">
        <v>74</v>
      </c>
      <c r="AG285">
        <v>73</v>
      </c>
      <c r="AH285">
        <v>41</v>
      </c>
      <c r="AI285">
        <v>45</v>
      </c>
      <c r="AJ285">
        <v>4</v>
      </c>
      <c r="AK285">
        <v>29</v>
      </c>
      <c r="AL285" t="s">
        <v>634</v>
      </c>
      <c r="AM285" t="s">
        <v>635</v>
      </c>
      <c r="AN285" t="s">
        <v>636</v>
      </c>
      <c r="AO285" t="s">
        <v>637</v>
      </c>
      <c r="AP285" t="s">
        <v>638</v>
      </c>
      <c r="AQ285" t="s">
        <v>74</v>
      </c>
      <c r="AR285" t="s">
        <v>639</v>
      </c>
      <c r="AS285" t="s">
        <v>640</v>
      </c>
      <c r="AT285" t="s">
        <v>2710</v>
      </c>
      <c r="AU285">
        <v>2019</v>
      </c>
      <c r="AV285">
        <v>511</v>
      </c>
      <c r="AW285" t="s">
        <v>74</v>
      </c>
      <c r="AX285" t="s">
        <v>74</v>
      </c>
      <c r="AY285" t="s">
        <v>74</v>
      </c>
      <c r="AZ285" t="s">
        <v>74</v>
      </c>
      <c r="BA285" t="s">
        <v>74</v>
      </c>
      <c r="BB285">
        <v>244</v>
      </c>
      <c r="BC285">
        <v>255</v>
      </c>
      <c r="BD285" t="s">
        <v>74</v>
      </c>
      <c r="BE285" t="s">
        <v>5890</v>
      </c>
      <c r="BF285" t="str">
        <f>HYPERLINK("http://dx.doi.org/10.1016/j.epsl.2019.01.037","http://dx.doi.org/10.1016/j.epsl.2019.01.037")</f>
        <v>http://dx.doi.org/10.1016/j.epsl.2019.01.037</v>
      </c>
      <c r="BG285" t="s">
        <v>74</v>
      </c>
      <c r="BH285" t="s">
        <v>74</v>
      </c>
      <c r="BI285">
        <v>12</v>
      </c>
      <c r="BJ285" t="s">
        <v>643</v>
      </c>
      <c r="BK285" t="s">
        <v>102</v>
      </c>
      <c r="BL285" t="s">
        <v>643</v>
      </c>
      <c r="BM285" t="s">
        <v>5891</v>
      </c>
      <c r="BN285" t="s">
        <v>74</v>
      </c>
      <c r="BO285" t="s">
        <v>925</v>
      </c>
      <c r="BP285" t="s">
        <v>74</v>
      </c>
      <c r="BQ285" t="s">
        <v>74</v>
      </c>
      <c r="BR285" t="s">
        <v>107</v>
      </c>
      <c r="BS285" t="s">
        <v>5892</v>
      </c>
      <c r="BT285" t="str">
        <f>HYPERLINK("https%3A%2F%2Fwww.webofscience.com%2Fwos%2Fwoscc%2Ffull-record%2FWOS:000459839000023","View Full Record in Web of Science")</f>
        <v>View Full Record in Web of Science</v>
      </c>
    </row>
    <row r="286" spans="1:72" x14ac:dyDescent="0.15">
      <c r="A286" t="s">
        <v>72</v>
      </c>
      <c r="B286" t="s">
        <v>5893</v>
      </c>
      <c r="C286" t="s">
        <v>74</v>
      </c>
      <c r="D286" t="s">
        <v>74</v>
      </c>
      <c r="E286" t="s">
        <v>74</v>
      </c>
      <c r="F286" t="s">
        <v>5894</v>
      </c>
      <c r="G286" t="s">
        <v>74</v>
      </c>
      <c r="H286" t="s">
        <v>74</v>
      </c>
      <c r="I286" t="s">
        <v>5895</v>
      </c>
      <c r="J286" t="s">
        <v>5896</v>
      </c>
      <c r="K286" t="s">
        <v>74</v>
      </c>
      <c r="L286" t="s">
        <v>74</v>
      </c>
      <c r="M286" t="s">
        <v>78</v>
      </c>
      <c r="N286" t="s">
        <v>5897</v>
      </c>
      <c r="O286" t="s">
        <v>74</v>
      </c>
      <c r="P286" t="s">
        <v>74</v>
      </c>
      <c r="Q286" t="s">
        <v>74</v>
      </c>
      <c r="R286" t="s">
        <v>74</v>
      </c>
      <c r="S286" t="s">
        <v>74</v>
      </c>
      <c r="T286" t="s">
        <v>74</v>
      </c>
      <c r="U286" t="s">
        <v>74</v>
      </c>
      <c r="V286" t="s">
        <v>74</v>
      </c>
      <c r="W286" t="s">
        <v>5898</v>
      </c>
      <c r="X286" t="s">
        <v>5899</v>
      </c>
      <c r="Y286" t="s">
        <v>5900</v>
      </c>
      <c r="Z286" t="s">
        <v>74</v>
      </c>
      <c r="AA286" t="s">
        <v>74</v>
      </c>
      <c r="AB286" t="s">
        <v>74</v>
      </c>
      <c r="AC286" t="s">
        <v>74</v>
      </c>
      <c r="AD286" t="s">
        <v>74</v>
      </c>
      <c r="AE286" t="s">
        <v>74</v>
      </c>
      <c r="AF286" t="s">
        <v>74</v>
      </c>
      <c r="AG286">
        <v>4</v>
      </c>
      <c r="AH286">
        <v>0</v>
      </c>
      <c r="AI286">
        <v>0</v>
      </c>
      <c r="AJ286">
        <v>0</v>
      </c>
      <c r="AK286">
        <v>1</v>
      </c>
      <c r="AL286" t="s">
        <v>5901</v>
      </c>
      <c r="AM286" t="s">
        <v>329</v>
      </c>
      <c r="AN286" t="s">
        <v>5902</v>
      </c>
      <c r="AO286" t="s">
        <v>5903</v>
      </c>
      <c r="AP286" t="s">
        <v>5904</v>
      </c>
      <c r="AQ286" t="s">
        <v>74</v>
      </c>
      <c r="AR286" t="s">
        <v>5905</v>
      </c>
      <c r="AS286" t="s">
        <v>5906</v>
      </c>
      <c r="AT286" t="s">
        <v>2547</v>
      </c>
      <c r="AU286">
        <v>2019</v>
      </c>
      <c r="AV286">
        <v>43</v>
      </c>
      <c r="AW286">
        <v>2</v>
      </c>
      <c r="AX286" t="s">
        <v>74</v>
      </c>
      <c r="AY286" t="s">
        <v>74</v>
      </c>
      <c r="AZ286" t="s">
        <v>74</v>
      </c>
      <c r="BA286" t="s">
        <v>74</v>
      </c>
      <c r="BB286">
        <v>388</v>
      </c>
      <c r="BC286">
        <v>390</v>
      </c>
      <c r="BD286" t="s">
        <v>74</v>
      </c>
      <c r="BE286" t="s">
        <v>5907</v>
      </c>
      <c r="BF286" t="str">
        <f>HYPERLINK("http://dx.doi.org/10.1177/0309132517744705","http://dx.doi.org/10.1177/0309132517744705")</f>
        <v>http://dx.doi.org/10.1177/0309132517744705</v>
      </c>
      <c r="BG286" t="s">
        <v>74</v>
      </c>
      <c r="BH286" t="s">
        <v>74</v>
      </c>
      <c r="BI286">
        <v>3</v>
      </c>
      <c r="BJ286" t="s">
        <v>5908</v>
      </c>
      <c r="BK286" t="s">
        <v>314</v>
      </c>
      <c r="BL286" t="s">
        <v>5908</v>
      </c>
      <c r="BM286" t="s">
        <v>5909</v>
      </c>
      <c r="BN286" t="s">
        <v>74</v>
      </c>
      <c r="BO286" t="s">
        <v>74</v>
      </c>
      <c r="BP286" t="s">
        <v>74</v>
      </c>
      <c r="BQ286" t="s">
        <v>74</v>
      </c>
      <c r="BR286" t="s">
        <v>107</v>
      </c>
      <c r="BS286" t="s">
        <v>5910</v>
      </c>
      <c r="BT286" t="str">
        <f>HYPERLINK("https%3A%2F%2Fwww.webofscience.com%2Fwos%2Fwoscc%2Ffull-record%2FWOS:000459539000012","View Full Record in Web of Science")</f>
        <v>View Full Record in Web of Science</v>
      </c>
    </row>
    <row r="287" spans="1:72" x14ac:dyDescent="0.15">
      <c r="A287" t="s">
        <v>72</v>
      </c>
      <c r="B287" t="s">
        <v>5911</v>
      </c>
      <c r="C287" t="s">
        <v>74</v>
      </c>
      <c r="D287" t="s">
        <v>74</v>
      </c>
      <c r="E287" t="s">
        <v>74</v>
      </c>
      <c r="F287" t="s">
        <v>5912</v>
      </c>
      <c r="G287" t="s">
        <v>74</v>
      </c>
      <c r="H287" t="s">
        <v>74</v>
      </c>
      <c r="I287" t="s">
        <v>5913</v>
      </c>
      <c r="J287" t="s">
        <v>736</v>
      </c>
      <c r="K287" t="s">
        <v>74</v>
      </c>
      <c r="L287" t="s">
        <v>74</v>
      </c>
      <c r="M287" t="s">
        <v>78</v>
      </c>
      <c r="N287" t="s">
        <v>79</v>
      </c>
      <c r="O287" t="s">
        <v>74</v>
      </c>
      <c r="P287" t="s">
        <v>74</v>
      </c>
      <c r="Q287" t="s">
        <v>74</v>
      </c>
      <c r="R287" t="s">
        <v>74</v>
      </c>
      <c r="S287" t="s">
        <v>74</v>
      </c>
      <c r="T287" t="s">
        <v>5914</v>
      </c>
      <c r="U287" t="s">
        <v>5915</v>
      </c>
      <c r="V287" t="s">
        <v>5916</v>
      </c>
      <c r="W287" t="s">
        <v>5917</v>
      </c>
      <c r="X287" t="s">
        <v>5918</v>
      </c>
      <c r="Y287" t="s">
        <v>5919</v>
      </c>
      <c r="Z287" t="s">
        <v>5920</v>
      </c>
      <c r="AA287" t="s">
        <v>5921</v>
      </c>
      <c r="AB287" t="s">
        <v>5922</v>
      </c>
      <c r="AC287" t="s">
        <v>5923</v>
      </c>
      <c r="AD287" t="s">
        <v>5924</v>
      </c>
      <c r="AE287" t="s">
        <v>5925</v>
      </c>
      <c r="AF287" t="s">
        <v>74</v>
      </c>
      <c r="AG287">
        <v>53</v>
      </c>
      <c r="AH287">
        <v>5</v>
      </c>
      <c r="AI287">
        <v>5</v>
      </c>
      <c r="AJ287">
        <v>0</v>
      </c>
      <c r="AK287">
        <v>16</v>
      </c>
      <c r="AL287" t="s">
        <v>634</v>
      </c>
      <c r="AM287" t="s">
        <v>635</v>
      </c>
      <c r="AN287" t="s">
        <v>636</v>
      </c>
      <c r="AO287" t="s">
        <v>748</v>
      </c>
      <c r="AP287" t="s">
        <v>749</v>
      </c>
      <c r="AQ287" t="s">
        <v>74</v>
      </c>
      <c r="AR287" t="s">
        <v>750</v>
      </c>
      <c r="AS287" t="s">
        <v>751</v>
      </c>
      <c r="AT287" t="s">
        <v>2547</v>
      </c>
      <c r="AU287">
        <v>2019</v>
      </c>
      <c r="AV287">
        <v>212</v>
      </c>
      <c r="AW287" t="s">
        <v>74</v>
      </c>
      <c r="AX287" t="s">
        <v>74</v>
      </c>
      <c r="AY287" t="s">
        <v>74</v>
      </c>
      <c r="AZ287" t="s">
        <v>74</v>
      </c>
      <c r="BA287" t="s">
        <v>74</v>
      </c>
      <c r="BB287">
        <v>114</v>
      </c>
      <c r="BC287">
        <v>122</v>
      </c>
      <c r="BD287" t="s">
        <v>74</v>
      </c>
      <c r="BE287" t="s">
        <v>5926</v>
      </c>
      <c r="BF287" t="str">
        <f>HYPERLINK("http://dx.doi.org/10.1016/j.fishres.2018.12.019","http://dx.doi.org/10.1016/j.fishres.2018.12.019")</f>
        <v>http://dx.doi.org/10.1016/j.fishres.2018.12.019</v>
      </c>
      <c r="BG287" t="s">
        <v>74</v>
      </c>
      <c r="BH287" t="s">
        <v>74</v>
      </c>
      <c r="BI287">
        <v>9</v>
      </c>
      <c r="BJ287" t="s">
        <v>753</v>
      </c>
      <c r="BK287" t="s">
        <v>102</v>
      </c>
      <c r="BL287" t="s">
        <v>753</v>
      </c>
      <c r="BM287" t="s">
        <v>5927</v>
      </c>
      <c r="BN287" t="s">
        <v>74</v>
      </c>
      <c r="BO287" t="s">
        <v>74</v>
      </c>
      <c r="BP287" t="s">
        <v>74</v>
      </c>
      <c r="BQ287" t="s">
        <v>74</v>
      </c>
      <c r="BR287" t="s">
        <v>107</v>
      </c>
      <c r="BS287" t="s">
        <v>5928</v>
      </c>
      <c r="BT287" t="str">
        <f>HYPERLINK("https%3A%2F%2Fwww.webofscience.com%2Fwos%2Fwoscc%2Ffull-record%2FWOS:000458939000015","View Full Record in Web of Science")</f>
        <v>View Full Record in Web of Science</v>
      </c>
    </row>
    <row r="288" spans="1:72" x14ac:dyDescent="0.15">
      <c r="A288" t="s">
        <v>72</v>
      </c>
      <c r="B288" t="s">
        <v>5929</v>
      </c>
      <c r="C288" t="s">
        <v>74</v>
      </c>
      <c r="D288" t="s">
        <v>74</v>
      </c>
      <c r="E288" t="s">
        <v>74</v>
      </c>
      <c r="F288" t="s">
        <v>5930</v>
      </c>
      <c r="G288" t="s">
        <v>74</v>
      </c>
      <c r="H288" t="s">
        <v>74</v>
      </c>
      <c r="I288" t="s">
        <v>5931</v>
      </c>
      <c r="J288" t="s">
        <v>5932</v>
      </c>
      <c r="K288" t="s">
        <v>74</v>
      </c>
      <c r="L288" t="s">
        <v>74</v>
      </c>
      <c r="M288" t="s">
        <v>78</v>
      </c>
      <c r="N288" t="s">
        <v>79</v>
      </c>
      <c r="O288" t="s">
        <v>74</v>
      </c>
      <c r="P288" t="s">
        <v>74</v>
      </c>
      <c r="Q288" t="s">
        <v>74</v>
      </c>
      <c r="R288" t="s">
        <v>74</v>
      </c>
      <c r="S288" t="s">
        <v>74</v>
      </c>
      <c r="T288" t="s">
        <v>5933</v>
      </c>
      <c r="U288" t="s">
        <v>5934</v>
      </c>
      <c r="V288" t="s">
        <v>5935</v>
      </c>
      <c r="W288" t="s">
        <v>5936</v>
      </c>
      <c r="X288" t="s">
        <v>5937</v>
      </c>
      <c r="Y288" t="s">
        <v>5938</v>
      </c>
      <c r="Z288" t="s">
        <v>5939</v>
      </c>
      <c r="AA288" t="s">
        <v>74</v>
      </c>
      <c r="AB288" t="s">
        <v>74</v>
      </c>
      <c r="AC288" t="s">
        <v>5940</v>
      </c>
      <c r="AD288" t="s">
        <v>5941</v>
      </c>
      <c r="AE288" t="s">
        <v>5942</v>
      </c>
      <c r="AF288" t="s">
        <v>74</v>
      </c>
      <c r="AG288">
        <v>25</v>
      </c>
      <c r="AH288">
        <v>0</v>
      </c>
      <c r="AI288">
        <v>0</v>
      </c>
      <c r="AJ288">
        <v>0</v>
      </c>
      <c r="AK288">
        <v>5</v>
      </c>
      <c r="AL288" t="s">
        <v>5632</v>
      </c>
      <c r="AM288" t="s">
        <v>5633</v>
      </c>
      <c r="AN288" t="s">
        <v>5634</v>
      </c>
      <c r="AO288" t="s">
        <v>5943</v>
      </c>
      <c r="AP288" t="s">
        <v>5944</v>
      </c>
      <c r="AQ288" t="s">
        <v>74</v>
      </c>
      <c r="AR288" t="s">
        <v>5945</v>
      </c>
      <c r="AS288" t="s">
        <v>5946</v>
      </c>
      <c r="AT288" t="s">
        <v>2547</v>
      </c>
      <c r="AU288">
        <v>2019</v>
      </c>
      <c r="AV288">
        <v>92</v>
      </c>
      <c r="AW288">
        <v>4</v>
      </c>
      <c r="AX288" t="s">
        <v>74</v>
      </c>
      <c r="AY288" t="s">
        <v>74</v>
      </c>
      <c r="AZ288" t="s">
        <v>74</v>
      </c>
      <c r="BA288" t="s">
        <v>74</v>
      </c>
      <c r="BB288" t="s">
        <v>74</v>
      </c>
      <c r="BC288" t="s">
        <v>74</v>
      </c>
      <c r="BD288">
        <v>51</v>
      </c>
      <c r="BE288" t="s">
        <v>5947</v>
      </c>
      <c r="BF288" t="str">
        <f>HYPERLINK("http://dx.doi.org/10.1007/s12043-019-1721-7","http://dx.doi.org/10.1007/s12043-019-1721-7")</f>
        <v>http://dx.doi.org/10.1007/s12043-019-1721-7</v>
      </c>
      <c r="BG288" t="s">
        <v>74</v>
      </c>
      <c r="BH288" t="s">
        <v>74</v>
      </c>
      <c r="BI288">
        <v>8</v>
      </c>
      <c r="BJ288" t="s">
        <v>5948</v>
      </c>
      <c r="BK288" t="s">
        <v>102</v>
      </c>
      <c r="BL288" t="s">
        <v>5949</v>
      </c>
      <c r="BM288" t="s">
        <v>5950</v>
      </c>
      <c r="BN288" t="s">
        <v>74</v>
      </c>
      <c r="BO288" t="s">
        <v>74</v>
      </c>
      <c r="BP288" t="s">
        <v>74</v>
      </c>
      <c r="BQ288" t="s">
        <v>74</v>
      </c>
      <c r="BR288" t="s">
        <v>107</v>
      </c>
      <c r="BS288" t="s">
        <v>5951</v>
      </c>
      <c r="BT288" t="str">
        <f>HYPERLINK("https%3A%2F%2Fwww.webofscience.com%2Fwos%2Fwoscc%2Ffull-record%2FWOS:000459146900013","View Full Record in Web of Science")</f>
        <v>View Full Record in Web of Science</v>
      </c>
    </row>
    <row r="289" spans="1:72" x14ac:dyDescent="0.15">
      <c r="A289" t="s">
        <v>72</v>
      </c>
      <c r="B289" t="s">
        <v>5952</v>
      </c>
      <c r="C289" t="s">
        <v>74</v>
      </c>
      <c r="D289" t="s">
        <v>74</v>
      </c>
      <c r="E289" t="s">
        <v>74</v>
      </c>
      <c r="F289" t="s">
        <v>5953</v>
      </c>
      <c r="G289" t="s">
        <v>74</v>
      </c>
      <c r="H289" t="s">
        <v>74</v>
      </c>
      <c r="I289" t="s">
        <v>5954</v>
      </c>
      <c r="J289" t="s">
        <v>5955</v>
      </c>
      <c r="K289" t="s">
        <v>74</v>
      </c>
      <c r="L289" t="s">
        <v>74</v>
      </c>
      <c r="M289" t="s">
        <v>78</v>
      </c>
      <c r="N289" t="s">
        <v>79</v>
      </c>
      <c r="O289" t="s">
        <v>74</v>
      </c>
      <c r="P289" t="s">
        <v>74</v>
      </c>
      <c r="Q289" t="s">
        <v>74</v>
      </c>
      <c r="R289" t="s">
        <v>74</v>
      </c>
      <c r="S289" t="s">
        <v>74</v>
      </c>
      <c r="T289" t="s">
        <v>5956</v>
      </c>
      <c r="U289" t="s">
        <v>5957</v>
      </c>
      <c r="V289" t="s">
        <v>5958</v>
      </c>
      <c r="W289" t="s">
        <v>5959</v>
      </c>
      <c r="X289" t="s">
        <v>5960</v>
      </c>
      <c r="Y289" t="s">
        <v>5961</v>
      </c>
      <c r="Z289" t="s">
        <v>5962</v>
      </c>
      <c r="AA289" t="s">
        <v>5963</v>
      </c>
      <c r="AB289" t="s">
        <v>5964</v>
      </c>
      <c r="AC289" t="s">
        <v>74</v>
      </c>
      <c r="AD289" t="s">
        <v>74</v>
      </c>
      <c r="AE289" t="s">
        <v>74</v>
      </c>
      <c r="AF289" t="s">
        <v>74</v>
      </c>
      <c r="AG289">
        <v>70</v>
      </c>
      <c r="AH289">
        <v>22</v>
      </c>
      <c r="AI289">
        <v>22</v>
      </c>
      <c r="AJ289">
        <v>12</v>
      </c>
      <c r="AK289">
        <v>80</v>
      </c>
      <c r="AL289" t="s">
        <v>378</v>
      </c>
      <c r="AM289" t="s">
        <v>93</v>
      </c>
      <c r="AN289" t="s">
        <v>379</v>
      </c>
      <c r="AO289" t="s">
        <v>5965</v>
      </c>
      <c r="AP289" t="s">
        <v>5966</v>
      </c>
      <c r="AQ289" t="s">
        <v>74</v>
      </c>
      <c r="AR289" t="s">
        <v>5955</v>
      </c>
      <c r="AS289" t="s">
        <v>5967</v>
      </c>
      <c r="AT289" t="s">
        <v>2547</v>
      </c>
      <c r="AU289">
        <v>2019</v>
      </c>
      <c r="AV289">
        <v>220</v>
      </c>
      <c r="AW289" t="s">
        <v>74</v>
      </c>
      <c r="AX289" t="s">
        <v>74</v>
      </c>
      <c r="AY289" t="s">
        <v>74</v>
      </c>
      <c r="AZ289" t="s">
        <v>74</v>
      </c>
      <c r="BA289" t="s">
        <v>74</v>
      </c>
      <c r="BB289">
        <v>412</v>
      </c>
      <c r="BC289">
        <v>421</v>
      </c>
      <c r="BD289" t="s">
        <v>74</v>
      </c>
      <c r="BE289" t="s">
        <v>5968</v>
      </c>
      <c r="BF289" t="str">
        <f>HYPERLINK("http://dx.doi.org/10.1016/j.chemosphere.2018.12.147","http://dx.doi.org/10.1016/j.chemosphere.2018.12.147")</f>
        <v>http://dx.doi.org/10.1016/j.chemosphere.2018.12.147</v>
      </c>
      <c r="BG289" t="s">
        <v>74</v>
      </c>
      <c r="BH289" t="s">
        <v>74</v>
      </c>
      <c r="BI289">
        <v>10</v>
      </c>
      <c r="BJ289" t="s">
        <v>2296</v>
      </c>
      <c r="BK289" t="s">
        <v>102</v>
      </c>
      <c r="BL289" t="s">
        <v>2297</v>
      </c>
      <c r="BM289" t="s">
        <v>5969</v>
      </c>
      <c r="BN289">
        <v>30597360</v>
      </c>
      <c r="BO289" t="s">
        <v>515</v>
      </c>
      <c r="BP289" t="s">
        <v>74</v>
      </c>
      <c r="BQ289" t="s">
        <v>74</v>
      </c>
      <c r="BR289" t="s">
        <v>107</v>
      </c>
      <c r="BS289" t="s">
        <v>5970</v>
      </c>
      <c r="BT289" t="str">
        <f>HYPERLINK("https%3A%2F%2Fwww.webofscience.com%2Fwos%2Fwoscc%2Ffull-record%2FWOS:000458591200044","View Full Record in Web of Science")</f>
        <v>View Full Record in Web of Science</v>
      </c>
    </row>
    <row r="290" spans="1:72" x14ac:dyDescent="0.15">
      <c r="A290" t="s">
        <v>72</v>
      </c>
      <c r="B290" t="s">
        <v>5971</v>
      </c>
      <c r="C290" t="s">
        <v>74</v>
      </c>
      <c r="D290" t="s">
        <v>74</v>
      </c>
      <c r="E290" t="s">
        <v>74</v>
      </c>
      <c r="F290" t="s">
        <v>5972</v>
      </c>
      <c r="G290" t="s">
        <v>74</v>
      </c>
      <c r="H290" t="s">
        <v>74</v>
      </c>
      <c r="I290" t="s">
        <v>5973</v>
      </c>
      <c r="J290" t="s">
        <v>5974</v>
      </c>
      <c r="K290" t="s">
        <v>74</v>
      </c>
      <c r="L290" t="s">
        <v>74</v>
      </c>
      <c r="M290" t="s">
        <v>78</v>
      </c>
      <c r="N290" t="s">
        <v>79</v>
      </c>
      <c r="O290" t="s">
        <v>74</v>
      </c>
      <c r="P290" t="s">
        <v>74</v>
      </c>
      <c r="Q290" t="s">
        <v>74</v>
      </c>
      <c r="R290" t="s">
        <v>74</v>
      </c>
      <c r="S290" t="s">
        <v>74</v>
      </c>
      <c r="T290" t="s">
        <v>5975</v>
      </c>
      <c r="U290" t="s">
        <v>5976</v>
      </c>
      <c r="V290" t="s">
        <v>5977</v>
      </c>
      <c r="W290" t="s">
        <v>5978</v>
      </c>
      <c r="X290" t="s">
        <v>5979</v>
      </c>
      <c r="Y290" t="s">
        <v>5980</v>
      </c>
      <c r="Z290" t="s">
        <v>5981</v>
      </c>
      <c r="AA290" t="s">
        <v>5982</v>
      </c>
      <c r="AB290" t="s">
        <v>5983</v>
      </c>
      <c r="AC290" t="s">
        <v>5984</v>
      </c>
      <c r="AD290" t="s">
        <v>5985</v>
      </c>
      <c r="AE290" t="s">
        <v>5986</v>
      </c>
      <c r="AF290" t="s">
        <v>74</v>
      </c>
      <c r="AG290">
        <v>94</v>
      </c>
      <c r="AH290">
        <v>6</v>
      </c>
      <c r="AI290">
        <v>7</v>
      </c>
      <c r="AJ290">
        <v>1</v>
      </c>
      <c r="AK290">
        <v>32</v>
      </c>
      <c r="AL290" t="s">
        <v>576</v>
      </c>
      <c r="AM290" t="s">
        <v>607</v>
      </c>
      <c r="AN290" t="s">
        <v>2143</v>
      </c>
      <c r="AO290" t="s">
        <v>5987</v>
      </c>
      <c r="AP290" t="s">
        <v>5988</v>
      </c>
      <c r="AQ290" t="s">
        <v>74</v>
      </c>
      <c r="AR290" t="s">
        <v>5989</v>
      </c>
      <c r="AS290" t="s">
        <v>5990</v>
      </c>
      <c r="AT290" t="s">
        <v>2547</v>
      </c>
      <c r="AU290">
        <v>2019</v>
      </c>
      <c r="AV290">
        <v>65</v>
      </c>
      <c r="AW290">
        <v>2</v>
      </c>
      <c r="AX290" t="s">
        <v>74</v>
      </c>
      <c r="AY290" t="s">
        <v>74</v>
      </c>
      <c r="AZ290" t="s">
        <v>74</v>
      </c>
      <c r="BA290" t="s">
        <v>74</v>
      </c>
      <c r="BB290" t="s">
        <v>74</v>
      </c>
      <c r="BC290" t="s">
        <v>74</v>
      </c>
      <c r="BD290">
        <v>22</v>
      </c>
      <c r="BE290" t="s">
        <v>5991</v>
      </c>
      <c r="BF290" t="str">
        <f>HYPERLINK("http://dx.doi.org/10.1007/s10344-019-1254-x","http://dx.doi.org/10.1007/s10344-019-1254-x")</f>
        <v>http://dx.doi.org/10.1007/s10344-019-1254-x</v>
      </c>
      <c r="BG290" t="s">
        <v>74</v>
      </c>
      <c r="BH290" t="s">
        <v>74</v>
      </c>
      <c r="BI290">
        <v>13</v>
      </c>
      <c r="BJ290" t="s">
        <v>5992</v>
      </c>
      <c r="BK290" t="s">
        <v>102</v>
      </c>
      <c r="BL290" t="s">
        <v>5993</v>
      </c>
      <c r="BM290" t="s">
        <v>5994</v>
      </c>
      <c r="BN290" t="s">
        <v>74</v>
      </c>
      <c r="BO290" t="s">
        <v>5573</v>
      </c>
      <c r="BP290" t="s">
        <v>74</v>
      </c>
      <c r="BQ290" t="s">
        <v>74</v>
      </c>
      <c r="BR290" t="s">
        <v>107</v>
      </c>
      <c r="BS290" t="s">
        <v>5995</v>
      </c>
      <c r="BT290" t="str">
        <f>HYPERLINK("https%3A%2F%2Fwww.webofscience.com%2Fwos%2Fwoscc%2Ffull-record%2FWOS:000458241500002","View Full Record in Web of Science")</f>
        <v>View Full Record in Web of Science</v>
      </c>
    </row>
    <row r="291" spans="1:72" x14ac:dyDescent="0.15">
      <c r="A291" t="s">
        <v>72</v>
      </c>
      <c r="B291" t="s">
        <v>5996</v>
      </c>
      <c r="C291" t="s">
        <v>74</v>
      </c>
      <c r="D291" t="s">
        <v>74</v>
      </c>
      <c r="E291" t="s">
        <v>74</v>
      </c>
      <c r="F291" t="s">
        <v>5997</v>
      </c>
      <c r="G291" t="s">
        <v>74</v>
      </c>
      <c r="H291" t="s">
        <v>74</v>
      </c>
      <c r="I291" t="s">
        <v>5998</v>
      </c>
      <c r="J291" t="s">
        <v>5999</v>
      </c>
      <c r="K291" t="s">
        <v>74</v>
      </c>
      <c r="L291" t="s">
        <v>74</v>
      </c>
      <c r="M291" t="s">
        <v>78</v>
      </c>
      <c r="N291" t="s">
        <v>79</v>
      </c>
      <c r="O291" t="s">
        <v>74</v>
      </c>
      <c r="P291" t="s">
        <v>74</v>
      </c>
      <c r="Q291" t="s">
        <v>74</v>
      </c>
      <c r="R291" t="s">
        <v>74</v>
      </c>
      <c r="S291" t="s">
        <v>74</v>
      </c>
      <c r="T291" t="s">
        <v>6000</v>
      </c>
      <c r="U291" t="s">
        <v>6001</v>
      </c>
      <c r="V291" t="s">
        <v>6002</v>
      </c>
      <c r="W291" t="s">
        <v>6003</v>
      </c>
      <c r="X291" t="s">
        <v>6004</v>
      </c>
      <c r="Y291" t="s">
        <v>6005</v>
      </c>
      <c r="Z291" t="s">
        <v>6006</v>
      </c>
      <c r="AA291" t="s">
        <v>6007</v>
      </c>
      <c r="AB291" t="s">
        <v>6008</v>
      </c>
      <c r="AC291" t="s">
        <v>6009</v>
      </c>
      <c r="AD291" t="s">
        <v>6010</v>
      </c>
      <c r="AE291" t="s">
        <v>6011</v>
      </c>
      <c r="AF291" t="s">
        <v>74</v>
      </c>
      <c r="AG291">
        <v>63</v>
      </c>
      <c r="AH291">
        <v>16</v>
      </c>
      <c r="AI291">
        <v>17</v>
      </c>
      <c r="AJ291">
        <v>4</v>
      </c>
      <c r="AK291">
        <v>77</v>
      </c>
      <c r="AL291" t="s">
        <v>634</v>
      </c>
      <c r="AM291" t="s">
        <v>635</v>
      </c>
      <c r="AN291" t="s">
        <v>636</v>
      </c>
      <c r="AO291" t="s">
        <v>6012</v>
      </c>
      <c r="AP291" t="s">
        <v>6013</v>
      </c>
      <c r="AQ291" t="s">
        <v>74</v>
      </c>
      <c r="AR291" t="s">
        <v>6014</v>
      </c>
      <c r="AS291" t="s">
        <v>6015</v>
      </c>
      <c r="AT291" t="s">
        <v>2710</v>
      </c>
      <c r="AU291">
        <v>2019</v>
      </c>
      <c r="AV291">
        <v>659</v>
      </c>
      <c r="AW291" t="s">
        <v>74</v>
      </c>
      <c r="AX291" t="s">
        <v>74</v>
      </c>
      <c r="AY291" t="s">
        <v>74</v>
      </c>
      <c r="AZ291" t="s">
        <v>74</v>
      </c>
      <c r="BA291" t="s">
        <v>74</v>
      </c>
      <c r="BB291">
        <v>401</v>
      </c>
      <c r="BC291">
        <v>409</v>
      </c>
      <c r="BD291" t="s">
        <v>74</v>
      </c>
      <c r="BE291" t="s">
        <v>6016</v>
      </c>
      <c r="BF291" t="str">
        <f>HYPERLINK("http://dx.doi.org/10.1016/j.scitotenv.2018.12.328","http://dx.doi.org/10.1016/j.scitotenv.2018.12.328")</f>
        <v>http://dx.doi.org/10.1016/j.scitotenv.2018.12.328</v>
      </c>
      <c r="BG291" t="s">
        <v>74</v>
      </c>
      <c r="BH291" t="s">
        <v>74</v>
      </c>
      <c r="BI291">
        <v>9</v>
      </c>
      <c r="BJ291" t="s">
        <v>2296</v>
      </c>
      <c r="BK291" t="s">
        <v>102</v>
      </c>
      <c r="BL291" t="s">
        <v>2297</v>
      </c>
      <c r="BM291" t="s">
        <v>6017</v>
      </c>
      <c r="BN291">
        <v>31096371</v>
      </c>
      <c r="BO291" t="s">
        <v>74</v>
      </c>
      <c r="BP291" t="s">
        <v>74</v>
      </c>
      <c r="BQ291" t="s">
        <v>74</v>
      </c>
      <c r="BR291" t="s">
        <v>107</v>
      </c>
      <c r="BS291" t="s">
        <v>6018</v>
      </c>
      <c r="BT291" t="str">
        <f>HYPERLINK("https%3A%2F%2Fwww.webofscience.com%2Fwos%2Fwoscc%2Ffull-record%2FWOS:000457293700040","View Full Record in Web of Science")</f>
        <v>View Full Record in Web of Science</v>
      </c>
    </row>
    <row r="292" spans="1:72" x14ac:dyDescent="0.15">
      <c r="A292" t="s">
        <v>72</v>
      </c>
      <c r="B292" t="s">
        <v>6019</v>
      </c>
      <c r="C292" t="s">
        <v>74</v>
      </c>
      <c r="D292" t="s">
        <v>74</v>
      </c>
      <c r="E292" t="s">
        <v>74</v>
      </c>
      <c r="F292" t="s">
        <v>6020</v>
      </c>
      <c r="G292" t="s">
        <v>74</v>
      </c>
      <c r="H292" t="s">
        <v>74</v>
      </c>
      <c r="I292" t="s">
        <v>6021</v>
      </c>
      <c r="J292" t="s">
        <v>6022</v>
      </c>
      <c r="K292" t="s">
        <v>74</v>
      </c>
      <c r="L292" t="s">
        <v>74</v>
      </c>
      <c r="M292" t="s">
        <v>78</v>
      </c>
      <c r="N292" t="s">
        <v>52</v>
      </c>
      <c r="O292" t="s">
        <v>6023</v>
      </c>
      <c r="P292" t="s">
        <v>6024</v>
      </c>
      <c r="Q292" t="s">
        <v>2539</v>
      </c>
      <c r="R292" t="s">
        <v>74</v>
      </c>
      <c r="S292" t="s">
        <v>74</v>
      </c>
      <c r="T292" t="s">
        <v>74</v>
      </c>
      <c r="U292" t="s">
        <v>74</v>
      </c>
      <c r="V292" t="s">
        <v>74</v>
      </c>
      <c r="W292" t="s">
        <v>6025</v>
      </c>
      <c r="X292" t="s">
        <v>6026</v>
      </c>
      <c r="Y292" t="s">
        <v>74</v>
      </c>
      <c r="Z292" t="s">
        <v>6027</v>
      </c>
      <c r="AA292" t="s">
        <v>6028</v>
      </c>
      <c r="AB292" t="s">
        <v>74</v>
      </c>
      <c r="AC292" t="s">
        <v>74</v>
      </c>
      <c r="AD292" t="s">
        <v>74</v>
      </c>
      <c r="AE292" t="s">
        <v>74</v>
      </c>
      <c r="AF292" t="s">
        <v>74</v>
      </c>
      <c r="AG292">
        <v>0</v>
      </c>
      <c r="AH292">
        <v>0</v>
      </c>
      <c r="AI292">
        <v>0</v>
      </c>
      <c r="AJ292">
        <v>0</v>
      </c>
      <c r="AK292">
        <v>0</v>
      </c>
      <c r="AL292" t="s">
        <v>1486</v>
      </c>
      <c r="AM292" t="s">
        <v>126</v>
      </c>
      <c r="AN292" t="s">
        <v>1487</v>
      </c>
      <c r="AO292" t="s">
        <v>6029</v>
      </c>
      <c r="AP292" t="s">
        <v>74</v>
      </c>
      <c r="AQ292" t="s">
        <v>74</v>
      </c>
      <c r="AR292" t="s">
        <v>6030</v>
      </c>
      <c r="AS292" t="s">
        <v>6031</v>
      </c>
      <c r="AT292" t="s">
        <v>6032</v>
      </c>
      <c r="AU292">
        <v>2019</v>
      </c>
      <c r="AV292">
        <v>257</v>
      </c>
      <c r="AW292" t="s">
        <v>74</v>
      </c>
      <c r="AX292" t="s">
        <v>74</v>
      </c>
      <c r="AY292" t="s">
        <v>74</v>
      </c>
      <c r="AZ292" t="s">
        <v>74</v>
      </c>
      <c r="BA292">
        <v>20</v>
      </c>
      <c r="BB292" t="s">
        <v>74</v>
      </c>
      <c r="BC292" t="s">
        <v>74</v>
      </c>
      <c r="BD292" t="s">
        <v>74</v>
      </c>
      <c r="BE292" t="s">
        <v>74</v>
      </c>
      <c r="BF292" t="s">
        <v>74</v>
      </c>
      <c r="BG292" t="s">
        <v>74</v>
      </c>
      <c r="BH292" t="s">
        <v>74</v>
      </c>
      <c r="BI292">
        <v>1</v>
      </c>
      <c r="BJ292" t="s">
        <v>6033</v>
      </c>
      <c r="BK292" t="s">
        <v>615</v>
      </c>
      <c r="BL292" t="s">
        <v>1494</v>
      </c>
      <c r="BM292" t="s">
        <v>6034</v>
      </c>
      <c r="BN292" t="s">
        <v>74</v>
      </c>
      <c r="BO292" t="s">
        <v>74</v>
      </c>
      <c r="BP292" t="s">
        <v>74</v>
      </c>
      <c r="BQ292" t="s">
        <v>74</v>
      </c>
      <c r="BR292" t="s">
        <v>107</v>
      </c>
      <c r="BS292" t="s">
        <v>6035</v>
      </c>
      <c r="BT292" t="str">
        <f>HYPERLINK("https%3A%2F%2Fwww.webofscience.com%2Fwos%2Fwoscc%2Ffull-record%2FWOS:000478860500225","View Full Record in Web of Science")</f>
        <v>View Full Record in Web of Science</v>
      </c>
    </row>
    <row r="293" spans="1:72" x14ac:dyDescent="0.15">
      <c r="A293" t="s">
        <v>72</v>
      </c>
      <c r="B293" t="s">
        <v>6036</v>
      </c>
      <c r="C293" t="s">
        <v>74</v>
      </c>
      <c r="D293" t="s">
        <v>74</v>
      </c>
      <c r="E293" t="s">
        <v>74</v>
      </c>
      <c r="F293" t="s">
        <v>6037</v>
      </c>
      <c r="G293" t="s">
        <v>74</v>
      </c>
      <c r="H293" t="s">
        <v>74</v>
      </c>
      <c r="I293" t="s">
        <v>6038</v>
      </c>
      <c r="J293" t="s">
        <v>3701</v>
      </c>
      <c r="K293" t="s">
        <v>74</v>
      </c>
      <c r="L293" t="s">
        <v>74</v>
      </c>
      <c r="M293" t="s">
        <v>78</v>
      </c>
      <c r="N293" t="s">
        <v>79</v>
      </c>
      <c r="O293" t="s">
        <v>74</v>
      </c>
      <c r="P293" t="s">
        <v>74</v>
      </c>
      <c r="Q293" t="s">
        <v>74</v>
      </c>
      <c r="R293" t="s">
        <v>74</v>
      </c>
      <c r="S293" t="s">
        <v>74</v>
      </c>
      <c r="T293" t="s">
        <v>6039</v>
      </c>
      <c r="U293" t="s">
        <v>6040</v>
      </c>
      <c r="V293" t="s">
        <v>6041</v>
      </c>
      <c r="W293" t="s">
        <v>6042</v>
      </c>
      <c r="X293" t="s">
        <v>6043</v>
      </c>
      <c r="Y293" t="s">
        <v>6044</v>
      </c>
      <c r="Z293" t="s">
        <v>6045</v>
      </c>
      <c r="AA293" t="s">
        <v>6046</v>
      </c>
      <c r="AB293" t="s">
        <v>6047</v>
      </c>
      <c r="AC293" t="s">
        <v>6048</v>
      </c>
      <c r="AD293" t="s">
        <v>6048</v>
      </c>
      <c r="AE293" t="s">
        <v>6049</v>
      </c>
      <c r="AF293" t="s">
        <v>74</v>
      </c>
      <c r="AG293">
        <v>62</v>
      </c>
      <c r="AH293">
        <v>23</v>
      </c>
      <c r="AI293">
        <v>23</v>
      </c>
      <c r="AJ293">
        <v>1</v>
      </c>
      <c r="AK293">
        <v>11</v>
      </c>
      <c r="AL293" t="s">
        <v>153</v>
      </c>
      <c r="AM293" t="s">
        <v>154</v>
      </c>
      <c r="AN293" t="s">
        <v>155</v>
      </c>
      <c r="AO293" t="s">
        <v>3714</v>
      </c>
      <c r="AP293" t="s">
        <v>3715</v>
      </c>
      <c r="AQ293" t="s">
        <v>74</v>
      </c>
      <c r="AR293" t="s">
        <v>3716</v>
      </c>
      <c r="AS293" t="s">
        <v>3717</v>
      </c>
      <c r="AT293" t="s">
        <v>6050</v>
      </c>
      <c r="AU293">
        <v>2019</v>
      </c>
      <c r="AV293">
        <v>39</v>
      </c>
      <c r="AW293">
        <v>4</v>
      </c>
      <c r="AX293" t="s">
        <v>74</v>
      </c>
      <c r="AY293" t="s">
        <v>74</v>
      </c>
      <c r="AZ293" t="s">
        <v>74</v>
      </c>
      <c r="BA293" t="s">
        <v>74</v>
      </c>
      <c r="BB293">
        <v>2096</v>
      </c>
      <c r="BC293">
        <v>2107</v>
      </c>
      <c r="BD293" t="s">
        <v>74</v>
      </c>
      <c r="BE293" t="s">
        <v>6051</v>
      </c>
      <c r="BF293" t="str">
        <f>HYPERLINK("http://dx.doi.org/10.1002/joc.5937","http://dx.doi.org/10.1002/joc.5937")</f>
        <v>http://dx.doi.org/10.1002/joc.5937</v>
      </c>
      <c r="BG293" t="s">
        <v>74</v>
      </c>
      <c r="BH293" t="s">
        <v>74</v>
      </c>
      <c r="BI293">
        <v>12</v>
      </c>
      <c r="BJ293" t="s">
        <v>133</v>
      </c>
      <c r="BK293" t="s">
        <v>102</v>
      </c>
      <c r="BL293" t="s">
        <v>133</v>
      </c>
      <c r="BM293" t="s">
        <v>6052</v>
      </c>
      <c r="BN293" t="s">
        <v>74</v>
      </c>
      <c r="BO293" t="s">
        <v>198</v>
      </c>
      <c r="BP293" t="s">
        <v>74</v>
      </c>
      <c r="BQ293" t="s">
        <v>74</v>
      </c>
      <c r="BR293" t="s">
        <v>107</v>
      </c>
      <c r="BS293" t="s">
        <v>6053</v>
      </c>
      <c r="BT293" t="str">
        <f>HYPERLINK("https%3A%2F%2Fwww.webofscience.com%2Fwos%2Fwoscc%2Ffull-record%2FWOS:000465456400019","View Full Record in Web of Science")</f>
        <v>View Full Record in Web of Science</v>
      </c>
    </row>
    <row r="294" spans="1:72" x14ac:dyDescent="0.15">
      <c r="A294" t="s">
        <v>72</v>
      </c>
      <c r="B294" t="s">
        <v>6054</v>
      </c>
      <c r="C294" t="s">
        <v>74</v>
      </c>
      <c r="D294" t="s">
        <v>74</v>
      </c>
      <c r="E294" t="s">
        <v>74</v>
      </c>
      <c r="F294" t="s">
        <v>6055</v>
      </c>
      <c r="G294" t="s">
        <v>74</v>
      </c>
      <c r="H294" t="s">
        <v>74</v>
      </c>
      <c r="I294" t="s">
        <v>6056</v>
      </c>
      <c r="J294" t="s">
        <v>1788</v>
      </c>
      <c r="K294" t="s">
        <v>74</v>
      </c>
      <c r="L294" t="s">
        <v>74</v>
      </c>
      <c r="M294" t="s">
        <v>78</v>
      </c>
      <c r="N294" t="s">
        <v>79</v>
      </c>
      <c r="O294" t="s">
        <v>74</v>
      </c>
      <c r="P294" t="s">
        <v>74</v>
      </c>
      <c r="Q294" t="s">
        <v>74</v>
      </c>
      <c r="R294" t="s">
        <v>74</v>
      </c>
      <c r="S294" t="s">
        <v>74</v>
      </c>
      <c r="T294" t="s">
        <v>74</v>
      </c>
      <c r="U294" t="s">
        <v>6057</v>
      </c>
      <c r="V294" t="s">
        <v>6058</v>
      </c>
      <c r="W294" t="s">
        <v>6059</v>
      </c>
      <c r="X294" t="s">
        <v>6060</v>
      </c>
      <c r="Y294" t="s">
        <v>6061</v>
      </c>
      <c r="Z294" t="s">
        <v>6062</v>
      </c>
      <c r="AA294" t="s">
        <v>6063</v>
      </c>
      <c r="AB294" t="s">
        <v>6064</v>
      </c>
      <c r="AC294" t="s">
        <v>6065</v>
      </c>
      <c r="AD294" t="s">
        <v>6066</v>
      </c>
      <c r="AE294" t="s">
        <v>6067</v>
      </c>
      <c r="AF294" t="s">
        <v>74</v>
      </c>
      <c r="AG294">
        <v>42</v>
      </c>
      <c r="AH294">
        <v>3</v>
      </c>
      <c r="AI294">
        <v>3</v>
      </c>
      <c r="AJ294">
        <v>2</v>
      </c>
      <c r="AK294">
        <v>12</v>
      </c>
      <c r="AL294" t="s">
        <v>153</v>
      </c>
      <c r="AM294" t="s">
        <v>154</v>
      </c>
      <c r="AN294" t="s">
        <v>155</v>
      </c>
      <c r="AO294" t="s">
        <v>1800</v>
      </c>
      <c r="AP294" t="s">
        <v>1801</v>
      </c>
      <c r="AQ294" t="s">
        <v>74</v>
      </c>
      <c r="AR294" t="s">
        <v>1802</v>
      </c>
      <c r="AS294" t="s">
        <v>1803</v>
      </c>
      <c r="AT294" t="s">
        <v>6050</v>
      </c>
      <c r="AU294">
        <v>2019</v>
      </c>
      <c r="AV294">
        <v>33</v>
      </c>
      <c r="AW294">
        <v>6</v>
      </c>
      <c r="AX294" t="s">
        <v>74</v>
      </c>
      <c r="AY294" t="s">
        <v>74</v>
      </c>
      <c r="AZ294" t="s">
        <v>74</v>
      </c>
      <c r="BA294" t="s">
        <v>74</v>
      </c>
      <c r="BB294">
        <v>569</v>
      </c>
      <c r="BC294">
        <v>578</v>
      </c>
      <c r="BD294" t="s">
        <v>74</v>
      </c>
      <c r="BE294" t="s">
        <v>6068</v>
      </c>
      <c r="BF294" t="str">
        <f>HYPERLINK("http://dx.doi.org/10.1002/rcm.8384","http://dx.doi.org/10.1002/rcm.8384")</f>
        <v>http://dx.doi.org/10.1002/rcm.8384</v>
      </c>
      <c r="BG294" t="s">
        <v>74</v>
      </c>
      <c r="BH294" t="s">
        <v>74</v>
      </c>
      <c r="BI294">
        <v>10</v>
      </c>
      <c r="BJ294" t="s">
        <v>1805</v>
      </c>
      <c r="BK294" t="s">
        <v>102</v>
      </c>
      <c r="BL294" t="s">
        <v>1806</v>
      </c>
      <c r="BM294" t="s">
        <v>6069</v>
      </c>
      <c r="BN294">
        <v>30635929</v>
      </c>
      <c r="BO294" t="s">
        <v>1014</v>
      </c>
      <c r="BP294" t="s">
        <v>74</v>
      </c>
      <c r="BQ294" t="s">
        <v>74</v>
      </c>
      <c r="BR294" t="s">
        <v>107</v>
      </c>
      <c r="BS294" t="s">
        <v>6070</v>
      </c>
      <c r="BT294" t="str">
        <f>HYPERLINK("https%3A%2F%2Fwww.webofscience.com%2Fwos%2Fwoscc%2Ffull-record%2FWOS:000459819100003","View Full Record in Web of Science")</f>
        <v>View Full Record in Web of Science</v>
      </c>
    </row>
    <row r="295" spans="1:72" x14ac:dyDescent="0.15">
      <c r="A295" t="s">
        <v>72</v>
      </c>
      <c r="B295" t="s">
        <v>6071</v>
      </c>
      <c r="C295" t="s">
        <v>74</v>
      </c>
      <c r="D295" t="s">
        <v>74</v>
      </c>
      <c r="E295" t="s">
        <v>74</v>
      </c>
      <c r="F295" t="s">
        <v>6072</v>
      </c>
      <c r="G295" t="s">
        <v>74</v>
      </c>
      <c r="H295" t="s">
        <v>74</v>
      </c>
      <c r="I295" t="s">
        <v>6073</v>
      </c>
      <c r="J295" t="s">
        <v>6074</v>
      </c>
      <c r="K295" t="s">
        <v>74</v>
      </c>
      <c r="L295" t="s">
        <v>74</v>
      </c>
      <c r="M295" t="s">
        <v>78</v>
      </c>
      <c r="N295" t="s">
        <v>79</v>
      </c>
      <c r="O295" t="s">
        <v>74</v>
      </c>
      <c r="P295" t="s">
        <v>74</v>
      </c>
      <c r="Q295" t="s">
        <v>74</v>
      </c>
      <c r="R295" t="s">
        <v>74</v>
      </c>
      <c r="S295" t="s">
        <v>74</v>
      </c>
      <c r="T295" t="s">
        <v>6075</v>
      </c>
      <c r="U295" t="s">
        <v>6076</v>
      </c>
      <c r="V295" t="s">
        <v>6077</v>
      </c>
      <c r="W295" t="s">
        <v>6078</v>
      </c>
      <c r="X295" t="s">
        <v>6079</v>
      </c>
      <c r="Y295" t="s">
        <v>6080</v>
      </c>
      <c r="Z295" t="s">
        <v>6081</v>
      </c>
      <c r="AA295" t="s">
        <v>6082</v>
      </c>
      <c r="AB295" t="s">
        <v>6083</v>
      </c>
      <c r="AC295" t="s">
        <v>6084</v>
      </c>
      <c r="AD295" t="s">
        <v>6085</v>
      </c>
      <c r="AE295" t="s">
        <v>6086</v>
      </c>
      <c r="AF295" t="s">
        <v>74</v>
      </c>
      <c r="AG295">
        <v>39</v>
      </c>
      <c r="AH295">
        <v>17</v>
      </c>
      <c r="AI295">
        <v>18</v>
      </c>
      <c r="AJ295">
        <v>1</v>
      </c>
      <c r="AK295">
        <v>17</v>
      </c>
      <c r="AL295" t="s">
        <v>662</v>
      </c>
      <c r="AM295" t="s">
        <v>635</v>
      </c>
      <c r="AN295" t="s">
        <v>663</v>
      </c>
      <c r="AO295" t="s">
        <v>6087</v>
      </c>
      <c r="AP295" t="s">
        <v>6088</v>
      </c>
      <c r="AQ295" t="s">
        <v>74</v>
      </c>
      <c r="AR295" t="s">
        <v>6074</v>
      </c>
      <c r="AS295" t="s">
        <v>6089</v>
      </c>
      <c r="AT295" t="s">
        <v>6050</v>
      </c>
      <c r="AU295">
        <v>2019</v>
      </c>
      <c r="AV295">
        <v>503</v>
      </c>
      <c r="AW295" t="s">
        <v>74</v>
      </c>
      <c r="AX295" t="s">
        <v>74</v>
      </c>
      <c r="AY295" t="s">
        <v>74</v>
      </c>
      <c r="AZ295" t="s">
        <v>74</v>
      </c>
      <c r="BA295" t="s">
        <v>74</v>
      </c>
      <c r="BB295">
        <v>519</v>
      </c>
      <c r="BC295">
        <v>526</v>
      </c>
      <c r="BD295" t="s">
        <v>74</v>
      </c>
      <c r="BE295" t="s">
        <v>6090</v>
      </c>
      <c r="BF295" t="str">
        <f>HYPERLINK("http://dx.doi.org/10.1016/j.aquaculture.2019.01.041","http://dx.doi.org/10.1016/j.aquaculture.2019.01.041")</f>
        <v>http://dx.doi.org/10.1016/j.aquaculture.2019.01.041</v>
      </c>
      <c r="BG295" t="s">
        <v>74</v>
      </c>
      <c r="BH295" t="s">
        <v>74</v>
      </c>
      <c r="BI295">
        <v>8</v>
      </c>
      <c r="BJ295" t="s">
        <v>4669</v>
      </c>
      <c r="BK295" t="s">
        <v>102</v>
      </c>
      <c r="BL295" t="s">
        <v>4669</v>
      </c>
      <c r="BM295" t="s">
        <v>6091</v>
      </c>
      <c r="BN295" t="s">
        <v>74</v>
      </c>
      <c r="BO295" t="s">
        <v>74</v>
      </c>
      <c r="BP295" t="s">
        <v>74</v>
      </c>
      <c r="BQ295" t="s">
        <v>74</v>
      </c>
      <c r="BR295" t="s">
        <v>107</v>
      </c>
      <c r="BS295" t="s">
        <v>6092</v>
      </c>
      <c r="BT295" t="str">
        <f>HYPERLINK("https%3A%2F%2Fwww.webofscience.com%2Fwos%2Fwoscc%2Ffull-record%2FWOS:000458730400060","View Full Record in Web of Science")</f>
        <v>View Full Record in Web of Science</v>
      </c>
    </row>
    <row r="296" spans="1:72" x14ac:dyDescent="0.15">
      <c r="A296" t="s">
        <v>72</v>
      </c>
      <c r="B296" t="s">
        <v>6093</v>
      </c>
      <c r="C296" t="s">
        <v>74</v>
      </c>
      <c r="D296" t="s">
        <v>74</v>
      </c>
      <c r="E296" t="s">
        <v>74</v>
      </c>
      <c r="F296" t="s">
        <v>6094</v>
      </c>
      <c r="G296" t="s">
        <v>74</v>
      </c>
      <c r="H296" t="s">
        <v>74</v>
      </c>
      <c r="I296" t="s">
        <v>6095</v>
      </c>
      <c r="J296" t="s">
        <v>6096</v>
      </c>
      <c r="K296" t="s">
        <v>74</v>
      </c>
      <c r="L296" t="s">
        <v>74</v>
      </c>
      <c r="M296" t="s">
        <v>78</v>
      </c>
      <c r="N296" t="s">
        <v>79</v>
      </c>
      <c r="O296" t="s">
        <v>74</v>
      </c>
      <c r="P296" t="s">
        <v>74</v>
      </c>
      <c r="Q296" t="s">
        <v>74</v>
      </c>
      <c r="R296" t="s">
        <v>74</v>
      </c>
      <c r="S296" t="s">
        <v>74</v>
      </c>
      <c r="T296" t="s">
        <v>6097</v>
      </c>
      <c r="U296" t="s">
        <v>6098</v>
      </c>
      <c r="V296" t="s">
        <v>6099</v>
      </c>
      <c r="W296" t="s">
        <v>6100</v>
      </c>
      <c r="X296" t="s">
        <v>6101</v>
      </c>
      <c r="Y296" t="s">
        <v>6102</v>
      </c>
      <c r="Z296" t="s">
        <v>6103</v>
      </c>
      <c r="AA296" t="s">
        <v>6104</v>
      </c>
      <c r="AB296" t="s">
        <v>6105</v>
      </c>
      <c r="AC296" t="s">
        <v>6106</v>
      </c>
      <c r="AD296" t="s">
        <v>6106</v>
      </c>
      <c r="AE296" t="s">
        <v>6107</v>
      </c>
      <c r="AF296" t="s">
        <v>74</v>
      </c>
      <c r="AG296">
        <v>45</v>
      </c>
      <c r="AH296">
        <v>32</v>
      </c>
      <c r="AI296">
        <v>32</v>
      </c>
      <c r="AJ296">
        <v>2</v>
      </c>
      <c r="AK296">
        <v>28</v>
      </c>
      <c r="AL296" t="s">
        <v>2055</v>
      </c>
      <c r="AM296" t="s">
        <v>2056</v>
      </c>
      <c r="AN296" t="s">
        <v>2057</v>
      </c>
      <c r="AO296" t="s">
        <v>6108</v>
      </c>
      <c r="AP296" t="s">
        <v>6109</v>
      </c>
      <c r="AQ296" t="s">
        <v>74</v>
      </c>
      <c r="AR296" t="s">
        <v>6110</v>
      </c>
      <c r="AS296" t="s">
        <v>6111</v>
      </c>
      <c r="AT296" t="s">
        <v>6112</v>
      </c>
      <c r="AU296">
        <v>2019</v>
      </c>
      <c r="AV296">
        <v>19</v>
      </c>
      <c r="AW296">
        <v>7</v>
      </c>
      <c r="AX296" t="s">
        <v>74</v>
      </c>
      <c r="AY296" t="s">
        <v>74</v>
      </c>
      <c r="AZ296" t="s">
        <v>74</v>
      </c>
      <c r="BA296" t="s">
        <v>74</v>
      </c>
      <c r="BB296">
        <v>801</v>
      </c>
      <c r="BC296">
        <v>811</v>
      </c>
      <c r="BD296" t="s">
        <v>74</v>
      </c>
      <c r="BE296" t="s">
        <v>6113</v>
      </c>
      <c r="BF296" t="str">
        <f>HYPERLINK("http://dx.doi.org/10.1080/14693062.2019.1592742","http://dx.doi.org/10.1080/14693062.2019.1592742")</f>
        <v>http://dx.doi.org/10.1080/14693062.2019.1592742</v>
      </c>
      <c r="BG296" t="s">
        <v>74</v>
      </c>
      <c r="BH296" t="s">
        <v>6114</v>
      </c>
      <c r="BI296">
        <v>11</v>
      </c>
      <c r="BJ296" t="s">
        <v>6115</v>
      </c>
      <c r="BK296" t="s">
        <v>314</v>
      </c>
      <c r="BL296" t="s">
        <v>6116</v>
      </c>
      <c r="BM296" t="s">
        <v>6117</v>
      </c>
      <c r="BN296" t="s">
        <v>74</v>
      </c>
      <c r="BO296" t="s">
        <v>74</v>
      </c>
      <c r="BP296" t="s">
        <v>74</v>
      </c>
      <c r="BQ296" t="s">
        <v>74</v>
      </c>
      <c r="BR296" t="s">
        <v>107</v>
      </c>
      <c r="BS296" t="s">
        <v>6118</v>
      </c>
      <c r="BT296" t="str">
        <f>HYPERLINK("https%3A%2F%2Fwww.webofscience.com%2Fwos%2Fwoscc%2Ffull-record%2FWOS:000469658600001","View Full Record in Web of Science")</f>
        <v>View Full Record in Web of Science</v>
      </c>
    </row>
    <row r="297" spans="1:72" x14ac:dyDescent="0.15">
      <c r="A297" t="s">
        <v>72</v>
      </c>
      <c r="B297" t="s">
        <v>6119</v>
      </c>
      <c r="C297" t="s">
        <v>74</v>
      </c>
      <c r="D297" t="s">
        <v>74</v>
      </c>
      <c r="E297" t="s">
        <v>74</v>
      </c>
      <c r="F297" t="s">
        <v>6120</v>
      </c>
      <c r="G297" t="s">
        <v>74</v>
      </c>
      <c r="H297" t="s">
        <v>74</v>
      </c>
      <c r="I297" t="s">
        <v>6121</v>
      </c>
      <c r="J297" t="s">
        <v>1339</v>
      </c>
      <c r="K297" t="s">
        <v>74</v>
      </c>
      <c r="L297" t="s">
        <v>74</v>
      </c>
      <c r="M297" t="s">
        <v>78</v>
      </c>
      <c r="N297" t="s">
        <v>79</v>
      </c>
      <c r="O297" t="s">
        <v>74</v>
      </c>
      <c r="P297" t="s">
        <v>74</v>
      </c>
      <c r="Q297" t="s">
        <v>74</v>
      </c>
      <c r="R297" t="s">
        <v>74</v>
      </c>
      <c r="S297" t="s">
        <v>74</v>
      </c>
      <c r="T297" t="s">
        <v>74</v>
      </c>
      <c r="U297" t="s">
        <v>6122</v>
      </c>
      <c r="V297" t="s">
        <v>6123</v>
      </c>
      <c r="W297" t="s">
        <v>6124</v>
      </c>
      <c r="X297" t="s">
        <v>6125</v>
      </c>
      <c r="Y297" t="s">
        <v>6126</v>
      </c>
      <c r="Z297" t="s">
        <v>6127</v>
      </c>
      <c r="AA297" t="s">
        <v>6128</v>
      </c>
      <c r="AB297" t="s">
        <v>6129</v>
      </c>
      <c r="AC297" t="s">
        <v>6130</v>
      </c>
      <c r="AD297" t="s">
        <v>6131</v>
      </c>
      <c r="AE297" t="s">
        <v>6132</v>
      </c>
      <c r="AF297" t="s">
        <v>74</v>
      </c>
      <c r="AG297">
        <v>79</v>
      </c>
      <c r="AH297">
        <v>11</v>
      </c>
      <c r="AI297">
        <v>12</v>
      </c>
      <c r="AJ297">
        <v>2</v>
      </c>
      <c r="AK297">
        <v>10</v>
      </c>
      <c r="AL297" t="s">
        <v>868</v>
      </c>
      <c r="AM297" t="s">
        <v>869</v>
      </c>
      <c r="AN297" t="s">
        <v>870</v>
      </c>
      <c r="AO297" t="s">
        <v>1348</v>
      </c>
      <c r="AP297" t="s">
        <v>1349</v>
      </c>
      <c r="AQ297" t="s">
        <v>74</v>
      </c>
      <c r="AR297" t="s">
        <v>1350</v>
      </c>
      <c r="AS297" t="s">
        <v>1351</v>
      </c>
      <c r="AT297" t="s">
        <v>6133</v>
      </c>
      <c r="AU297">
        <v>2019</v>
      </c>
      <c r="AV297">
        <v>12</v>
      </c>
      <c r="AW297">
        <v>3</v>
      </c>
      <c r="AX297" t="s">
        <v>74</v>
      </c>
      <c r="AY297" t="s">
        <v>74</v>
      </c>
      <c r="AZ297" t="s">
        <v>74</v>
      </c>
      <c r="BA297" t="s">
        <v>74</v>
      </c>
      <c r="BB297">
        <v>1227</v>
      </c>
      <c r="BC297">
        <v>1239</v>
      </c>
      <c r="BD297" t="s">
        <v>74</v>
      </c>
      <c r="BE297" t="s">
        <v>6134</v>
      </c>
      <c r="BF297" t="str">
        <f>HYPERLINK("http://dx.doi.org/10.5194/gmd-12-1227-2019","http://dx.doi.org/10.5194/gmd-12-1227-2019")</f>
        <v>http://dx.doi.org/10.5194/gmd-12-1227-2019</v>
      </c>
      <c r="BG297" t="s">
        <v>74</v>
      </c>
      <c r="BH297" t="s">
        <v>74</v>
      </c>
      <c r="BI297">
        <v>13</v>
      </c>
      <c r="BJ297" t="s">
        <v>922</v>
      </c>
      <c r="BK297" t="s">
        <v>102</v>
      </c>
      <c r="BL297" t="s">
        <v>923</v>
      </c>
      <c r="BM297" t="s">
        <v>6135</v>
      </c>
      <c r="BN297" t="s">
        <v>74</v>
      </c>
      <c r="BO297" t="s">
        <v>2038</v>
      </c>
      <c r="BP297" t="s">
        <v>74</v>
      </c>
      <c r="BQ297" t="s">
        <v>74</v>
      </c>
      <c r="BR297" t="s">
        <v>107</v>
      </c>
      <c r="BS297" t="s">
        <v>6136</v>
      </c>
      <c r="BT297" t="str">
        <f>HYPERLINK("https%3A%2F%2Fwww.webofscience.com%2Fwos%2Fwoscc%2Ffull-record%2FWOS:000462869500002","View Full Record in Web of Science")</f>
        <v>View Full Record in Web of Science</v>
      </c>
    </row>
    <row r="298" spans="1:72" x14ac:dyDescent="0.15">
      <c r="A298" t="s">
        <v>72</v>
      </c>
      <c r="B298" t="s">
        <v>6137</v>
      </c>
      <c r="C298" t="s">
        <v>74</v>
      </c>
      <c r="D298" t="s">
        <v>74</v>
      </c>
      <c r="E298" t="s">
        <v>74</v>
      </c>
      <c r="F298" t="s">
        <v>6138</v>
      </c>
      <c r="G298" t="s">
        <v>74</v>
      </c>
      <c r="H298" t="s">
        <v>74</v>
      </c>
      <c r="I298" t="s">
        <v>6139</v>
      </c>
      <c r="J298" t="s">
        <v>2189</v>
      </c>
      <c r="K298" t="s">
        <v>74</v>
      </c>
      <c r="L298" t="s">
        <v>74</v>
      </c>
      <c r="M298" t="s">
        <v>78</v>
      </c>
      <c r="N298" t="s">
        <v>79</v>
      </c>
      <c r="O298" t="s">
        <v>74</v>
      </c>
      <c r="P298" t="s">
        <v>74</v>
      </c>
      <c r="Q298" t="s">
        <v>74</v>
      </c>
      <c r="R298" t="s">
        <v>74</v>
      </c>
      <c r="S298" t="s">
        <v>74</v>
      </c>
      <c r="T298" t="s">
        <v>6140</v>
      </c>
      <c r="U298" t="s">
        <v>6141</v>
      </c>
      <c r="V298" t="s">
        <v>6142</v>
      </c>
      <c r="W298" t="s">
        <v>6143</v>
      </c>
      <c r="X298" t="s">
        <v>6144</v>
      </c>
      <c r="Y298" t="s">
        <v>6145</v>
      </c>
      <c r="Z298" t="s">
        <v>6146</v>
      </c>
      <c r="AA298" t="s">
        <v>6147</v>
      </c>
      <c r="AB298" t="s">
        <v>6148</v>
      </c>
      <c r="AC298" t="s">
        <v>6149</v>
      </c>
      <c r="AD298" t="s">
        <v>6150</v>
      </c>
      <c r="AE298" t="s">
        <v>6151</v>
      </c>
      <c r="AF298" t="s">
        <v>74</v>
      </c>
      <c r="AG298">
        <v>17</v>
      </c>
      <c r="AH298">
        <v>4</v>
      </c>
      <c r="AI298">
        <v>4</v>
      </c>
      <c r="AJ298">
        <v>0</v>
      </c>
      <c r="AK298">
        <v>0</v>
      </c>
      <c r="AL298" t="s">
        <v>2055</v>
      </c>
      <c r="AM298" t="s">
        <v>2056</v>
      </c>
      <c r="AN298" t="s">
        <v>2057</v>
      </c>
      <c r="AO298" t="s">
        <v>2201</v>
      </c>
      <c r="AP298" t="s">
        <v>2202</v>
      </c>
      <c r="AQ298" t="s">
        <v>74</v>
      </c>
      <c r="AR298" t="s">
        <v>2203</v>
      </c>
      <c r="AS298" t="s">
        <v>2204</v>
      </c>
      <c r="AT298" t="s">
        <v>6152</v>
      </c>
      <c r="AU298">
        <v>2019</v>
      </c>
      <c r="AV298">
        <v>38</v>
      </c>
      <c r="AW298" t="s">
        <v>74</v>
      </c>
      <c r="AX298" t="s">
        <v>74</v>
      </c>
      <c r="AY298" t="s">
        <v>74</v>
      </c>
      <c r="AZ298" t="s">
        <v>74</v>
      </c>
      <c r="BA298" t="s">
        <v>74</v>
      </c>
      <c r="BB298" t="s">
        <v>74</v>
      </c>
      <c r="BC298" t="s">
        <v>74</v>
      </c>
      <c r="BD298">
        <v>3498</v>
      </c>
      <c r="BE298" t="s">
        <v>6153</v>
      </c>
      <c r="BF298" t="str">
        <f>HYPERLINK("http://dx.doi.org/10.33265/polar.v38.3498","http://dx.doi.org/10.33265/polar.v38.3498")</f>
        <v>http://dx.doi.org/10.33265/polar.v38.3498</v>
      </c>
      <c r="BG298" t="s">
        <v>74</v>
      </c>
      <c r="BH298" t="s">
        <v>74</v>
      </c>
      <c r="BI298">
        <v>6</v>
      </c>
      <c r="BJ298" t="s">
        <v>2207</v>
      </c>
      <c r="BK298" t="s">
        <v>102</v>
      </c>
      <c r="BL298" t="s">
        <v>2208</v>
      </c>
      <c r="BM298" t="s">
        <v>6154</v>
      </c>
      <c r="BN298" t="s">
        <v>74</v>
      </c>
      <c r="BO298" t="s">
        <v>6155</v>
      </c>
      <c r="BP298" t="s">
        <v>74</v>
      </c>
      <c r="BQ298" t="s">
        <v>74</v>
      </c>
      <c r="BR298" t="s">
        <v>107</v>
      </c>
      <c r="BS298" t="s">
        <v>6156</v>
      </c>
      <c r="BT298" t="str">
        <f>HYPERLINK("https%3A%2F%2Fwww.webofscience.com%2Fwos%2Fwoscc%2Ffull-record%2FWOS:000474234100001","View Full Record in Web of Science")</f>
        <v>View Full Record in Web of Science</v>
      </c>
    </row>
    <row r="299" spans="1:72" x14ac:dyDescent="0.15">
      <c r="A299" t="s">
        <v>72</v>
      </c>
      <c r="B299" t="s">
        <v>6157</v>
      </c>
      <c r="C299" t="s">
        <v>74</v>
      </c>
      <c r="D299" t="s">
        <v>74</v>
      </c>
      <c r="E299" t="s">
        <v>74</v>
      </c>
      <c r="F299" t="s">
        <v>6158</v>
      </c>
      <c r="G299" t="s">
        <v>74</v>
      </c>
      <c r="H299" t="s">
        <v>74</v>
      </c>
      <c r="I299" t="s">
        <v>6159</v>
      </c>
      <c r="J299" t="s">
        <v>907</v>
      </c>
      <c r="K299" t="s">
        <v>74</v>
      </c>
      <c r="L299" t="s">
        <v>74</v>
      </c>
      <c r="M299" t="s">
        <v>78</v>
      </c>
      <c r="N299" t="s">
        <v>79</v>
      </c>
      <c r="O299" t="s">
        <v>74</v>
      </c>
      <c r="P299" t="s">
        <v>74</v>
      </c>
      <c r="Q299" t="s">
        <v>74</v>
      </c>
      <c r="R299" t="s">
        <v>74</v>
      </c>
      <c r="S299" t="s">
        <v>74</v>
      </c>
      <c r="T299" t="s">
        <v>6160</v>
      </c>
      <c r="U299" t="s">
        <v>6161</v>
      </c>
      <c r="V299" t="s">
        <v>6162</v>
      </c>
      <c r="W299" t="s">
        <v>6163</v>
      </c>
      <c r="X299" t="s">
        <v>6164</v>
      </c>
      <c r="Y299" t="s">
        <v>6165</v>
      </c>
      <c r="Z299" t="s">
        <v>6166</v>
      </c>
      <c r="AA299" t="s">
        <v>6167</v>
      </c>
      <c r="AB299" t="s">
        <v>6168</v>
      </c>
      <c r="AC299" t="s">
        <v>6169</v>
      </c>
      <c r="AD299" t="s">
        <v>6170</v>
      </c>
      <c r="AE299" t="s">
        <v>6171</v>
      </c>
      <c r="AF299" t="s">
        <v>74</v>
      </c>
      <c r="AG299">
        <v>57</v>
      </c>
      <c r="AH299">
        <v>16</v>
      </c>
      <c r="AI299">
        <v>16</v>
      </c>
      <c r="AJ299">
        <v>4</v>
      </c>
      <c r="AK299">
        <v>49</v>
      </c>
      <c r="AL299" t="s">
        <v>125</v>
      </c>
      <c r="AM299" t="s">
        <v>126</v>
      </c>
      <c r="AN299" t="s">
        <v>127</v>
      </c>
      <c r="AO299" t="s">
        <v>916</v>
      </c>
      <c r="AP299" t="s">
        <v>917</v>
      </c>
      <c r="AQ299" t="s">
        <v>74</v>
      </c>
      <c r="AR299" t="s">
        <v>918</v>
      </c>
      <c r="AS299" t="s">
        <v>919</v>
      </c>
      <c r="AT299" t="s">
        <v>6152</v>
      </c>
      <c r="AU299">
        <v>2019</v>
      </c>
      <c r="AV299">
        <v>46</v>
      </c>
      <c r="AW299">
        <v>6</v>
      </c>
      <c r="AX299" t="s">
        <v>74</v>
      </c>
      <c r="AY299" t="s">
        <v>74</v>
      </c>
      <c r="AZ299" t="s">
        <v>74</v>
      </c>
      <c r="BA299" t="s">
        <v>74</v>
      </c>
      <c r="BB299">
        <v>3287</v>
      </c>
      <c r="BC299">
        <v>3297</v>
      </c>
      <c r="BD299" t="s">
        <v>74</v>
      </c>
      <c r="BE299" t="s">
        <v>6172</v>
      </c>
      <c r="BF299" t="str">
        <f>HYPERLINK("http://dx.doi.org/10.1029/2019GL081968","http://dx.doi.org/10.1029/2019GL081968")</f>
        <v>http://dx.doi.org/10.1029/2019GL081968</v>
      </c>
      <c r="BG299" t="s">
        <v>74</v>
      </c>
      <c r="BH299" t="s">
        <v>74</v>
      </c>
      <c r="BI299">
        <v>11</v>
      </c>
      <c r="BJ299" t="s">
        <v>922</v>
      </c>
      <c r="BK299" t="s">
        <v>102</v>
      </c>
      <c r="BL299" t="s">
        <v>923</v>
      </c>
      <c r="BM299" t="s">
        <v>6173</v>
      </c>
      <c r="BN299" t="s">
        <v>74</v>
      </c>
      <c r="BO299" t="s">
        <v>74</v>
      </c>
      <c r="BP299" t="s">
        <v>74</v>
      </c>
      <c r="BQ299" t="s">
        <v>74</v>
      </c>
      <c r="BR299" t="s">
        <v>107</v>
      </c>
      <c r="BS299" t="s">
        <v>6174</v>
      </c>
      <c r="BT299" t="str">
        <f>HYPERLINK("https%3A%2F%2Fwww.webofscience.com%2Fwos%2Fwoscc%2Ffull-record%2FWOS:000464650400031","View Full Record in Web of Science")</f>
        <v>View Full Record in Web of Science</v>
      </c>
    </row>
    <row r="300" spans="1:72" x14ac:dyDescent="0.15">
      <c r="A300" t="s">
        <v>72</v>
      </c>
      <c r="B300" t="s">
        <v>6175</v>
      </c>
      <c r="C300" t="s">
        <v>74</v>
      </c>
      <c r="D300" t="s">
        <v>74</v>
      </c>
      <c r="E300" t="s">
        <v>74</v>
      </c>
      <c r="F300" t="s">
        <v>6176</v>
      </c>
      <c r="G300" t="s">
        <v>74</v>
      </c>
      <c r="H300" t="s">
        <v>74</v>
      </c>
      <c r="I300" t="s">
        <v>6177</v>
      </c>
      <c r="J300" t="s">
        <v>907</v>
      </c>
      <c r="K300" t="s">
        <v>74</v>
      </c>
      <c r="L300" t="s">
        <v>74</v>
      </c>
      <c r="M300" t="s">
        <v>78</v>
      </c>
      <c r="N300" t="s">
        <v>79</v>
      </c>
      <c r="O300" t="s">
        <v>74</v>
      </c>
      <c r="P300" t="s">
        <v>74</v>
      </c>
      <c r="Q300" t="s">
        <v>74</v>
      </c>
      <c r="R300" t="s">
        <v>74</v>
      </c>
      <c r="S300" t="s">
        <v>74</v>
      </c>
      <c r="T300" t="s">
        <v>6178</v>
      </c>
      <c r="U300" t="s">
        <v>6179</v>
      </c>
      <c r="V300" t="s">
        <v>6180</v>
      </c>
      <c r="W300" t="s">
        <v>6181</v>
      </c>
      <c r="X300" t="s">
        <v>6182</v>
      </c>
      <c r="Y300" t="s">
        <v>6183</v>
      </c>
      <c r="Z300" t="s">
        <v>6184</v>
      </c>
      <c r="AA300" t="s">
        <v>6185</v>
      </c>
      <c r="AB300" t="s">
        <v>6186</v>
      </c>
      <c r="AC300" t="s">
        <v>6187</v>
      </c>
      <c r="AD300" t="s">
        <v>6188</v>
      </c>
      <c r="AE300" t="s">
        <v>6189</v>
      </c>
      <c r="AF300" t="s">
        <v>74</v>
      </c>
      <c r="AG300">
        <v>42</v>
      </c>
      <c r="AH300">
        <v>22</v>
      </c>
      <c r="AI300">
        <v>24</v>
      </c>
      <c r="AJ300">
        <v>0</v>
      </c>
      <c r="AK300">
        <v>17</v>
      </c>
      <c r="AL300" t="s">
        <v>125</v>
      </c>
      <c r="AM300" t="s">
        <v>126</v>
      </c>
      <c r="AN300" t="s">
        <v>127</v>
      </c>
      <c r="AO300" t="s">
        <v>916</v>
      </c>
      <c r="AP300" t="s">
        <v>917</v>
      </c>
      <c r="AQ300" t="s">
        <v>74</v>
      </c>
      <c r="AR300" t="s">
        <v>918</v>
      </c>
      <c r="AS300" t="s">
        <v>919</v>
      </c>
      <c r="AT300" t="s">
        <v>6152</v>
      </c>
      <c r="AU300">
        <v>2019</v>
      </c>
      <c r="AV300">
        <v>46</v>
      </c>
      <c r="AW300">
        <v>6</v>
      </c>
      <c r="AX300" t="s">
        <v>74</v>
      </c>
      <c r="AY300" t="s">
        <v>74</v>
      </c>
      <c r="AZ300" t="s">
        <v>74</v>
      </c>
      <c r="BA300" t="s">
        <v>74</v>
      </c>
      <c r="BB300">
        <v>3368</v>
      </c>
      <c r="BC300">
        <v>3377</v>
      </c>
      <c r="BD300" t="s">
        <v>74</v>
      </c>
      <c r="BE300" t="s">
        <v>6190</v>
      </c>
      <c r="BF300" t="str">
        <f>HYPERLINK("http://dx.doi.org/10.1029/2018GL081788","http://dx.doi.org/10.1029/2018GL081788")</f>
        <v>http://dx.doi.org/10.1029/2018GL081788</v>
      </c>
      <c r="BG300" t="s">
        <v>74</v>
      </c>
      <c r="BH300" t="s">
        <v>74</v>
      </c>
      <c r="BI300">
        <v>10</v>
      </c>
      <c r="BJ300" t="s">
        <v>922</v>
      </c>
      <c r="BK300" t="s">
        <v>102</v>
      </c>
      <c r="BL300" t="s">
        <v>923</v>
      </c>
      <c r="BM300" t="s">
        <v>6173</v>
      </c>
      <c r="BN300" t="s">
        <v>74</v>
      </c>
      <c r="BO300" t="s">
        <v>2228</v>
      </c>
      <c r="BP300" t="s">
        <v>74</v>
      </c>
      <c r="BQ300" t="s">
        <v>74</v>
      </c>
      <c r="BR300" t="s">
        <v>107</v>
      </c>
      <c r="BS300" t="s">
        <v>6191</v>
      </c>
      <c r="BT300" t="str">
        <f>HYPERLINK("https%3A%2F%2Fwww.webofscience.com%2Fwos%2Fwoscc%2Ffull-record%2FWOS:000464650400039","View Full Record in Web of Science")</f>
        <v>View Full Record in Web of Science</v>
      </c>
    </row>
    <row r="301" spans="1:72" x14ac:dyDescent="0.15">
      <c r="A301" t="s">
        <v>72</v>
      </c>
      <c r="B301" t="s">
        <v>6192</v>
      </c>
      <c r="C301" t="s">
        <v>74</v>
      </c>
      <c r="D301" t="s">
        <v>74</v>
      </c>
      <c r="E301" t="s">
        <v>74</v>
      </c>
      <c r="F301" t="s">
        <v>6193</v>
      </c>
      <c r="G301" t="s">
        <v>74</v>
      </c>
      <c r="H301" t="s">
        <v>74</v>
      </c>
      <c r="I301" t="s">
        <v>6194</v>
      </c>
      <c r="J301" t="s">
        <v>907</v>
      </c>
      <c r="K301" t="s">
        <v>74</v>
      </c>
      <c r="L301" t="s">
        <v>74</v>
      </c>
      <c r="M301" t="s">
        <v>78</v>
      </c>
      <c r="N301" t="s">
        <v>79</v>
      </c>
      <c r="O301" t="s">
        <v>74</v>
      </c>
      <c r="P301" t="s">
        <v>74</v>
      </c>
      <c r="Q301" t="s">
        <v>74</v>
      </c>
      <c r="R301" t="s">
        <v>74</v>
      </c>
      <c r="S301" t="s">
        <v>74</v>
      </c>
      <c r="T301" t="s">
        <v>6195</v>
      </c>
      <c r="U301" t="s">
        <v>6196</v>
      </c>
      <c r="V301" t="s">
        <v>6197</v>
      </c>
      <c r="W301" t="s">
        <v>6198</v>
      </c>
      <c r="X301" t="s">
        <v>6199</v>
      </c>
      <c r="Y301" t="s">
        <v>6200</v>
      </c>
      <c r="Z301" t="s">
        <v>6201</v>
      </c>
      <c r="AA301" t="s">
        <v>6202</v>
      </c>
      <c r="AB301" t="s">
        <v>6203</v>
      </c>
      <c r="AC301" t="s">
        <v>6204</v>
      </c>
      <c r="AD301" t="s">
        <v>6205</v>
      </c>
      <c r="AE301" t="s">
        <v>6206</v>
      </c>
      <c r="AF301" t="s">
        <v>74</v>
      </c>
      <c r="AG301">
        <v>41</v>
      </c>
      <c r="AH301">
        <v>41</v>
      </c>
      <c r="AI301">
        <v>42</v>
      </c>
      <c r="AJ301">
        <v>1</v>
      </c>
      <c r="AK301">
        <v>16</v>
      </c>
      <c r="AL301" t="s">
        <v>125</v>
      </c>
      <c r="AM301" t="s">
        <v>126</v>
      </c>
      <c r="AN301" t="s">
        <v>127</v>
      </c>
      <c r="AO301" t="s">
        <v>916</v>
      </c>
      <c r="AP301" t="s">
        <v>917</v>
      </c>
      <c r="AQ301" t="s">
        <v>74</v>
      </c>
      <c r="AR301" t="s">
        <v>918</v>
      </c>
      <c r="AS301" t="s">
        <v>919</v>
      </c>
      <c r="AT301" t="s">
        <v>6152</v>
      </c>
      <c r="AU301">
        <v>2019</v>
      </c>
      <c r="AV301">
        <v>46</v>
      </c>
      <c r="AW301">
        <v>6</v>
      </c>
      <c r="AX301" t="s">
        <v>74</v>
      </c>
      <c r="AY301" t="s">
        <v>74</v>
      </c>
      <c r="AZ301" t="s">
        <v>74</v>
      </c>
      <c r="BA301" t="s">
        <v>74</v>
      </c>
      <c r="BB301">
        <v>3482</v>
      </c>
      <c r="BC301">
        <v>3491</v>
      </c>
      <c r="BD301" t="s">
        <v>74</v>
      </c>
      <c r="BE301" t="s">
        <v>6207</v>
      </c>
      <c r="BF301" t="str">
        <f>HYPERLINK("http://dx.doi.org/10.1029/2018GL081475","http://dx.doi.org/10.1029/2018GL081475")</f>
        <v>http://dx.doi.org/10.1029/2018GL081475</v>
      </c>
      <c r="BG301" t="s">
        <v>74</v>
      </c>
      <c r="BH301" t="s">
        <v>74</v>
      </c>
      <c r="BI301">
        <v>10</v>
      </c>
      <c r="BJ301" t="s">
        <v>922</v>
      </c>
      <c r="BK301" t="s">
        <v>102</v>
      </c>
      <c r="BL301" t="s">
        <v>923</v>
      </c>
      <c r="BM301" t="s">
        <v>6173</v>
      </c>
      <c r="BN301" t="s">
        <v>74</v>
      </c>
      <c r="BO301" t="s">
        <v>198</v>
      </c>
      <c r="BP301" t="s">
        <v>74</v>
      </c>
      <c r="BQ301" t="s">
        <v>74</v>
      </c>
      <c r="BR301" t="s">
        <v>107</v>
      </c>
      <c r="BS301" t="s">
        <v>6208</v>
      </c>
      <c r="BT301" t="str">
        <f>HYPERLINK("https%3A%2F%2Fwww.webofscience.com%2Fwos%2Fwoscc%2Ffull-record%2FWOS:000464650400051","View Full Record in Web of Science")</f>
        <v>View Full Record in Web of Science</v>
      </c>
    </row>
    <row r="302" spans="1:72" x14ac:dyDescent="0.15">
      <c r="A302" t="s">
        <v>72</v>
      </c>
      <c r="B302" t="s">
        <v>6209</v>
      </c>
      <c r="C302" t="s">
        <v>74</v>
      </c>
      <c r="D302" t="s">
        <v>74</v>
      </c>
      <c r="E302" t="s">
        <v>74</v>
      </c>
      <c r="F302" t="s">
        <v>6210</v>
      </c>
      <c r="G302" t="s">
        <v>74</v>
      </c>
      <c r="H302" t="s">
        <v>74</v>
      </c>
      <c r="I302" t="s">
        <v>6211</v>
      </c>
      <c r="J302" t="s">
        <v>907</v>
      </c>
      <c r="K302" t="s">
        <v>74</v>
      </c>
      <c r="L302" t="s">
        <v>74</v>
      </c>
      <c r="M302" t="s">
        <v>78</v>
      </c>
      <c r="N302" t="s">
        <v>79</v>
      </c>
      <c r="O302" t="s">
        <v>74</v>
      </c>
      <c r="P302" t="s">
        <v>74</v>
      </c>
      <c r="Q302" t="s">
        <v>74</v>
      </c>
      <c r="R302" t="s">
        <v>74</v>
      </c>
      <c r="S302" t="s">
        <v>74</v>
      </c>
      <c r="T302" t="s">
        <v>6212</v>
      </c>
      <c r="U302" t="s">
        <v>6213</v>
      </c>
      <c r="V302" t="s">
        <v>6214</v>
      </c>
      <c r="W302" t="s">
        <v>6215</v>
      </c>
      <c r="X302" t="s">
        <v>6216</v>
      </c>
      <c r="Y302" t="s">
        <v>6217</v>
      </c>
      <c r="Z302" t="s">
        <v>6218</v>
      </c>
      <c r="AA302" t="s">
        <v>6219</v>
      </c>
      <c r="AB302" t="s">
        <v>6220</v>
      </c>
      <c r="AC302" t="s">
        <v>6221</v>
      </c>
      <c r="AD302" t="s">
        <v>3239</v>
      </c>
      <c r="AE302" t="s">
        <v>74</v>
      </c>
      <c r="AF302" t="s">
        <v>74</v>
      </c>
      <c r="AG302">
        <v>47</v>
      </c>
      <c r="AH302">
        <v>99</v>
      </c>
      <c r="AI302">
        <v>100</v>
      </c>
      <c r="AJ302">
        <v>11</v>
      </c>
      <c r="AK302">
        <v>41</v>
      </c>
      <c r="AL302" t="s">
        <v>125</v>
      </c>
      <c r="AM302" t="s">
        <v>126</v>
      </c>
      <c r="AN302" t="s">
        <v>127</v>
      </c>
      <c r="AO302" t="s">
        <v>916</v>
      </c>
      <c r="AP302" t="s">
        <v>917</v>
      </c>
      <c r="AQ302" t="s">
        <v>74</v>
      </c>
      <c r="AR302" t="s">
        <v>918</v>
      </c>
      <c r="AS302" t="s">
        <v>919</v>
      </c>
      <c r="AT302" t="s">
        <v>6152</v>
      </c>
      <c r="AU302">
        <v>2019</v>
      </c>
      <c r="AV302">
        <v>46</v>
      </c>
      <c r="AW302">
        <v>6</v>
      </c>
      <c r="AX302" t="s">
        <v>74</v>
      </c>
      <c r="AY302" t="s">
        <v>74</v>
      </c>
      <c r="AZ302" t="s">
        <v>74</v>
      </c>
      <c r="BA302" t="s">
        <v>74</v>
      </c>
      <c r="BB302">
        <v>3502</v>
      </c>
      <c r="BC302">
        <v>3511</v>
      </c>
      <c r="BD302" t="s">
        <v>74</v>
      </c>
      <c r="BE302" t="s">
        <v>6222</v>
      </c>
      <c r="BF302" t="str">
        <f>HYPERLINK("http://dx.doi.org/10.1029/2018GL081517","http://dx.doi.org/10.1029/2018GL081517")</f>
        <v>http://dx.doi.org/10.1029/2018GL081517</v>
      </c>
      <c r="BG302" t="s">
        <v>74</v>
      </c>
      <c r="BH302" t="s">
        <v>74</v>
      </c>
      <c r="BI302">
        <v>10</v>
      </c>
      <c r="BJ302" t="s">
        <v>922</v>
      </c>
      <c r="BK302" t="s">
        <v>102</v>
      </c>
      <c r="BL302" t="s">
        <v>923</v>
      </c>
      <c r="BM302" t="s">
        <v>6173</v>
      </c>
      <c r="BN302" t="s">
        <v>74</v>
      </c>
      <c r="BO302" t="s">
        <v>2783</v>
      </c>
      <c r="BP302" t="s">
        <v>74</v>
      </c>
      <c r="BQ302" t="s">
        <v>74</v>
      </c>
      <c r="BR302" t="s">
        <v>107</v>
      </c>
      <c r="BS302" t="s">
        <v>6223</v>
      </c>
      <c r="BT302" t="str">
        <f>HYPERLINK("https%3A%2F%2Fwww.webofscience.com%2Fwos%2Fwoscc%2Ffull-record%2FWOS:000464650400053","View Full Record in Web of Science")</f>
        <v>View Full Record in Web of Science</v>
      </c>
    </row>
    <row r="303" spans="1:72" x14ac:dyDescent="0.15">
      <c r="A303" t="s">
        <v>72</v>
      </c>
      <c r="B303" t="s">
        <v>6224</v>
      </c>
      <c r="C303" t="s">
        <v>74</v>
      </c>
      <c r="D303" t="s">
        <v>74</v>
      </c>
      <c r="E303" t="s">
        <v>74</v>
      </c>
      <c r="F303" t="s">
        <v>6225</v>
      </c>
      <c r="G303" t="s">
        <v>74</v>
      </c>
      <c r="H303" t="s">
        <v>74</v>
      </c>
      <c r="I303" t="s">
        <v>6226</v>
      </c>
      <c r="J303" t="s">
        <v>1358</v>
      </c>
      <c r="K303" t="s">
        <v>74</v>
      </c>
      <c r="L303" t="s">
        <v>74</v>
      </c>
      <c r="M303" t="s">
        <v>78</v>
      </c>
      <c r="N303" t="s">
        <v>1301</v>
      </c>
      <c r="O303" t="s">
        <v>74</v>
      </c>
      <c r="P303" t="s">
        <v>74</v>
      </c>
      <c r="Q303" t="s">
        <v>74</v>
      </c>
      <c r="R303" t="s">
        <v>74</v>
      </c>
      <c r="S303" t="s">
        <v>74</v>
      </c>
      <c r="T303" t="s">
        <v>74</v>
      </c>
      <c r="U303" t="s">
        <v>74</v>
      </c>
      <c r="V303" t="s">
        <v>74</v>
      </c>
      <c r="W303" t="s">
        <v>74</v>
      </c>
      <c r="X303" t="s">
        <v>74</v>
      </c>
      <c r="Y303" t="s">
        <v>74</v>
      </c>
      <c r="Z303" t="s">
        <v>74</v>
      </c>
      <c r="AA303" t="s">
        <v>74</v>
      </c>
      <c r="AB303" t="s">
        <v>74</v>
      </c>
      <c r="AC303" t="s">
        <v>74</v>
      </c>
      <c r="AD303" t="s">
        <v>74</v>
      </c>
      <c r="AE303" t="s">
        <v>74</v>
      </c>
      <c r="AF303" t="s">
        <v>74</v>
      </c>
      <c r="AG303">
        <v>0</v>
      </c>
      <c r="AH303">
        <v>2</v>
      </c>
      <c r="AI303">
        <v>2</v>
      </c>
      <c r="AJ303">
        <v>0</v>
      </c>
      <c r="AK303">
        <v>10</v>
      </c>
      <c r="AL303" t="s">
        <v>328</v>
      </c>
      <c r="AM303" t="s">
        <v>329</v>
      </c>
      <c r="AN303" t="s">
        <v>330</v>
      </c>
      <c r="AO303" t="s">
        <v>1373</v>
      </c>
      <c r="AP303" t="s">
        <v>1374</v>
      </c>
      <c r="AQ303" t="s">
        <v>74</v>
      </c>
      <c r="AR303" t="s">
        <v>1358</v>
      </c>
      <c r="AS303" t="s">
        <v>1375</v>
      </c>
      <c r="AT303" t="s">
        <v>6152</v>
      </c>
      <c r="AU303">
        <v>2019</v>
      </c>
      <c r="AV303">
        <v>567</v>
      </c>
      <c r="AW303">
        <v>7749</v>
      </c>
      <c r="AX303" t="s">
        <v>74</v>
      </c>
      <c r="AY303" t="s">
        <v>74</v>
      </c>
      <c r="AZ303" t="s">
        <v>74</v>
      </c>
      <c r="BA303" t="s">
        <v>74</v>
      </c>
      <c r="BB303">
        <v>442</v>
      </c>
      <c r="BC303">
        <v>443</v>
      </c>
      <c r="BD303" t="s">
        <v>74</v>
      </c>
      <c r="BE303" t="s">
        <v>6227</v>
      </c>
      <c r="BF303" t="str">
        <f>HYPERLINK("http://dx.doi.org/10.1038/d41586-018-07588-3","http://dx.doi.org/10.1038/d41586-018-07588-3")</f>
        <v>http://dx.doi.org/10.1038/d41586-018-07588-3</v>
      </c>
      <c r="BG303" t="s">
        <v>74</v>
      </c>
      <c r="BH303" t="s">
        <v>74</v>
      </c>
      <c r="BI303">
        <v>2</v>
      </c>
      <c r="BJ303" t="s">
        <v>460</v>
      </c>
      <c r="BK303" t="s">
        <v>102</v>
      </c>
      <c r="BL303" t="s">
        <v>461</v>
      </c>
      <c r="BM303" t="s">
        <v>6228</v>
      </c>
      <c r="BN303">
        <v>30918395</v>
      </c>
      <c r="BO303" t="s">
        <v>279</v>
      </c>
      <c r="BP303" t="s">
        <v>74</v>
      </c>
      <c r="BQ303" t="s">
        <v>74</v>
      </c>
      <c r="BR303" t="s">
        <v>107</v>
      </c>
      <c r="BS303" t="s">
        <v>6229</v>
      </c>
      <c r="BT303" t="str">
        <f>HYPERLINK("https%3A%2F%2Fwww.webofscience.com%2Fwos%2Fwoscc%2Ffull-record%2FWOS:000462655800020","View Full Record in Web of Science")</f>
        <v>View Full Record in Web of Science</v>
      </c>
    </row>
    <row r="304" spans="1:72" x14ac:dyDescent="0.15">
      <c r="A304" t="s">
        <v>72</v>
      </c>
      <c r="B304" t="s">
        <v>6230</v>
      </c>
      <c r="C304" t="s">
        <v>74</v>
      </c>
      <c r="D304" t="s">
        <v>74</v>
      </c>
      <c r="E304" t="s">
        <v>74</v>
      </c>
      <c r="F304" t="s">
        <v>6231</v>
      </c>
      <c r="G304" t="s">
        <v>74</v>
      </c>
      <c r="H304" t="s">
        <v>74</v>
      </c>
      <c r="I304" t="s">
        <v>6232</v>
      </c>
      <c r="J304" t="s">
        <v>884</v>
      </c>
      <c r="K304" t="s">
        <v>74</v>
      </c>
      <c r="L304" t="s">
        <v>74</v>
      </c>
      <c r="M304" t="s">
        <v>78</v>
      </c>
      <c r="N304" t="s">
        <v>79</v>
      </c>
      <c r="O304" t="s">
        <v>74</v>
      </c>
      <c r="P304" t="s">
        <v>74</v>
      </c>
      <c r="Q304" t="s">
        <v>74</v>
      </c>
      <c r="R304" t="s">
        <v>74</v>
      </c>
      <c r="S304" t="s">
        <v>74</v>
      </c>
      <c r="T304" t="s">
        <v>6233</v>
      </c>
      <c r="U304" t="s">
        <v>6234</v>
      </c>
      <c r="V304" t="s">
        <v>6235</v>
      </c>
      <c r="W304" t="s">
        <v>6236</v>
      </c>
      <c r="X304" t="s">
        <v>6237</v>
      </c>
      <c r="Y304" t="s">
        <v>6238</v>
      </c>
      <c r="Z304" t="s">
        <v>6239</v>
      </c>
      <c r="AA304" t="s">
        <v>6240</v>
      </c>
      <c r="AB304" t="s">
        <v>6241</v>
      </c>
      <c r="AC304" t="s">
        <v>6242</v>
      </c>
      <c r="AD304" t="s">
        <v>6243</v>
      </c>
      <c r="AE304" t="s">
        <v>6244</v>
      </c>
      <c r="AF304" t="s">
        <v>74</v>
      </c>
      <c r="AG304">
        <v>56</v>
      </c>
      <c r="AH304">
        <v>16</v>
      </c>
      <c r="AI304">
        <v>17</v>
      </c>
      <c r="AJ304">
        <v>3</v>
      </c>
      <c r="AK304">
        <v>17</v>
      </c>
      <c r="AL304" t="s">
        <v>821</v>
      </c>
      <c r="AM304" t="s">
        <v>822</v>
      </c>
      <c r="AN304" t="s">
        <v>823</v>
      </c>
      <c r="AO304" t="s">
        <v>897</v>
      </c>
      <c r="AP304" t="s">
        <v>74</v>
      </c>
      <c r="AQ304" t="s">
        <v>74</v>
      </c>
      <c r="AR304" t="s">
        <v>898</v>
      </c>
      <c r="AS304" t="s">
        <v>899</v>
      </c>
      <c r="AT304" t="s">
        <v>6152</v>
      </c>
      <c r="AU304">
        <v>2019</v>
      </c>
      <c r="AV304">
        <v>10</v>
      </c>
      <c r="AW304" t="s">
        <v>74</v>
      </c>
      <c r="AX304" t="s">
        <v>74</v>
      </c>
      <c r="AY304" t="s">
        <v>74</v>
      </c>
      <c r="AZ304" t="s">
        <v>74</v>
      </c>
      <c r="BA304" t="s">
        <v>74</v>
      </c>
      <c r="BB304" t="s">
        <v>74</v>
      </c>
      <c r="BC304" t="s">
        <v>74</v>
      </c>
      <c r="BD304">
        <v>628</v>
      </c>
      <c r="BE304" t="s">
        <v>6245</v>
      </c>
      <c r="BF304" t="str">
        <f>HYPERLINK("http://dx.doi.org/10.3389/fmicb.2019.00628","http://dx.doi.org/10.3389/fmicb.2019.00628")</f>
        <v>http://dx.doi.org/10.3389/fmicb.2019.00628</v>
      </c>
      <c r="BG304" t="s">
        <v>74</v>
      </c>
      <c r="BH304" t="s">
        <v>74</v>
      </c>
      <c r="BI304">
        <v>11</v>
      </c>
      <c r="BJ304" t="s">
        <v>901</v>
      </c>
      <c r="BK304" t="s">
        <v>102</v>
      </c>
      <c r="BL304" t="s">
        <v>901</v>
      </c>
      <c r="BM304" t="s">
        <v>6246</v>
      </c>
      <c r="BN304">
        <v>30984148</v>
      </c>
      <c r="BO304" t="s">
        <v>463</v>
      </c>
      <c r="BP304" t="s">
        <v>74</v>
      </c>
      <c r="BQ304" t="s">
        <v>74</v>
      </c>
      <c r="BR304" t="s">
        <v>107</v>
      </c>
      <c r="BS304" t="s">
        <v>6247</v>
      </c>
      <c r="BT304" t="str">
        <f>HYPERLINK("https%3A%2F%2Fwww.webofscience.com%2Fwos%2Fwoscc%2Ffull-record%2FWOS:000462688500001","View Full Record in Web of Science")</f>
        <v>View Full Record in Web of Science</v>
      </c>
    </row>
    <row r="305" spans="1:72" x14ac:dyDescent="0.15">
      <c r="A305" t="s">
        <v>72</v>
      </c>
      <c r="B305" t="s">
        <v>6248</v>
      </c>
      <c r="C305" t="s">
        <v>74</v>
      </c>
      <c r="D305" t="s">
        <v>74</v>
      </c>
      <c r="E305" t="s">
        <v>74</v>
      </c>
      <c r="F305" t="s">
        <v>6249</v>
      </c>
      <c r="G305" t="s">
        <v>74</v>
      </c>
      <c r="H305" t="s">
        <v>74</v>
      </c>
      <c r="I305" t="s">
        <v>6250</v>
      </c>
      <c r="J305" t="s">
        <v>6251</v>
      </c>
      <c r="K305" t="s">
        <v>74</v>
      </c>
      <c r="L305" t="s">
        <v>74</v>
      </c>
      <c r="M305" t="s">
        <v>78</v>
      </c>
      <c r="N305" t="s">
        <v>168</v>
      </c>
      <c r="O305" t="s">
        <v>74</v>
      </c>
      <c r="P305" t="s">
        <v>74</v>
      </c>
      <c r="Q305" t="s">
        <v>74</v>
      </c>
      <c r="R305" t="s">
        <v>74</v>
      </c>
      <c r="S305" t="s">
        <v>74</v>
      </c>
      <c r="T305" t="s">
        <v>6252</v>
      </c>
      <c r="U305" t="s">
        <v>74</v>
      </c>
      <c r="V305" t="s">
        <v>74</v>
      </c>
      <c r="W305" t="s">
        <v>6253</v>
      </c>
      <c r="X305" t="s">
        <v>6254</v>
      </c>
      <c r="Y305" t="s">
        <v>6255</v>
      </c>
      <c r="Z305" t="s">
        <v>6256</v>
      </c>
      <c r="AA305" t="s">
        <v>6257</v>
      </c>
      <c r="AB305" t="s">
        <v>6258</v>
      </c>
      <c r="AC305" t="s">
        <v>6259</v>
      </c>
      <c r="AD305" t="s">
        <v>6259</v>
      </c>
      <c r="AE305" t="s">
        <v>6260</v>
      </c>
      <c r="AF305" t="s">
        <v>74</v>
      </c>
      <c r="AG305">
        <v>19</v>
      </c>
      <c r="AH305">
        <v>2</v>
      </c>
      <c r="AI305">
        <v>2</v>
      </c>
      <c r="AJ305">
        <v>4</v>
      </c>
      <c r="AK305">
        <v>32</v>
      </c>
      <c r="AL305" t="s">
        <v>821</v>
      </c>
      <c r="AM305" t="s">
        <v>822</v>
      </c>
      <c r="AN305" t="s">
        <v>823</v>
      </c>
      <c r="AO305" t="s">
        <v>6261</v>
      </c>
      <c r="AP305" t="s">
        <v>74</v>
      </c>
      <c r="AQ305" t="s">
        <v>74</v>
      </c>
      <c r="AR305" t="s">
        <v>6262</v>
      </c>
      <c r="AS305" t="s">
        <v>6263</v>
      </c>
      <c r="AT305" t="s">
        <v>6152</v>
      </c>
      <c r="AU305">
        <v>2019</v>
      </c>
      <c r="AV305">
        <v>10</v>
      </c>
      <c r="AW305" t="s">
        <v>74</v>
      </c>
      <c r="AX305" t="s">
        <v>74</v>
      </c>
      <c r="AY305" t="s">
        <v>74</v>
      </c>
      <c r="AZ305" t="s">
        <v>74</v>
      </c>
      <c r="BA305" t="s">
        <v>74</v>
      </c>
      <c r="BB305" t="s">
        <v>74</v>
      </c>
      <c r="BC305" t="s">
        <v>74</v>
      </c>
      <c r="BD305">
        <v>347</v>
      </c>
      <c r="BE305" t="s">
        <v>6264</v>
      </c>
      <c r="BF305" t="str">
        <f>HYPERLINK("http://dx.doi.org/10.3389/fpls.2019.00347","http://dx.doi.org/10.3389/fpls.2019.00347")</f>
        <v>http://dx.doi.org/10.3389/fpls.2019.00347</v>
      </c>
      <c r="BG305" t="s">
        <v>74</v>
      </c>
      <c r="BH305" t="s">
        <v>74</v>
      </c>
      <c r="BI305">
        <v>3</v>
      </c>
      <c r="BJ305" t="s">
        <v>362</v>
      </c>
      <c r="BK305" t="s">
        <v>102</v>
      </c>
      <c r="BL305" t="s">
        <v>362</v>
      </c>
      <c r="BM305" t="s">
        <v>6265</v>
      </c>
      <c r="BN305">
        <v>30984216</v>
      </c>
      <c r="BO305" t="s">
        <v>463</v>
      </c>
      <c r="BP305" t="s">
        <v>74</v>
      </c>
      <c r="BQ305" t="s">
        <v>74</v>
      </c>
      <c r="BR305" t="s">
        <v>107</v>
      </c>
      <c r="BS305" t="s">
        <v>6266</v>
      </c>
      <c r="BT305" t="str">
        <f>HYPERLINK("https%3A%2F%2Fwww.webofscience.com%2Fwos%2Fwoscc%2Ffull-record%2FWOS:000462697600001","View Full Record in Web of Science")</f>
        <v>View Full Record in Web of Science</v>
      </c>
    </row>
    <row r="306" spans="1:72" x14ac:dyDescent="0.15">
      <c r="A306" t="s">
        <v>72</v>
      </c>
      <c r="B306" t="s">
        <v>6267</v>
      </c>
      <c r="C306" t="s">
        <v>74</v>
      </c>
      <c r="D306" t="s">
        <v>74</v>
      </c>
      <c r="E306" t="s">
        <v>74</v>
      </c>
      <c r="F306" t="s">
        <v>6268</v>
      </c>
      <c r="G306" t="s">
        <v>74</v>
      </c>
      <c r="H306" t="s">
        <v>74</v>
      </c>
      <c r="I306" t="s">
        <v>6269</v>
      </c>
      <c r="J306" t="s">
        <v>2472</v>
      </c>
      <c r="K306" t="s">
        <v>74</v>
      </c>
      <c r="L306" t="s">
        <v>74</v>
      </c>
      <c r="M306" t="s">
        <v>78</v>
      </c>
      <c r="N306" t="s">
        <v>79</v>
      </c>
      <c r="O306" t="s">
        <v>74</v>
      </c>
      <c r="P306" t="s">
        <v>74</v>
      </c>
      <c r="Q306" t="s">
        <v>74</v>
      </c>
      <c r="R306" t="s">
        <v>74</v>
      </c>
      <c r="S306" t="s">
        <v>74</v>
      </c>
      <c r="T306" t="s">
        <v>6270</v>
      </c>
      <c r="U306" t="s">
        <v>6271</v>
      </c>
      <c r="V306" t="s">
        <v>6272</v>
      </c>
      <c r="W306" t="s">
        <v>6273</v>
      </c>
      <c r="X306" t="s">
        <v>6274</v>
      </c>
      <c r="Y306" t="s">
        <v>6275</v>
      </c>
      <c r="Z306" t="s">
        <v>6276</v>
      </c>
      <c r="AA306" t="s">
        <v>6277</v>
      </c>
      <c r="AB306" t="s">
        <v>74</v>
      </c>
      <c r="AC306" t="s">
        <v>6278</v>
      </c>
      <c r="AD306" t="s">
        <v>6279</v>
      </c>
      <c r="AE306" t="s">
        <v>6280</v>
      </c>
      <c r="AF306" t="s">
        <v>74</v>
      </c>
      <c r="AG306">
        <v>76</v>
      </c>
      <c r="AH306">
        <v>7</v>
      </c>
      <c r="AI306">
        <v>9</v>
      </c>
      <c r="AJ306">
        <v>0</v>
      </c>
      <c r="AK306">
        <v>4</v>
      </c>
      <c r="AL306" t="s">
        <v>821</v>
      </c>
      <c r="AM306" t="s">
        <v>822</v>
      </c>
      <c r="AN306" t="s">
        <v>823</v>
      </c>
      <c r="AO306" t="s">
        <v>74</v>
      </c>
      <c r="AP306" t="s">
        <v>2485</v>
      </c>
      <c r="AQ306" t="s">
        <v>74</v>
      </c>
      <c r="AR306" t="s">
        <v>2486</v>
      </c>
      <c r="AS306" t="s">
        <v>2487</v>
      </c>
      <c r="AT306" t="s">
        <v>6281</v>
      </c>
      <c r="AU306">
        <v>2019</v>
      </c>
      <c r="AV306">
        <v>7</v>
      </c>
      <c r="AW306" t="s">
        <v>74</v>
      </c>
      <c r="AX306" t="s">
        <v>74</v>
      </c>
      <c r="AY306" t="s">
        <v>74</v>
      </c>
      <c r="AZ306" t="s">
        <v>74</v>
      </c>
      <c r="BA306" t="s">
        <v>74</v>
      </c>
      <c r="BB306" t="s">
        <v>74</v>
      </c>
      <c r="BC306" t="s">
        <v>74</v>
      </c>
      <c r="BD306">
        <v>47</v>
      </c>
      <c r="BE306" t="s">
        <v>6282</v>
      </c>
      <c r="BF306" t="str">
        <f>HYPERLINK("http://dx.doi.org/10.3389/feart.2019.00047","http://dx.doi.org/10.3389/feart.2019.00047")</f>
        <v>http://dx.doi.org/10.3389/feart.2019.00047</v>
      </c>
      <c r="BG306" t="s">
        <v>74</v>
      </c>
      <c r="BH306" t="s">
        <v>74</v>
      </c>
      <c r="BI306">
        <v>15</v>
      </c>
      <c r="BJ306" t="s">
        <v>922</v>
      </c>
      <c r="BK306" t="s">
        <v>102</v>
      </c>
      <c r="BL306" t="s">
        <v>923</v>
      </c>
      <c r="BM306" t="s">
        <v>6283</v>
      </c>
      <c r="BN306" t="s">
        <v>74</v>
      </c>
      <c r="BO306" t="s">
        <v>1415</v>
      </c>
      <c r="BP306" t="s">
        <v>74</v>
      </c>
      <c r="BQ306" t="s">
        <v>74</v>
      </c>
      <c r="BR306" t="s">
        <v>107</v>
      </c>
      <c r="BS306" t="s">
        <v>6284</v>
      </c>
      <c r="BT306" t="str">
        <f>HYPERLINK("https%3A%2F%2Fwww.webofscience.com%2Fwos%2Fwoscc%2Ffull-record%2FWOS:000467233700001","View Full Record in Web of Science")</f>
        <v>View Full Record in Web of Science</v>
      </c>
    </row>
    <row r="307" spans="1:72" x14ac:dyDescent="0.15">
      <c r="A307" t="s">
        <v>72</v>
      </c>
      <c r="B307" t="s">
        <v>6285</v>
      </c>
      <c r="C307" t="s">
        <v>74</v>
      </c>
      <c r="D307" t="s">
        <v>74</v>
      </c>
      <c r="E307" t="s">
        <v>74</v>
      </c>
      <c r="F307" t="s">
        <v>6286</v>
      </c>
      <c r="G307" t="s">
        <v>74</v>
      </c>
      <c r="H307" t="s">
        <v>74</v>
      </c>
      <c r="I307" t="s">
        <v>6287</v>
      </c>
      <c r="J307" t="s">
        <v>1019</v>
      </c>
      <c r="K307" t="s">
        <v>74</v>
      </c>
      <c r="L307" t="s">
        <v>74</v>
      </c>
      <c r="M307" t="s">
        <v>78</v>
      </c>
      <c r="N307" t="s">
        <v>79</v>
      </c>
      <c r="O307" t="s">
        <v>74</v>
      </c>
      <c r="P307" t="s">
        <v>74</v>
      </c>
      <c r="Q307" t="s">
        <v>74</v>
      </c>
      <c r="R307" t="s">
        <v>74</v>
      </c>
      <c r="S307" t="s">
        <v>74</v>
      </c>
      <c r="T307" t="s">
        <v>6288</v>
      </c>
      <c r="U307" t="s">
        <v>6289</v>
      </c>
      <c r="V307" t="s">
        <v>6290</v>
      </c>
      <c r="W307" t="s">
        <v>6291</v>
      </c>
      <c r="X307" t="s">
        <v>6292</v>
      </c>
      <c r="Y307" t="s">
        <v>6293</v>
      </c>
      <c r="Z307" t="s">
        <v>6294</v>
      </c>
      <c r="AA307" t="s">
        <v>6295</v>
      </c>
      <c r="AB307" t="s">
        <v>6296</v>
      </c>
      <c r="AC307" t="s">
        <v>6297</v>
      </c>
      <c r="AD307" t="s">
        <v>6298</v>
      </c>
      <c r="AE307" t="s">
        <v>6299</v>
      </c>
      <c r="AF307" t="s">
        <v>74</v>
      </c>
      <c r="AG307">
        <v>77</v>
      </c>
      <c r="AH307">
        <v>12</v>
      </c>
      <c r="AI307">
        <v>13</v>
      </c>
      <c r="AJ307">
        <v>5</v>
      </c>
      <c r="AK307">
        <v>35</v>
      </c>
      <c r="AL307" t="s">
        <v>125</v>
      </c>
      <c r="AM307" t="s">
        <v>126</v>
      </c>
      <c r="AN307" t="s">
        <v>127</v>
      </c>
      <c r="AO307" t="s">
        <v>1031</v>
      </c>
      <c r="AP307" t="s">
        <v>1032</v>
      </c>
      <c r="AQ307" t="s">
        <v>74</v>
      </c>
      <c r="AR307" t="s">
        <v>1033</v>
      </c>
      <c r="AS307" t="s">
        <v>1034</v>
      </c>
      <c r="AT307" t="s">
        <v>6281</v>
      </c>
      <c r="AU307">
        <v>2019</v>
      </c>
      <c r="AV307">
        <v>124</v>
      </c>
      <c r="AW307">
        <v>6</v>
      </c>
      <c r="AX307" t="s">
        <v>74</v>
      </c>
      <c r="AY307" t="s">
        <v>74</v>
      </c>
      <c r="AZ307" t="s">
        <v>74</v>
      </c>
      <c r="BA307" t="s">
        <v>74</v>
      </c>
      <c r="BB307">
        <v>3435</v>
      </c>
      <c r="BC307">
        <v>3447</v>
      </c>
      <c r="BD307" t="s">
        <v>74</v>
      </c>
      <c r="BE307" t="s">
        <v>6300</v>
      </c>
      <c r="BF307" t="str">
        <f>HYPERLINK("http://dx.doi.org/10.1029/2018JD029435","http://dx.doi.org/10.1029/2018JD029435")</f>
        <v>http://dx.doi.org/10.1029/2018JD029435</v>
      </c>
      <c r="BG307" t="s">
        <v>74</v>
      </c>
      <c r="BH307" t="s">
        <v>74</v>
      </c>
      <c r="BI307">
        <v>13</v>
      </c>
      <c r="BJ307" t="s">
        <v>133</v>
      </c>
      <c r="BK307" t="s">
        <v>102</v>
      </c>
      <c r="BL307" t="s">
        <v>133</v>
      </c>
      <c r="BM307" t="s">
        <v>6301</v>
      </c>
      <c r="BN307" t="s">
        <v>74</v>
      </c>
      <c r="BO307" t="s">
        <v>74</v>
      </c>
      <c r="BP307" t="s">
        <v>74</v>
      </c>
      <c r="BQ307" t="s">
        <v>74</v>
      </c>
      <c r="BR307" t="s">
        <v>107</v>
      </c>
      <c r="BS307" t="s">
        <v>6302</v>
      </c>
      <c r="BT307" t="str">
        <f>HYPERLINK("https%3A%2F%2Fwww.webofscience.com%2Fwos%2Fwoscc%2Ffull-record%2FWOS:000464653500035","View Full Record in Web of Science")</f>
        <v>View Full Record in Web of Science</v>
      </c>
    </row>
    <row r="308" spans="1:72" x14ac:dyDescent="0.15">
      <c r="A308" t="s">
        <v>72</v>
      </c>
      <c r="B308" t="s">
        <v>6303</v>
      </c>
      <c r="C308" t="s">
        <v>74</v>
      </c>
      <c r="D308" t="s">
        <v>74</v>
      </c>
      <c r="E308" t="s">
        <v>74</v>
      </c>
      <c r="F308" t="s">
        <v>6304</v>
      </c>
      <c r="G308" t="s">
        <v>74</v>
      </c>
      <c r="H308" t="s">
        <v>74</v>
      </c>
      <c r="I308" t="s">
        <v>6305</v>
      </c>
      <c r="J308" t="s">
        <v>1019</v>
      </c>
      <c r="K308" t="s">
        <v>74</v>
      </c>
      <c r="L308" t="s">
        <v>74</v>
      </c>
      <c r="M308" t="s">
        <v>78</v>
      </c>
      <c r="N308" t="s">
        <v>79</v>
      </c>
      <c r="O308" t="s">
        <v>74</v>
      </c>
      <c r="P308" t="s">
        <v>74</v>
      </c>
      <c r="Q308" t="s">
        <v>74</v>
      </c>
      <c r="R308" t="s">
        <v>74</v>
      </c>
      <c r="S308" t="s">
        <v>74</v>
      </c>
      <c r="T308" t="s">
        <v>6306</v>
      </c>
      <c r="U308" t="s">
        <v>6307</v>
      </c>
      <c r="V308" t="s">
        <v>6308</v>
      </c>
      <c r="W308" t="s">
        <v>6309</v>
      </c>
      <c r="X308" t="s">
        <v>6310</v>
      </c>
      <c r="Y308" t="s">
        <v>6311</v>
      </c>
      <c r="Z308" t="s">
        <v>6312</v>
      </c>
      <c r="AA308" t="s">
        <v>6313</v>
      </c>
      <c r="AB308" t="s">
        <v>6314</v>
      </c>
      <c r="AC308" t="s">
        <v>6315</v>
      </c>
      <c r="AD308" t="s">
        <v>6316</v>
      </c>
      <c r="AE308" t="s">
        <v>6317</v>
      </c>
      <c r="AF308" t="s">
        <v>74</v>
      </c>
      <c r="AG308">
        <v>44</v>
      </c>
      <c r="AH308">
        <v>30</v>
      </c>
      <c r="AI308">
        <v>33</v>
      </c>
      <c r="AJ308">
        <v>1</v>
      </c>
      <c r="AK308">
        <v>21</v>
      </c>
      <c r="AL308" t="s">
        <v>125</v>
      </c>
      <c r="AM308" t="s">
        <v>126</v>
      </c>
      <c r="AN308" t="s">
        <v>127</v>
      </c>
      <c r="AO308" t="s">
        <v>1031</v>
      </c>
      <c r="AP308" t="s">
        <v>1032</v>
      </c>
      <c r="AQ308" t="s">
        <v>74</v>
      </c>
      <c r="AR308" t="s">
        <v>1033</v>
      </c>
      <c r="AS308" t="s">
        <v>1034</v>
      </c>
      <c r="AT308" t="s">
        <v>6281</v>
      </c>
      <c r="AU308">
        <v>2019</v>
      </c>
      <c r="AV308">
        <v>124</v>
      </c>
      <c r="AW308">
        <v>6</v>
      </c>
      <c r="AX308" t="s">
        <v>74</v>
      </c>
      <c r="AY308" t="s">
        <v>74</v>
      </c>
      <c r="AZ308" t="s">
        <v>74</v>
      </c>
      <c r="BA308" t="s">
        <v>74</v>
      </c>
      <c r="BB308">
        <v>2932</v>
      </c>
      <c r="BC308">
        <v>2945</v>
      </c>
      <c r="BD308" t="s">
        <v>74</v>
      </c>
      <c r="BE308" t="s">
        <v>6318</v>
      </c>
      <c r="BF308" t="str">
        <f>HYPERLINK("http://dx.doi.org/10.1029/2018JD029619","http://dx.doi.org/10.1029/2018JD029619")</f>
        <v>http://dx.doi.org/10.1029/2018JD029619</v>
      </c>
      <c r="BG308" t="s">
        <v>74</v>
      </c>
      <c r="BH308" t="s">
        <v>74</v>
      </c>
      <c r="BI308">
        <v>14</v>
      </c>
      <c r="BJ308" t="s">
        <v>133</v>
      </c>
      <c r="BK308" t="s">
        <v>102</v>
      </c>
      <c r="BL308" t="s">
        <v>133</v>
      </c>
      <c r="BM308" t="s">
        <v>6301</v>
      </c>
      <c r="BN308">
        <v>31218150</v>
      </c>
      <c r="BO308" t="s">
        <v>186</v>
      </c>
      <c r="BP308" t="s">
        <v>74</v>
      </c>
      <c r="BQ308" t="s">
        <v>74</v>
      </c>
      <c r="BR308" t="s">
        <v>107</v>
      </c>
      <c r="BS308" t="s">
        <v>6319</v>
      </c>
      <c r="BT308" t="str">
        <f>HYPERLINK("https%3A%2F%2Fwww.webofscience.com%2Fwos%2Fwoscc%2Ffull-record%2FWOS:000464653500005","View Full Record in Web of Science")</f>
        <v>View Full Record in Web of Science</v>
      </c>
    </row>
    <row r="309" spans="1:72" x14ac:dyDescent="0.15">
      <c r="A309" t="s">
        <v>72</v>
      </c>
      <c r="B309" t="s">
        <v>6320</v>
      </c>
      <c r="C309" t="s">
        <v>74</v>
      </c>
      <c r="D309" t="s">
        <v>74</v>
      </c>
      <c r="E309" t="s">
        <v>74</v>
      </c>
      <c r="F309" t="s">
        <v>6321</v>
      </c>
      <c r="G309" t="s">
        <v>74</v>
      </c>
      <c r="H309" t="s">
        <v>74</v>
      </c>
      <c r="I309" t="s">
        <v>6322</v>
      </c>
      <c r="J309" t="s">
        <v>1019</v>
      </c>
      <c r="K309" t="s">
        <v>74</v>
      </c>
      <c r="L309" t="s">
        <v>74</v>
      </c>
      <c r="M309" t="s">
        <v>78</v>
      </c>
      <c r="N309" t="s">
        <v>79</v>
      </c>
      <c r="O309" t="s">
        <v>74</v>
      </c>
      <c r="P309" t="s">
        <v>74</v>
      </c>
      <c r="Q309" t="s">
        <v>74</v>
      </c>
      <c r="R309" t="s">
        <v>74</v>
      </c>
      <c r="S309" t="s">
        <v>74</v>
      </c>
      <c r="T309" t="s">
        <v>6323</v>
      </c>
      <c r="U309" t="s">
        <v>6324</v>
      </c>
      <c r="V309" t="s">
        <v>6325</v>
      </c>
      <c r="W309" t="s">
        <v>6326</v>
      </c>
      <c r="X309" t="s">
        <v>6327</v>
      </c>
      <c r="Y309" t="s">
        <v>6328</v>
      </c>
      <c r="Z309" t="s">
        <v>6329</v>
      </c>
      <c r="AA309" t="s">
        <v>6330</v>
      </c>
      <c r="AB309" t="s">
        <v>6331</v>
      </c>
      <c r="AC309" t="s">
        <v>6332</v>
      </c>
      <c r="AD309" t="s">
        <v>6333</v>
      </c>
      <c r="AE309" t="s">
        <v>6334</v>
      </c>
      <c r="AF309" t="s">
        <v>74</v>
      </c>
      <c r="AG309">
        <v>66</v>
      </c>
      <c r="AH309">
        <v>31</v>
      </c>
      <c r="AI309">
        <v>32</v>
      </c>
      <c r="AJ309">
        <v>1</v>
      </c>
      <c r="AK309">
        <v>6</v>
      </c>
      <c r="AL309" t="s">
        <v>125</v>
      </c>
      <c r="AM309" t="s">
        <v>126</v>
      </c>
      <c r="AN309" t="s">
        <v>127</v>
      </c>
      <c r="AO309" t="s">
        <v>1031</v>
      </c>
      <c r="AP309" t="s">
        <v>1032</v>
      </c>
      <c r="AQ309" t="s">
        <v>74</v>
      </c>
      <c r="AR309" t="s">
        <v>1033</v>
      </c>
      <c r="AS309" t="s">
        <v>1034</v>
      </c>
      <c r="AT309" t="s">
        <v>6281</v>
      </c>
      <c r="AU309">
        <v>2019</v>
      </c>
      <c r="AV309">
        <v>124</v>
      </c>
      <c r="AW309">
        <v>6</v>
      </c>
      <c r="AX309" t="s">
        <v>74</v>
      </c>
      <c r="AY309" t="s">
        <v>74</v>
      </c>
      <c r="AZ309" t="s">
        <v>74</v>
      </c>
      <c r="BA309" t="s">
        <v>74</v>
      </c>
      <c r="BB309">
        <v>2976</v>
      </c>
      <c r="BC309">
        <v>2993</v>
      </c>
      <c r="BD309" t="s">
        <v>74</v>
      </c>
      <c r="BE309" t="s">
        <v>6335</v>
      </c>
      <c r="BF309" t="str">
        <f>HYPERLINK("http://dx.doi.org/10.1029/2018JD029521","http://dx.doi.org/10.1029/2018JD029521")</f>
        <v>http://dx.doi.org/10.1029/2018JD029521</v>
      </c>
      <c r="BG309" t="s">
        <v>74</v>
      </c>
      <c r="BH309" t="s">
        <v>74</v>
      </c>
      <c r="BI309">
        <v>18</v>
      </c>
      <c r="BJ309" t="s">
        <v>133</v>
      </c>
      <c r="BK309" t="s">
        <v>102</v>
      </c>
      <c r="BL309" t="s">
        <v>133</v>
      </c>
      <c r="BM309" t="s">
        <v>6301</v>
      </c>
      <c r="BN309" t="s">
        <v>74</v>
      </c>
      <c r="BO309" t="s">
        <v>198</v>
      </c>
      <c r="BP309" t="s">
        <v>74</v>
      </c>
      <c r="BQ309" t="s">
        <v>74</v>
      </c>
      <c r="BR309" t="s">
        <v>107</v>
      </c>
      <c r="BS309" t="s">
        <v>6336</v>
      </c>
      <c r="BT309" t="str">
        <f>HYPERLINK("https%3A%2F%2Fwww.webofscience.com%2Fwos%2Fwoscc%2Ffull-record%2FWOS:000464653500008","View Full Record in Web of Science")</f>
        <v>View Full Record in Web of Science</v>
      </c>
    </row>
    <row r="310" spans="1:72" x14ac:dyDescent="0.15">
      <c r="A310" t="s">
        <v>72</v>
      </c>
      <c r="B310" t="s">
        <v>6337</v>
      </c>
      <c r="C310" t="s">
        <v>74</v>
      </c>
      <c r="D310" t="s">
        <v>74</v>
      </c>
      <c r="E310" t="s">
        <v>74</v>
      </c>
      <c r="F310" t="s">
        <v>6338</v>
      </c>
      <c r="G310" t="s">
        <v>74</v>
      </c>
      <c r="H310" t="s">
        <v>74</v>
      </c>
      <c r="I310" t="s">
        <v>6339</v>
      </c>
      <c r="J310" t="s">
        <v>808</v>
      </c>
      <c r="K310" t="s">
        <v>74</v>
      </c>
      <c r="L310" t="s">
        <v>74</v>
      </c>
      <c r="M310" t="s">
        <v>78</v>
      </c>
      <c r="N310" t="s">
        <v>79</v>
      </c>
      <c r="O310" t="s">
        <v>74</v>
      </c>
      <c r="P310" t="s">
        <v>74</v>
      </c>
      <c r="Q310" t="s">
        <v>74</v>
      </c>
      <c r="R310" t="s">
        <v>74</v>
      </c>
      <c r="S310" t="s">
        <v>74</v>
      </c>
      <c r="T310" t="s">
        <v>6340</v>
      </c>
      <c r="U310" t="s">
        <v>6341</v>
      </c>
      <c r="V310" t="s">
        <v>6342</v>
      </c>
      <c r="W310" t="s">
        <v>6343</v>
      </c>
      <c r="X310" t="s">
        <v>6344</v>
      </c>
      <c r="Y310" t="s">
        <v>6345</v>
      </c>
      <c r="Z310" t="s">
        <v>6346</v>
      </c>
      <c r="AA310" t="s">
        <v>6347</v>
      </c>
      <c r="AB310" t="s">
        <v>6348</v>
      </c>
      <c r="AC310" t="s">
        <v>6349</v>
      </c>
      <c r="AD310" t="s">
        <v>6350</v>
      </c>
      <c r="AE310" t="s">
        <v>6351</v>
      </c>
      <c r="AF310" t="s">
        <v>74</v>
      </c>
      <c r="AG310">
        <v>119</v>
      </c>
      <c r="AH310">
        <v>20</v>
      </c>
      <c r="AI310">
        <v>26</v>
      </c>
      <c r="AJ310">
        <v>1</v>
      </c>
      <c r="AK310">
        <v>23</v>
      </c>
      <c r="AL310" t="s">
        <v>821</v>
      </c>
      <c r="AM310" t="s">
        <v>822</v>
      </c>
      <c r="AN310" t="s">
        <v>823</v>
      </c>
      <c r="AO310" t="s">
        <v>74</v>
      </c>
      <c r="AP310" t="s">
        <v>824</v>
      </c>
      <c r="AQ310" t="s">
        <v>74</v>
      </c>
      <c r="AR310" t="s">
        <v>825</v>
      </c>
      <c r="AS310" t="s">
        <v>826</v>
      </c>
      <c r="AT310" t="s">
        <v>6352</v>
      </c>
      <c r="AU310">
        <v>2019</v>
      </c>
      <c r="AV310">
        <v>6</v>
      </c>
      <c r="AW310" t="s">
        <v>74</v>
      </c>
      <c r="AX310" t="s">
        <v>74</v>
      </c>
      <c r="AY310" t="s">
        <v>74</v>
      </c>
      <c r="AZ310" t="s">
        <v>74</v>
      </c>
      <c r="BA310" t="s">
        <v>74</v>
      </c>
      <c r="BB310" t="s">
        <v>74</v>
      </c>
      <c r="BC310" t="s">
        <v>74</v>
      </c>
      <c r="BD310">
        <v>144</v>
      </c>
      <c r="BE310" t="s">
        <v>6353</v>
      </c>
      <c r="BF310" t="str">
        <f>HYPERLINK("http://dx.doi.org/10.3389/fmars.2019.00144","http://dx.doi.org/10.3389/fmars.2019.00144")</f>
        <v>http://dx.doi.org/10.3389/fmars.2019.00144</v>
      </c>
      <c r="BG310" t="s">
        <v>74</v>
      </c>
      <c r="BH310" t="s">
        <v>74</v>
      </c>
      <c r="BI310">
        <v>23</v>
      </c>
      <c r="BJ310" t="s">
        <v>829</v>
      </c>
      <c r="BK310" t="s">
        <v>102</v>
      </c>
      <c r="BL310" t="s">
        <v>830</v>
      </c>
      <c r="BM310" t="s">
        <v>6354</v>
      </c>
      <c r="BN310" t="s">
        <v>74</v>
      </c>
      <c r="BO310" t="s">
        <v>1415</v>
      </c>
      <c r="BP310" t="s">
        <v>74</v>
      </c>
      <c r="BQ310" t="s">
        <v>74</v>
      </c>
      <c r="BR310" t="s">
        <v>107</v>
      </c>
      <c r="BS310" t="s">
        <v>6355</v>
      </c>
      <c r="BT310" t="str">
        <f>HYPERLINK("https%3A%2F%2Fwww.webofscience.com%2Fwos%2Fwoscc%2Ffull-record%2FWOS:000462732900003","View Full Record in Web of Science")</f>
        <v>View Full Record in Web of Science</v>
      </c>
    </row>
    <row r="311" spans="1:72" x14ac:dyDescent="0.15">
      <c r="A311" t="s">
        <v>72</v>
      </c>
      <c r="B311" t="s">
        <v>6356</v>
      </c>
      <c r="C311" t="s">
        <v>74</v>
      </c>
      <c r="D311" t="s">
        <v>74</v>
      </c>
      <c r="E311" t="s">
        <v>74</v>
      </c>
      <c r="F311" t="s">
        <v>6357</v>
      </c>
      <c r="G311" t="s">
        <v>74</v>
      </c>
      <c r="H311" t="s">
        <v>74</v>
      </c>
      <c r="I311" t="s">
        <v>6358</v>
      </c>
      <c r="J311" t="s">
        <v>1720</v>
      </c>
      <c r="K311" t="s">
        <v>74</v>
      </c>
      <c r="L311" t="s">
        <v>74</v>
      </c>
      <c r="M311" t="s">
        <v>78</v>
      </c>
      <c r="N311" t="s">
        <v>79</v>
      </c>
      <c r="O311" t="s">
        <v>74</v>
      </c>
      <c r="P311" t="s">
        <v>74</v>
      </c>
      <c r="Q311" t="s">
        <v>74</v>
      </c>
      <c r="R311" t="s">
        <v>74</v>
      </c>
      <c r="S311" t="s">
        <v>74</v>
      </c>
      <c r="T311" t="s">
        <v>74</v>
      </c>
      <c r="U311" t="s">
        <v>6359</v>
      </c>
      <c r="V311" t="s">
        <v>6360</v>
      </c>
      <c r="W311" t="s">
        <v>6361</v>
      </c>
      <c r="X311" t="s">
        <v>6362</v>
      </c>
      <c r="Y311" t="s">
        <v>6363</v>
      </c>
      <c r="Z311" t="s">
        <v>6364</v>
      </c>
      <c r="AA311" t="s">
        <v>6365</v>
      </c>
      <c r="AB311" t="s">
        <v>6366</v>
      </c>
      <c r="AC311" t="s">
        <v>6367</v>
      </c>
      <c r="AD311" t="s">
        <v>6368</v>
      </c>
      <c r="AE311" t="s">
        <v>6369</v>
      </c>
      <c r="AF311" t="s">
        <v>74</v>
      </c>
      <c r="AG311">
        <v>87</v>
      </c>
      <c r="AH311">
        <v>17</v>
      </c>
      <c r="AI311">
        <v>20</v>
      </c>
      <c r="AJ311">
        <v>0</v>
      </c>
      <c r="AK311">
        <v>12</v>
      </c>
      <c r="AL311" t="s">
        <v>1370</v>
      </c>
      <c r="AM311" t="s">
        <v>1371</v>
      </c>
      <c r="AN311" t="s">
        <v>1372</v>
      </c>
      <c r="AO311" t="s">
        <v>1731</v>
      </c>
      <c r="AP311" t="s">
        <v>74</v>
      </c>
      <c r="AQ311" t="s">
        <v>74</v>
      </c>
      <c r="AR311" t="s">
        <v>1732</v>
      </c>
      <c r="AS311" t="s">
        <v>1733</v>
      </c>
      <c r="AT311" t="s">
        <v>6352</v>
      </c>
      <c r="AU311">
        <v>2019</v>
      </c>
      <c r="AV311">
        <v>9</v>
      </c>
      <c r="AW311" t="s">
        <v>74</v>
      </c>
      <c r="AX311" t="s">
        <v>74</v>
      </c>
      <c r="AY311" t="s">
        <v>74</v>
      </c>
      <c r="AZ311" t="s">
        <v>74</v>
      </c>
      <c r="BA311" t="s">
        <v>74</v>
      </c>
      <c r="BB311" t="s">
        <v>74</v>
      </c>
      <c r="BC311" t="s">
        <v>74</v>
      </c>
      <c r="BD311">
        <v>5221</v>
      </c>
      <c r="BE311" t="s">
        <v>6370</v>
      </c>
      <c r="BF311" t="str">
        <f>HYPERLINK("http://dx.doi.org/10.1038/s41598-019-41635-x","http://dx.doi.org/10.1038/s41598-019-41635-x")</f>
        <v>http://dx.doi.org/10.1038/s41598-019-41635-x</v>
      </c>
      <c r="BG311" t="s">
        <v>74</v>
      </c>
      <c r="BH311" t="s">
        <v>74</v>
      </c>
      <c r="BI311">
        <v>12</v>
      </c>
      <c r="BJ311" t="s">
        <v>460</v>
      </c>
      <c r="BK311" t="s">
        <v>102</v>
      </c>
      <c r="BL311" t="s">
        <v>461</v>
      </c>
      <c r="BM311" t="s">
        <v>6371</v>
      </c>
      <c r="BN311">
        <v>30914781</v>
      </c>
      <c r="BO311" t="s">
        <v>463</v>
      </c>
      <c r="BP311" t="s">
        <v>74</v>
      </c>
      <c r="BQ311" t="s">
        <v>74</v>
      </c>
      <c r="BR311" t="s">
        <v>107</v>
      </c>
      <c r="BS311" t="s">
        <v>6372</v>
      </c>
      <c r="BT311" t="str">
        <f>HYPERLINK("https%3A%2F%2Fwww.webofscience.com%2Fwos%2Fwoscc%2Ffull-record%2FWOS:000462300100006","View Full Record in Web of Science")</f>
        <v>View Full Record in Web of Science</v>
      </c>
    </row>
    <row r="312" spans="1:72" x14ac:dyDescent="0.15">
      <c r="A312" t="s">
        <v>72</v>
      </c>
      <c r="B312" t="s">
        <v>6373</v>
      </c>
      <c r="C312" t="s">
        <v>74</v>
      </c>
      <c r="D312" t="s">
        <v>74</v>
      </c>
      <c r="E312" t="s">
        <v>74</v>
      </c>
      <c r="F312" t="s">
        <v>6374</v>
      </c>
      <c r="G312" t="s">
        <v>74</v>
      </c>
      <c r="H312" t="s">
        <v>74</v>
      </c>
      <c r="I312" t="s">
        <v>6375</v>
      </c>
      <c r="J312" t="s">
        <v>856</v>
      </c>
      <c r="K312" t="s">
        <v>74</v>
      </c>
      <c r="L312" t="s">
        <v>74</v>
      </c>
      <c r="M312" t="s">
        <v>78</v>
      </c>
      <c r="N312" t="s">
        <v>79</v>
      </c>
      <c r="O312" t="s">
        <v>74</v>
      </c>
      <c r="P312" t="s">
        <v>74</v>
      </c>
      <c r="Q312" t="s">
        <v>74</v>
      </c>
      <c r="R312" t="s">
        <v>74</v>
      </c>
      <c r="S312" t="s">
        <v>74</v>
      </c>
      <c r="T312" t="s">
        <v>74</v>
      </c>
      <c r="U312" t="s">
        <v>6376</v>
      </c>
      <c r="V312" t="s">
        <v>6377</v>
      </c>
      <c r="W312" t="s">
        <v>6378</v>
      </c>
      <c r="X312" t="s">
        <v>6379</v>
      </c>
      <c r="Y312" t="s">
        <v>6380</v>
      </c>
      <c r="Z312" t="s">
        <v>6381</v>
      </c>
      <c r="AA312" t="s">
        <v>6382</v>
      </c>
      <c r="AB312" t="s">
        <v>6383</v>
      </c>
      <c r="AC312" t="s">
        <v>6384</v>
      </c>
      <c r="AD312" t="s">
        <v>6385</v>
      </c>
      <c r="AE312" t="s">
        <v>6386</v>
      </c>
      <c r="AF312" t="s">
        <v>74</v>
      </c>
      <c r="AG312">
        <v>87</v>
      </c>
      <c r="AH312">
        <v>11</v>
      </c>
      <c r="AI312">
        <v>11</v>
      </c>
      <c r="AJ312">
        <v>0</v>
      </c>
      <c r="AK312">
        <v>5</v>
      </c>
      <c r="AL312" t="s">
        <v>868</v>
      </c>
      <c r="AM312" t="s">
        <v>869</v>
      </c>
      <c r="AN312" t="s">
        <v>870</v>
      </c>
      <c r="AO312" t="s">
        <v>871</v>
      </c>
      <c r="AP312" t="s">
        <v>872</v>
      </c>
      <c r="AQ312" t="s">
        <v>74</v>
      </c>
      <c r="AR312" t="s">
        <v>873</v>
      </c>
      <c r="AS312" t="s">
        <v>874</v>
      </c>
      <c r="AT312" t="s">
        <v>6352</v>
      </c>
      <c r="AU312">
        <v>2019</v>
      </c>
      <c r="AV312">
        <v>15</v>
      </c>
      <c r="AW312">
        <v>2</v>
      </c>
      <c r="AX312" t="s">
        <v>74</v>
      </c>
      <c r="AY312" t="s">
        <v>74</v>
      </c>
      <c r="AZ312" t="s">
        <v>74</v>
      </c>
      <c r="BA312" t="s">
        <v>74</v>
      </c>
      <c r="BB312">
        <v>521</v>
      </c>
      <c r="BC312">
        <v>537</v>
      </c>
      <c r="BD312" t="s">
        <v>74</v>
      </c>
      <c r="BE312" t="s">
        <v>6387</v>
      </c>
      <c r="BF312" t="str">
        <f>HYPERLINK("http://dx.doi.org/10.5194/cp-15-521-2019","http://dx.doi.org/10.5194/cp-15-521-2019")</f>
        <v>http://dx.doi.org/10.5194/cp-15-521-2019</v>
      </c>
      <c r="BG312" t="s">
        <v>74</v>
      </c>
      <c r="BH312" t="s">
        <v>74</v>
      </c>
      <c r="BI312">
        <v>17</v>
      </c>
      <c r="BJ312" t="s">
        <v>876</v>
      </c>
      <c r="BK312" t="s">
        <v>102</v>
      </c>
      <c r="BL312" t="s">
        <v>877</v>
      </c>
      <c r="BM312" t="s">
        <v>6388</v>
      </c>
      <c r="BN312" t="s">
        <v>74</v>
      </c>
      <c r="BO312" t="s">
        <v>135</v>
      </c>
      <c r="BP312" t="s">
        <v>74</v>
      </c>
      <c r="BQ312" t="s">
        <v>74</v>
      </c>
      <c r="BR312" t="s">
        <v>107</v>
      </c>
      <c r="BS312" t="s">
        <v>6389</v>
      </c>
      <c r="BT312" t="str">
        <f>HYPERLINK("https%3A%2F%2Fwww.webofscience.com%2Fwos%2Fwoscc%2Ffull-record%2FWOS:000462539100001","View Full Record in Web of Science")</f>
        <v>View Full Record in Web of Science</v>
      </c>
    </row>
    <row r="313" spans="1:72" x14ac:dyDescent="0.15">
      <c r="A313" t="s">
        <v>72</v>
      </c>
      <c r="B313" t="s">
        <v>6390</v>
      </c>
      <c r="C313" t="s">
        <v>74</v>
      </c>
      <c r="D313" t="s">
        <v>74</v>
      </c>
      <c r="E313" t="s">
        <v>74</v>
      </c>
      <c r="F313" t="s">
        <v>6391</v>
      </c>
      <c r="G313" t="s">
        <v>74</v>
      </c>
      <c r="H313" t="s">
        <v>74</v>
      </c>
      <c r="I313" t="s">
        <v>6392</v>
      </c>
      <c r="J313" t="s">
        <v>884</v>
      </c>
      <c r="K313" t="s">
        <v>74</v>
      </c>
      <c r="L313" t="s">
        <v>74</v>
      </c>
      <c r="M313" t="s">
        <v>78</v>
      </c>
      <c r="N313" t="s">
        <v>79</v>
      </c>
      <c r="O313" t="s">
        <v>74</v>
      </c>
      <c r="P313" t="s">
        <v>74</v>
      </c>
      <c r="Q313" t="s">
        <v>74</v>
      </c>
      <c r="R313" t="s">
        <v>74</v>
      </c>
      <c r="S313" t="s">
        <v>74</v>
      </c>
      <c r="T313" t="s">
        <v>6393</v>
      </c>
      <c r="U313" t="s">
        <v>6394</v>
      </c>
      <c r="V313" t="s">
        <v>6395</v>
      </c>
      <c r="W313" t="s">
        <v>6396</v>
      </c>
      <c r="X313" t="s">
        <v>6397</v>
      </c>
      <c r="Y313" t="s">
        <v>6398</v>
      </c>
      <c r="Z313" t="s">
        <v>6399</v>
      </c>
      <c r="AA313" t="s">
        <v>6400</v>
      </c>
      <c r="AB313" t="s">
        <v>6401</v>
      </c>
      <c r="AC313" t="s">
        <v>6402</v>
      </c>
      <c r="AD313" t="s">
        <v>6403</v>
      </c>
      <c r="AE313" t="s">
        <v>6404</v>
      </c>
      <c r="AF313" t="s">
        <v>74</v>
      </c>
      <c r="AG313">
        <v>79</v>
      </c>
      <c r="AH313">
        <v>18</v>
      </c>
      <c r="AI313">
        <v>19</v>
      </c>
      <c r="AJ313">
        <v>7</v>
      </c>
      <c r="AK313">
        <v>29</v>
      </c>
      <c r="AL313" t="s">
        <v>821</v>
      </c>
      <c r="AM313" t="s">
        <v>822</v>
      </c>
      <c r="AN313" t="s">
        <v>823</v>
      </c>
      <c r="AO313" t="s">
        <v>897</v>
      </c>
      <c r="AP313" t="s">
        <v>74</v>
      </c>
      <c r="AQ313" t="s">
        <v>74</v>
      </c>
      <c r="AR313" t="s">
        <v>898</v>
      </c>
      <c r="AS313" t="s">
        <v>899</v>
      </c>
      <c r="AT313" t="s">
        <v>6352</v>
      </c>
      <c r="AU313">
        <v>2019</v>
      </c>
      <c r="AV313">
        <v>10</v>
      </c>
      <c r="AW313" t="s">
        <v>74</v>
      </c>
      <c r="AX313" t="s">
        <v>74</v>
      </c>
      <c r="AY313" t="s">
        <v>74</v>
      </c>
      <c r="AZ313" t="s">
        <v>74</v>
      </c>
      <c r="BA313" t="s">
        <v>74</v>
      </c>
      <c r="BB313" t="s">
        <v>74</v>
      </c>
      <c r="BC313" t="s">
        <v>74</v>
      </c>
      <c r="BD313">
        <v>461</v>
      </c>
      <c r="BE313" t="s">
        <v>6405</v>
      </c>
      <c r="BF313" t="str">
        <f>HYPERLINK("http://dx.doi.org/10.3389/fmicb.2019.00461","http://dx.doi.org/10.3389/fmicb.2019.00461")</f>
        <v>http://dx.doi.org/10.3389/fmicb.2019.00461</v>
      </c>
      <c r="BG313" t="s">
        <v>74</v>
      </c>
      <c r="BH313" t="s">
        <v>74</v>
      </c>
      <c r="BI313">
        <v>12</v>
      </c>
      <c r="BJ313" t="s">
        <v>901</v>
      </c>
      <c r="BK313" t="s">
        <v>102</v>
      </c>
      <c r="BL313" t="s">
        <v>901</v>
      </c>
      <c r="BM313" t="s">
        <v>6406</v>
      </c>
      <c r="BN313">
        <v>30972032</v>
      </c>
      <c r="BO313" t="s">
        <v>832</v>
      </c>
      <c r="BP313" t="s">
        <v>74</v>
      </c>
      <c r="BQ313" t="s">
        <v>74</v>
      </c>
      <c r="BR313" t="s">
        <v>107</v>
      </c>
      <c r="BS313" t="s">
        <v>6407</v>
      </c>
      <c r="BT313" t="str">
        <f>HYPERLINK("https%3A%2F%2Fwww.webofscience.com%2Fwos%2Fwoscc%2Ffull-record%2FWOS:000462508000001","View Full Record in Web of Science")</f>
        <v>View Full Record in Web of Science</v>
      </c>
    </row>
    <row r="314" spans="1:72" x14ac:dyDescent="0.15">
      <c r="A314" t="s">
        <v>72</v>
      </c>
      <c r="B314" t="s">
        <v>6408</v>
      </c>
      <c r="C314" t="s">
        <v>74</v>
      </c>
      <c r="D314" t="s">
        <v>74</v>
      </c>
      <c r="E314" t="s">
        <v>74</v>
      </c>
      <c r="F314" t="s">
        <v>6409</v>
      </c>
      <c r="G314" t="s">
        <v>74</v>
      </c>
      <c r="H314" t="s">
        <v>74</v>
      </c>
      <c r="I314" t="s">
        <v>6410</v>
      </c>
      <c r="J314" t="s">
        <v>1960</v>
      </c>
      <c r="K314" t="s">
        <v>74</v>
      </c>
      <c r="L314" t="s">
        <v>74</v>
      </c>
      <c r="M314" t="s">
        <v>78</v>
      </c>
      <c r="N314" t="s">
        <v>79</v>
      </c>
      <c r="O314" t="s">
        <v>74</v>
      </c>
      <c r="P314" t="s">
        <v>74</v>
      </c>
      <c r="Q314" t="s">
        <v>74</v>
      </c>
      <c r="R314" t="s">
        <v>74</v>
      </c>
      <c r="S314" t="s">
        <v>74</v>
      </c>
      <c r="T314" t="s">
        <v>74</v>
      </c>
      <c r="U314" t="s">
        <v>6411</v>
      </c>
      <c r="V314" t="s">
        <v>6412</v>
      </c>
      <c r="W314" t="s">
        <v>6413</v>
      </c>
      <c r="X314" t="s">
        <v>6414</v>
      </c>
      <c r="Y314" t="s">
        <v>6415</v>
      </c>
      <c r="Z314" t="s">
        <v>6416</v>
      </c>
      <c r="AA314" t="s">
        <v>6417</v>
      </c>
      <c r="AB314" t="s">
        <v>6418</v>
      </c>
      <c r="AC314" t="s">
        <v>6419</v>
      </c>
      <c r="AD314" t="s">
        <v>6420</v>
      </c>
      <c r="AE314" t="s">
        <v>6421</v>
      </c>
      <c r="AF314" t="s">
        <v>74</v>
      </c>
      <c r="AG314">
        <v>78</v>
      </c>
      <c r="AH314">
        <v>75</v>
      </c>
      <c r="AI314">
        <v>83</v>
      </c>
      <c r="AJ314">
        <v>1</v>
      </c>
      <c r="AK314">
        <v>31</v>
      </c>
      <c r="AL314" t="s">
        <v>868</v>
      </c>
      <c r="AM314" t="s">
        <v>869</v>
      </c>
      <c r="AN314" t="s">
        <v>870</v>
      </c>
      <c r="AO314" t="s">
        <v>1969</v>
      </c>
      <c r="AP314" t="s">
        <v>1970</v>
      </c>
      <c r="AQ314" t="s">
        <v>74</v>
      </c>
      <c r="AR314" t="s">
        <v>1971</v>
      </c>
      <c r="AS314" t="s">
        <v>1972</v>
      </c>
      <c r="AT314" t="s">
        <v>6352</v>
      </c>
      <c r="AU314">
        <v>2019</v>
      </c>
      <c r="AV314">
        <v>11</v>
      </c>
      <c r="AW314">
        <v>1</v>
      </c>
      <c r="AX314" t="s">
        <v>74</v>
      </c>
      <c r="AY314" t="s">
        <v>74</v>
      </c>
      <c r="AZ314" t="s">
        <v>74</v>
      </c>
      <c r="BA314" t="s">
        <v>74</v>
      </c>
      <c r="BB314">
        <v>421</v>
      </c>
      <c r="BC314">
        <v>439</v>
      </c>
      <c r="BD314" t="s">
        <v>74</v>
      </c>
      <c r="BE314" t="s">
        <v>6422</v>
      </c>
      <c r="BF314" t="str">
        <f>HYPERLINK("http://dx.doi.org/10.5194/essd-11-421-2019","http://dx.doi.org/10.5194/essd-11-421-2019")</f>
        <v>http://dx.doi.org/10.5194/essd-11-421-2019</v>
      </c>
      <c r="BG314" t="s">
        <v>74</v>
      </c>
      <c r="BH314" t="s">
        <v>74</v>
      </c>
      <c r="BI314">
        <v>19</v>
      </c>
      <c r="BJ314" t="s">
        <v>876</v>
      </c>
      <c r="BK314" t="s">
        <v>102</v>
      </c>
      <c r="BL314" t="s">
        <v>877</v>
      </c>
      <c r="BM314" t="s">
        <v>6423</v>
      </c>
      <c r="BN314" t="s">
        <v>74</v>
      </c>
      <c r="BO314" t="s">
        <v>6424</v>
      </c>
      <c r="BP314" t="s">
        <v>74</v>
      </c>
      <c r="BQ314" t="s">
        <v>74</v>
      </c>
      <c r="BR314" t="s">
        <v>107</v>
      </c>
      <c r="BS314" t="s">
        <v>6425</v>
      </c>
      <c r="BT314" t="str">
        <f>HYPERLINK("https%3A%2F%2Fwww.webofscience.com%2Fwos%2Fwoscc%2Ffull-record%2FWOS:000462540200001","View Full Record in Web of Science")</f>
        <v>View Full Record in Web of Science</v>
      </c>
    </row>
    <row r="315" spans="1:72" x14ac:dyDescent="0.15">
      <c r="A315" t="s">
        <v>72</v>
      </c>
      <c r="B315" t="s">
        <v>6426</v>
      </c>
      <c r="C315" t="s">
        <v>74</v>
      </c>
      <c r="D315" t="s">
        <v>74</v>
      </c>
      <c r="E315" t="s">
        <v>74</v>
      </c>
      <c r="F315" t="s">
        <v>6427</v>
      </c>
      <c r="G315" t="s">
        <v>74</v>
      </c>
      <c r="H315" t="s">
        <v>74</v>
      </c>
      <c r="I315" t="s">
        <v>6428</v>
      </c>
      <c r="J315" t="s">
        <v>1339</v>
      </c>
      <c r="K315" t="s">
        <v>74</v>
      </c>
      <c r="L315" t="s">
        <v>74</v>
      </c>
      <c r="M315" t="s">
        <v>78</v>
      </c>
      <c r="N315" t="s">
        <v>79</v>
      </c>
      <c r="O315" t="s">
        <v>74</v>
      </c>
      <c r="P315" t="s">
        <v>74</v>
      </c>
      <c r="Q315" t="s">
        <v>74</v>
      </c>
      <c r="R315" t="s">
        <v>74</v>
      </c>
      <c r="S315" t="s">
        <v>74</v>
      </c>
      <c r="T315" t="s">
        <v>74</v>
      </c>
      <c r="U315" t="s">
        <v>6429</v>
      </c>
      <c r="V315" t="s">
        <v>6430</v>
      </c>
      <c r="W315" t="s">
        <v>6431</v>
      </c>
      <c r="X315" t="s">
        <v>6432</v>
      </c>
      <c r="Y315" t="s">
        <v>6433</v>
      </c>
      <c r="Z315" t="s">
        <v>6434</v>
      </c>
      <c r="AA315" t="s">
        <v>6435</v>
      </c>
      <c r="AB315" t="s">
        <v>6436</v>
      </c>
      <c r="AC315" t="s">
        <v>6437</v>
      </c>
      <c r="AD315" t="s">
        <v>6438</v>
      </c>
      <c r="AE315" t="s">
        <v>6439</v>
      </c>
      <c r="AF315" t="s">
        <v>74</v>
      </c>
      <c r="AG315">
        <v>138</v>
      </c>
      <c r="AH315">
        <v>169</v>
      </c>
      <c r="AI315">
        <v>190</v>
      </c>
      <c r="AJ315">
        <v>10</v>
      </c>
      <c r="AK315">
        <v>77</v>
      </c>
      <c r="AL315" t="s">
        <v>868</v>
      </c>
      <c r="AM315" t="s">
        <v>869</v>
      </c>
      <c r="AN315" t="s">
        <v>870</v>
      </c>
      <c r="AO315" t="s">
        <v>1348</v>
      </c>
      <c r="AP315" t="s">
        <v>1349</v>
      </c>
      <c r="AQ315" t="s">
        <v>74</v>
      </c>
      <c r="AR315" t="s">
        <v>1350</v>
      </c>
      <c r="AS315" t="s">
        <v>1351</v>
      </c>
      <c r="AT315" t="s">
        <v>6440</v>
      </c>
      <c r="AU315">
        <v>2019</v>
      </c>
      <c r="AV315">
        <v>12</v>
      </c>
      <c r="AW315">
        <v>3</v>
      </c>
      <c r="AX315" t="s">
        <v>74</v>
      </c>
      <c r="AY315" t="s">
        <v>74</v>
      </c>
      <c r="AZ315" t="s">
        <v>74</v>
      </c>
      <c r="BA315" t="s">
        <v>74</v>
      </c>
      <c r="BB315">
        <v>1139</v>
      </c>
      <c r="BC315">
        <v>1164</v>
      </c>
      <c r="BD315" t="s">
        <v>74</v>
      </c>
      <c r="BE315" t="s">
        <v>6441</v>
      </c>
      <c r="BF315" t="str">
        <f>HYPERLINK("http://dx.doi.org/10.5194/gmd-12-1139-2019","http://dx.doi.org/10.5194/gmd-12-1139-2019")</f>
        <v>http://dx.doi.org/10.5194/gmd-12-1139-2019</v>
      </c>
      <c r="BG315" t="s">
        <v>74</v>
      </c>
      <c r="BH315" t="s">
        <v>74</v>
      </c>
      <c r="BI315">
        <v>26</v>
      </c>
      <c r="BJ315" t="s">
        <v>922</v>
      </c>
      <c r="BK315" t="s">
        <v>102</v>
      </c>
      <c r="BL315" t="s">
        <v>923</v>
      </c>
      <c r="BM315" t="s">
        <v>6442</v>
      </c>
      <c r="BN315" t="s">
        <v>74</v>
      </c>
      <c r="BO315" t="s">
        <v>135</v>
      </c>
      <c r="BP315" t="s">
        <v>105</v>
      </c>
      <c r="BQ315" t="s">
        <v>106</v>
      </c>
      <c r="BR315" t="s">
        <v>107</v>
      </c>
      <c r="BS315" t="s">
        <v>6443</v>
      </c>
      <c r="BT315" t="str">
        <f>HYPERLINK("https%3A%2F%2Fwww.webofscience.com%2Fwos%2Fwoscc%2Ffull-record%2FWOS:000462352700002","View Full Record in Web of Science")</f>
        <v>View Full Record in Web of Science</v>
      </c>
    </row>
    <row r="316" spans="1:72" x14ac:dyDescent="0.15">
      <c r="A316" t="s">
        <v>72</v>
      </c>
      <c r="B316" t="s">
        <v>6444</v>
      </c>
      <c r="C316" t="s">
        <v>74</v>
      </c>
      <c r="D316" t="s">
        <v>74</v>
      </c>
      <c r="E316" t="s">
        <v>74</v>
      </c>
      <c r="F316" t="s">
        <v>6445</v>
      </c>
      <c r="G316" t="s">
        <v>74</v>
      </c>
      <c r="H316" t="s">
        <v>74</v>
      </c>
      <c r="I316" t="s">
        <v>6446</v>
      </c>
      <c r="J316" t="s">
        <v>6447</v>
      </c>
      <c r="K316" t="s">
        <v>74</v>
      </c>
      <c r="L316" t="s">
        <v>74</v>
      </c>
      <c r="M316" t="s">
        <v>78</v>
      </c>
      <c r="N316" t="s">
        <v>79</v>
      </c>
      <c r="O316" t="s">
        <v>74</v>
      </c>
      <c r="P316" t="s">
        <v>74</v>
      </c>
      <c r="Q316" t="s">
        <v>74</v>
      </c>
      <c r="R316" t="s">
        <v>74</v>
      </c>
      <c r="S316" t="s">
        <v>74</v>
      </c>
      <c r="T316" t="s">
        <v>6448</v>
      </c>
      <c r="U316" t="s">
        <v>6449</v>
      </c>
      <c r="V316" t="s">
        <v>6450</v>
      </c>
      <c r="W316" t="s">
        <v>6451</v>
      </c>
      <c r="X316" t="s">
        <v>1343</v>
      </c>
      <c r="Y316" t="s">
        <v>6452</v>
      </c>
      <c r="Z316" t="s">
        <v>6453</v>
      </c>
      <c r="AA316" t="s">
        <v>6454</v>
      </c>
      <c r="AB316" t="s">
        <v>6455</v>
      </c>
      <c r="AC316" t="s">
        <v>6456</v>
      </c>
      <c r="AD316" t="s">
        <v>6457</v>
      </c>
      <c r="AE316" t="s">
        <v>6458</v>
      </c>
      <c r="AF316" t="s">
        <v>74</v>
      </c>
      <c r="AG316">
        <v>54</v>
      </c>
      <c r="AH316">
        <v>22</v>
      </c>
      <c r="AI316">
        <v>22</v>
      </c>
      <c r="AJ316">
        <v>0</v>
      </c>
      <c r="AK316">
        <v>15</v>
      </c>
      <c r="AL316" t="s">
        <v>2960</v>
      </c>
      <c r="AM316" t="s">
        <v>607</v>
      </c>
      <c r="AN316" t="s">
        <v>4525</v>
      </c>
      <c r="AO316" t="s">
        <v>6459</v>
      </c>
      <c r="AP316" t="s">
        <v>6460</v>
      </c>
      <c r="AQ316" t="s">
        <v>74</v>
      </c>
      <c r="AR316" t="s">
        <v>6461</v>
      </c>
      <c r="AS316" t="s">
        <v>6462</v>
      </c>
      <c r="AT316" t="s">
        <v>6440</v>
      </c>
      <c r="AU316">
        <v>2019</v>
      </c>
      <c r="AV316">
        <v>863</v>
      </c>
      <c r="AW316" t="s">
        <v>74</v>
      </c>
      <c r="AX316" t="s">
        <v>74</v>
      </c>
      <c r="AY316" t="s">
        <v>74</v>
      </c>
      <c r="AZ316" t="s">
        <v>74</v>
      </c>
      <c r="BA316" t="s">
        <v>74</v>
      </c>
      <c r="BB316">
        <v>545</v>
      </c>
      <c r="BC316">
        <v>571</v>
      </c>
      <c r="BD316" t="s">
        <v>6463</v>
      </c>
      <c r="BE316" t="s">
        <v>6464</v>
      </c>
      <c r="BF316" t="str">
        <f>HYPERLINK("http://dx.doi.org/10.1017/jfm.2018.970","http://dx.doi.org/10.1017/jfm.2018.970")</f>
        <v>http://dx.doi.org/10.1017/jfm.2018.970</v>
      </c>
      <c r="BG316" t="s">
        <v>74</v>
      </c>
      <c r="BH316" t="s">
        <v>74</v>
      </c>
      <c r="BI316">
        <v>27</v>
      </c>
      <c r="BJ316" t="s">
        <v>6465</v>
      </c>
      <c r="BK316" t="s">
        <v>102</v>
      </c>
      <c r="BL316" t="s">
        <v>6466</v>
      </c>
      <c r="BM316" t="s">
        <v>6467</v>
      </c>
      <c r="BN316" t="s">
        <v>74</v>
      </c>
      <c r="BO316" t="s">
        <v>74</v>
      </c>
      <c r="BP316" t="s">
        <v>74</v>
      </c>
      <c r="BQ316" t="s">
        <v>74</v>
      </c>
      <c r="BR316" t="s">
        <v>107</v>
      </c>
      <c r="BS316" t="s">
        <v>6468</v>
      </c>
      <c r="BT316" t="str">
        <f>HYPERLINK("https%3A%2F%2Fwww.webofscience.com%2Fwos%2Fwoscc%2Ffull-record%2FWOS:000526029100021","View Full Record in Web of Science")</f>
        <v>View Full Record in Web of Science</v>
      </c>
    </row>
    <row r="317" spans="1:72" x14ac:dyDescent="0.15">
      <c r="A317" t="s">
        <v>72</v>
      </c>
      <c r="B317" t="s">
        <v>6469</v>
      </c>
      <c r="C317" t="s">
        <v>74</v>
      </c>
      <c r="D317" t="s">
        <v>74</v>
      </c>
      <c r="E317" t="s">
        <v>74</v>
      </c>
      <c r="F317" t="s">
        <v>6470</v>
      </c>
      <c r="G317" t="s">
        <v>74</v>
      </c>
      <c r="H317" t="s">
        <v>74</v>
      </c>
      <c r="I317" t="s">
        <v>6471</v>
      </c>
      <c r="J317" t="s">
        <v>1720</v>
      </c>
      <c r="K317" t="s">
        <v>74</v>
      </c>
      <c r="L317" t="s">
        <v>74</v>
      </c>
      <c r="M317" t="s">
        <v>78</v>
      </c>
      <c r="N317" t="s">
        <v>79</v>
      </c>
      <c r="O317" t="s">
        <v>74</v>
      </c>
      <c r="P317" t="s">
        <v>74</v>
      </c>
      <c r="Q317" t="s">
        <v>74</v>
      </c>
      <c r="R317" t="s">
        <v>74</v>
      </c>
      <c r="S317" t="s">
        <v>74</v>
      </c>
      <c r="T317" t="s">
        <v>74</v>
      </c>
      <c r="U317" t="s">
        <v>6472</v>
      </c>
      <c r="V317" t="s">
        <v>6473</v>
      </c>
      <c r="W317" t="s">
        <v>6474</v>
      </c>
      <c r="X317" t="s">
        <v>6475</v>
      </c>
      <c r="Y317" t="s">
        <v>6476</v>
      </c>
      <c r="Z317" t="s">
        <v>6477</v>
      </c>
      <c r="AA317" t="s">
        <v>6478</v>
      </c>
      <c r="AB317" t="s">
        <v>6479</v>
      </c>
      <c r="AC317" t="s">
        <v>6480</v>
      </c>
      <c r="AD317" t="s">
        <v>6481</v>
      </c>
      <c r="AE317" t="s">
        <v>6482</v>
      </c>
      <c r="AF317" t="s">
        <v>74</v>
      </c>
      <c r="AG317">
        <v>32</v>
      </c>
      <c r="AH317">
        <v>18</v>
      </c>
      <c r="AI317">
        <v>22</v>
      </c>
      <c r="AJ317">
        <v>1</v>
      </c>
      <c r="AK317">
        <v>8</v>
      </c>
      <c r="AL317" t="s">
        <v>1393</v>
      </c>
      <c r="AM317" t="s">
        <v>1371</v>
      </c>
      <c r="AN317" t="s">
        <v>1372</v>
      </c>
      <c r="AO317" t="s">
        <v>1731</v>
      </c>
      <c r="AP317" t="s">
        <v>74</v>
      </c>
      <c r="AQ317" t="s">
        <v>74</v>
      </c>
      <c r="AR317" t="s">
        <v>1732</v>
      </c>
      <c r="AS317" t="s">
        <v>1733</v>
      </c>
      <c r="AT317" t="s">
        <v>6440</v>
      </c>
      <c r="AU317">
        <v>2019</v>
      </c>
      <c r="AV317">
        <v>9</v>
      </c>
      <c r="AW317" t="s">
        <v>74</v>
      </c>
      <c r="AX317" t="s">
        <v>74</v>
      </c>
      <c r="AY317" t="s">
        <v>74</v>
      </c>
      <c r="AZ317" t="s">
        <v>74</v>
      </c>
      <c r="BA317" t="s">
        <v>74</v>
      </c>
      <c r="BB317" t="s">
        <v>74</v>
      </c>
      <c r="BC317" t="s">
        <v>74</v>
      </c>
      <c r="BD317">
        <v>5095</v>
      </c>
      <c r="BE317" t="s">
        <v>6483</v>
      </c>
      <c r="BF317" t="str">
        <f>HYPERLINK("http://dx.doi.org/10.1038/s41598-019-41549-8","http://dx.doi.org/10.1038/s41598-019-41549-8")</f>
        <v>http://dx.doi.org/10.1038/s41598-019-41549-8</v>
      </c>
      <c r="BG317" t="s">
        <v>74</v>
      </c>
      <c r="BH317" t="s">
        <v>74</v>
      </c>
      <c r="BI317">
        <v>10</v>
      </c>
      <c r="BJ317" t="s">
        <v>460</v>
      </c>
      <c r="BK317" t="s">
        <v>102</v>
      </c>
      <c r="BL317" t="s">
        <v>461</v>
      </c>
      <c r="BM317" t="s">
        <v>6484</v>
      </c>
      <c r="BN317">
        <v>30911035</v>
      </c>
      <c r="BO317" t="s">
        <v>851</v>
      </c>
      <c r="BP317" t="s">
        <v>74</v>
      </c>
      <c r="BQ317" t="s">
        <v>74</v>
      </c>
      <c r="BR317" t="s">
        <v>107</v>
      </c>
      <c r="BS317" t="s">
        <v>6485</v>
      </c>
      <c r="BT317" t="str">
        <f>HYPERLINK("https%3A%2F%2Fwww.webofscience.com%2Fwos%2Fwoscc%2Ffull-record%2FWOS:000462149800050","View Full Record in Web of Science")</f>
        <v>View Full Record in Web of Science</v>
      </c>
    </row>
    <row r="318" spans="1:72" x14ac:dyDescent="0.15">
      <c r="A318" t="s">
        <v>72</v>
      </c>
      <c r="B318" t="s">
        <v>6486</v>
      </c>
      <c r="C318" t="s">
        <v>74</v>
      </c>
      <c r="D318" t="s">
        <v>74</v>
      </c>
      <c r="E318" t="s">
        <v>74</v>
      </c>
      <c r="F318" t="s">
        <v>6487</v>
      </c>
      <c r="G318" t="s">
        <v>74</v>
      </c>
      <c r="H318" t="s">
        <v>74</v>
      </c>
      <c r="I318" t="s">
        <v>6488</v>
      </c>
      <c r="J318" t="s">
        <v>5999</v>
      </c>
      <c r="K318" t="s">
        <v>74</v>
      </c>
      <c r="L318" t="s">
        <v>74</v>
      </c>
      <c r="M318" t="s">
        <v>78</v>
      </c>
      <c r="N318" t="s">
        <v>79</v>
      </c>
      <c r="O318" t="s">
        <v>74</v>
      </c>
      <c r="P318" t="s">
        <v>74</v>
      </c>
      <c r="Q318" t="s">
        <v>74</v>
      </c>
      <c r="R318" t="s">
        <v>74</v>
      </c>
      <c r="S318" t="s">
        <v>74</v>
      </c>
      <c r="T318" t="s">
        <v>6489</v>
      </c>
      <c r="U318" t="s">
        <v>6490</v>
      </c>
      <c r="V318" t="s">
        <v>6491</v>
      </c>
      <c r="W318" t="s">
        <v>6492</v>
      </c>
      <c r="X318" t="s">
        <v>6493</v>
      </c>
      <c r="Y318" t="s">
        <v>6494</v>
      </c>
      <c r="Z318" t="s">
        <v>6495</v>
      </c>
      <c r="AA318" t="s">
        <v>6496</v>
      </c>
      <c r="AB318" t="s">
        <v>6497</v>
      </c>
      <c r="AC318" t="s">
        <v>6498</v>
      </c>
      <c r="AD318" t="s">
        <v>6499</v>
      </c>
      <c r="AE318" t="s">
        <v>6500</v>
      </c>
      <c r="AF318" t="s">
        <v>74</v>
      </c>
      <c r="AG318">
        <v>48</v>
      </c>
      <c r="AH318">
        <v>52</v>
      </c>
      <c r="AI318">
        <v>58</v>
      </c>
      <c r="AJ318">
        <v>3</v>
      </c>
      <c r="AK318">
        <v>116</v>
      </c>
      <c r="AL318" t="s">
        <v>662</v>
      </c>
      <c r="AM318" t="s">
        <v>635</v>
      </c>
      <c r="AN318" t="s">
        <v>663</v>
      </c>
      <c r="AO318" t="s">
        <v>6012</v>
      </c>
      <c r="AP318" t="s">
        <v>6013</v>
      </c>
      <c r="AQ318" t="s">
        <v>74</v>
      </c>
      <c r="AR318" t="s">
        <v>6014</v>
      </c>
      <c r="AS318" t="s">
        <v>6015</v>
      </c>
      <c r="AT318" t="s">
        <v>6440</v>
      </c>
      <c r="AU318">
        <v>2019</v>
      </c>
      <c r="AV318">
        <v>658</v>
      </c>
      <c r="AW318" t="s">
        <v>74</v>
      </c>
      <c r="AX318" t="s">
        <v>74</v>
      </c>
      <c r="AY318" t="s">
        <v>74</v>
      </c>
      <c r="AZ318" t="s">
        <v>74</v>
      </c>
      <c r="BA318" t="s">
        <v>74</v>
      </c>
      <c r="BB318">
        <v>1256</v>
      </c>
      <c r="BC318">
        <v>1264</v>
      </c>
      <c r="BD318" t="s">
        <v>74</v>
      </c>
      <c r="BE318" t="s">
        <v>6501</v>
      </c>
      <c r="BF318" t="str">
        <f>HYPERLINK("http://dx.doi.org/10.1016/j.scitotenv.2018.12.297","http://dx.doi.org/10.1016/j.scitotenv.2018.12.297")</f>
        <v>http://dx.doi.org/10.1016/j.scitotenv.2018.12.297</v>
      </c>
      <c r="BG318" t="s">
        <v>74</v>
      </c>
      <c r="BH318" t="s">
        <v>74</v>
      </c>
      <c r="BI318">
        <v>9</v>
      </c>
      <c r="BJ318" t="s">
        <v>2296</v>
      </c>
      <c r="BK318" t="s">
        <v>102</v>
      </c>
      <c r="BL318" t="s">
        <v>2297</v>
      </c>
      <c r="BM318" t="s">
        <v>6502</v>
      </c>
      <c r="BN318">
        <v>30677988</v>
      </c>
      <c r="BO318" t="s">
        <v>198</v>
      </c>
      <c r="BP318" t="s">
        <v>74</v>
      </c>
      <c r="BQ318" t="s">
        <v>74</v>
      </c>
      <c r="BR318" t="s">
        <v>107</v>
      </c>
      <c r="BS318" t="s">
        <v>6503</v>
      </c>
      <c r="BT318" t="str">
        <f>HYPERLINK("https%3A%2F%2Fwww.webofscience.com%2Fwos%2Fwoscc%2Ffull-record%2FWOS:000456175700119","View Full Record in Web of Science")</f>
        <v>View Full Record in Web of Science</v>
      </c>
    </row>
    <row r="319" spans="1:72" x14ac:dyDescent="0.15">
      <c r="A319" t="s">
        <v>72</v>
      </c>
      <c r="B319" t="s">
        <v>6504</v>
      </c>
      <c r="C319" t="s">
        <v>74</v>
      </c>
      <c r="D319" t="s">
        <v>74</v>
      </c>
      <c r="E319" t="s">
        <v>74</v>
      </c>
      <c r="F319" t="s">
        <v>6505</v>
      </c>
      <c r="G319" t="s">
        <v>74</v>
      </c>
      <c r="H319" t="s">
        <v>74</v>
      </c>
      <c r="I319" t="s">
        <v>6506</v>
      </c>
      <c r="J319" t="s">
        <v>5999</v>
      </c>
      <c r="K319" t="s">
        <v>74</v>
      </c>
      <c r="L319" t="s">
        <v>74</v>
      </c>
      <c r="M319" t="s">
        <v>78</v>
      </c>
      <c r="N319" t="s">
        <v>79</v>
      </c>
      <c r="O319" t="s">
        <v>74</v>
      </c>
      <c r="P319" t="s">
        <v>74</v>
      </c>
      <c r="Q319" t="s">
        <v>74</v>
      </c>
      <c r="R319" t="s">
        <v>74</v>
      </c>
      <c r="S319" t="s">
        <v>74</v>
      </c>
      <c r="T319" t="s">
        <v>6507</v>
      </c>
      <c r="U319" t="s">
        <v>6508</v>
      </c>
      <c r="V319" t="s">
        <v>6509</v>
      </c>
      <c r="W319" t="s">
        <v>6510</v>
      </c>
      <c r="X319" t="s">
        <v>6511</v>
      </c>
      <c r="Y319" t="s">
        <v>6512</v>
      </c>
      <c r="Z319" t="s">
        <v>6513</v>
      </c>
      <c r="AA319" t="s">
        <v>6514</v>
      </c>
      <c r="AB319" t="s">
        <v>6515</v>
      </c>
      <c r="AC319" t="s">
        <v>6516</v>
      </c>
      <c r="AD319" t="s">
        <v>6517</v>
      </c>
      <c r="AE319" t="s">
        <v>6518</v>
      </c>
      <c r="AF319" t="s">
        <v>74</v>
      </c>
      <c r="AG319">
        <v>87</v>
      </c>
      <c r="AH319">
        <v>38</v>
      </c>
      <c r="AI319">
        <v>39</v>
      </c>
      <c r="AJ319">
        <v>4</v>
      </c>
      <c r="AK319">
        <v>66</v>
      </c>
      <c r="AL319" t="s">
        <v>634</v>
      </c>
      <c r="AM319" t="s">
        <v>635</v>
      </c>
      <c r="AN319" t="s">
        <v>636</v>
      </c>
      <c r="AO319" t="s">
        <v>6012</v>
      </c>
      <c r="AP319" t="s">
        <v>6013</v>
      </c>
      <c r="AQ319" t="s">
        <v>74</v>
      </c>
      <c r="AR319" t="s">
        <v>6014</v>
      </c>
      <c r="AS319" t="s">
        <v>6015</v>
      </c>
      <c r="AT319" t="s">
        <v>6440</v>
      </c>
      <c r="AU319">
        <v>2019</v>
      </c>
      <c r="AV319">
        <v>658</v>
      </c>
      <c r="AW319" t="s">
        <v>74</v>
      </c>
      <c r="AX319" t="s">
        <v>74</v>
      </c>
      <c r="AY319" t="s">
        <v>74</v>
      </c>
      <c r="AZ319" t="s">
        <v>74</v>
      </c>
      <c r="BA319" t="s">
        <v>74</v>
      </c>
      <c r="BB319">
        <v>1293</v>
      </c>
      <c r="BC319">
        <v>1305</v>
      </c>
      <c r="BD319" t="s">
        <v>74</v>
      </c>
      <c r="BE319" t="s">
        <v>6519</v>
      </c>
      <c r="BF319" t="str">
        <f>HYPERLINK("http://dx.doi.org/10.1016/j.scitotenv.2018.12.285","http://dx.doi.org/10.1016/j.scitotenv.2018.12.285")</f>
        <v>http://dx.doi.org/10.1016/j.scitotenv.2018.12.285</v>
      </c>
      <c r="BG319" t="s">
        <v>74</v>
      </c>
      <c r="BH319" t="s">
        <v>74</v>
      </c>
      <c r="BI319">
        <v>13</v>
      </c>
      <c r="BJ319" t="s">
        <v>2296</v>
      </c>
      <c r="BK319" t="s">
        <v>337</v>
      </c>
      <c r="BL319" t="s">
        <v>2297</v>
      </c>
      <c r="BM319" t="s">
        <v>6502</v>
      </c>
      <c r="BN319">
        <v>30677991</v>
      </c>
      <c r="BO319" t="s">
        <v>6520</v>
      </c>
      <c r="BP319" t="s">
        <v>74</v>
      </c>
      <c r="BQ319" t="s">
        <v>74</v>
      </c>
      <c r="BR319" t="s">
        <v>107</v>
      </c>
      <c r="BS319" t="s">
        <v>6521</v>
      </c>
      <c r="BT319" t="str">
        <f>HYPERLINK("https%3A%2F%2Fwww.webofscience.com%2Fwos%2Fwoscc%2Ffull-record%2FWOS:000456175700122","View Full Record in Web of Science")</f>
        <v>View Full Record in Web of Science</v>
      </c>
    </row>
    <row r="320" spans="1:72" x14ac:dyDescent="0.15">
      <c r="A320" t="s">
        <v>72</v>
      </c>
      <c r="B320" t="s">
        <v>6522</v>
      </c>
      <c r="C320" t="s">
        <v>74</v>
      </c>
      <c r="D320" t="s">
        <v>74</v>
      </c>
      <c r="E320" t="s">
        <v>74</v>
      </c>
      <c r="F320" t="s">
        <v>6523</v>
      </c>
      <c r="G320" t="s">
        <v>74</v>
      </c>
      <c r="H320" t="s">
        <v>74</v>
      </c>
      <c r="I320" t="s">
        <v>6524</v>
      </c>
      <c r="J320" t="s">
        <v>1654</v>
      </c>
      <c r="K320" t="s">
        <v>74</v>
      </c>
      <c r="L320" t="s">
        <v>74</v>
      </c>
      <c r="M320" t="s">
        <v>78</v>
      </c>
      <c r="N320" t="s">
        <v>79</v>
      </c>
      <c r="O320" t="s">
        <v>74</v>
      </c>
      <c r="P320" t="s">
        <v>74</v>
      </c>
      <c r="Q320" t="s">
        <v>74</v>
      </c>
      <c r="R320" t="s">
        <v>74</v>
      </c>
      <c r="S320" t="s">
        <v>74</v>
      </c>
      <c r="T320" t="s">
        <v>6525</v>
      </c>
      <c r="U320" t="s">
        <v>6526</v>
      </c>
      <c r="V320" t="s">
        <v>6527</v>
      </c>
      <c r="W320" t="s">
        <v>6528</v>
      </c>
      <c r="X320" t="s">
        <v>5387</v>
      </c>
      <c r="Y320" t="s">
        <v>6529</v>
      </c>
      <c r="Z320" t="s">
        <v>766</v>
      </c>
      <c r="AA320" t="s">
        <v>6530</v>
      </c>
      <c r="AB320" t="s">
        <v>6531</v>
      </c>
      <c r="AC320" t="s">
        <v>6532</v>
      </c>
      <c r="AD320" t="s">
        <v>6533</v>
      </c>
      <c r="AE320" t="s">
        <v>6534</v>
      </c>
      <c r="AF320" t="s">
        <v>74</v>
      </c>
      <c r="AG320">
        <v>130</v>
      </c>
      <c r="AH320">
        <v>5</v>
      </c>
      <c r="AI320">
        <v>5</v>
      </c>
      <c r="AJ320">
        <v>0</v>
      </c>
      <c r="AK320">
        <v>7</v>
      </c>
      <c r="AL320" t="s">
        <v>1667</v>
      </c>
      <c r="AM320" t="s">
        <v>1668</v>
      </c>
      <c r="AN320" t="s">
        <v>4946</v>
      </c>
      <c r="AO320" t="s">
        <v>1670</v>
      </c>
      <c r="AP320" t="s">
        <v>1671</v>
      </c>
      <c r="AQ320" t="s">
        <v>74</v>
      </c>
      <c r="AR320" t="s">
        <v>1654</v>
      </c>
      <c r="AS320" t="s">
        <v>1672</v>
      </c>
      <c r="AT320" t="s">
        <v>6535</v>
      </c>
      <c r="AU320">
        <v>2019</v>
      </c>
      <c r="AV320">
        <v>4570</v>
      </c>
      <c r="AW320">
        <v>1</v>
      </c>
      <c r="AX320" t="s">
        <v>74</v>
      </c>
      <c r="AY320" t="s">
        <v>74</v>
      </c>
      <c r="AZ320" t="s">
        <v>74</v>
      </c>
      <c r="BA320" t="s">
        <v>74</v>
      </c>
      <c r="BB320">
        <v>1</v>
      </c>
      <c r="BC320">
        <v>78</v>
      </c>
      <c r="BD320" t="s">
        <v>74</v>
      </c>
      <c r="BE320" t="s">
        <v>6536</v>
      </c>
      <c r="BF320" t="str">
        <f>HYPERLINK("http://dx.doi.org/10.11646/zootaxa.4570.1.1","http://dx.doi.org/10.11646/zootaxa.4570.1.1")</f>
        <v>http://dx.doi.org/10.11646/zootaxa.4570.1.1</v>
      </c>
      <c r="BG320" t="s">
        <v>74</v>
      </c>
      <c r="BH320" t="s">
        <v>74</v>
      </c>
      <c r="BI320">
        <v>78</v>
      </c>
      <c r="BJ320" t="s">
        <v>1674</v>
      </c>
      <c r="BK320" t="s">
        <v>102</v>
      </c>
      <c r="BL320" t="s">
        <v>1674</v>
      </c>
      <c r="BM320" t="s">
        <v>6537</v>
      </c>
      <c r="BN320">
        <v>31715840</v>
      </c>
      <c r="BO320" t="s">
        <v>74</v>
      </c>
      <c r="BP320" t="s">
        <v>74</v>
      </c>
      <c r="BQ320" t="s">
        <v>74</v>
      </c>
      <c r="BR320" t="s">
        <v>107</v>
      </c>
      <c r="BS320" t="s">
        <v>6538</v>
      </c>
      <c r="BT320" t="str">
        <f>HYPERLINK("https%3A%2F%2Fwww.webofscience.com%2Fwos%2Fwoscc%2Ffull-record%2FWOS:000461984500001","View Full Record in Web of Science")</f>
        <v>View Full Record in Web of Science</v>
      </c>
    </row>
    <row r="321" spans="1:72" x14ac:dyDescent="0.15">
      <c r="A321" t="s">
        <v>72</v>
      </c>
      <c r="B321" t="s">
        <v>6539</v>
      </c>
      <c r="C321" t="s">
        <v>74</v>
      </c>
      <c r="D321" t="s">
        <v>74</v>
      </c>
      <c r="E321" t="s">
        <v>74</v>
      </c>
      <c r="F321" t="s">
        <v>6540</v>
      </c>
      <c r="G321" t="s">
        <v>74</v>
      </c>
      <c r="H321" t="s">
        <v>74</v>
      </c>
      <c r="I321" t="s">
        <v>6541</v>
      </c>
      <c r="J321" t="s">
        <v>6542</v>
      </c>
      <c r="K321" t="s">
        <v>74</v>
      </c>
      <c r="L321" t="s">
        <v>74</v>
      </c>
      <c r="M321" t="s">
        <v>78</v>
      </c>
      <c r="N321" t="s">
        <v>79</v>
      </c>
      <c r="O321" t="s">
        <v>74</v>
      </c>
      <c r="P321" t="s">
        <v>74</v>
      </c>
      <c r="Q321" t="s">
        <v>74</v>
      </c>
      <c r="R321" t="s">
        <v>74</v>
      </c>
      <c r="S321" t="s">
        <v>74</v>
      </c>
      <c r="T321" t="s">
        <v>6543</v>
      </c>
      <c r="U321" t="s">
        <v>6544</v>
      </c>
      <c r="V321" t="s">
        <v>6545</v>
      </c>
      <c r="W321" t="s">
        <v>6546</v>
      </c>
      <c r="X321" t="s">
        <v>6547</v>
      </c>
      <c r="Y321" t="s">
        <v>6548</v>
      </c>
      <c r="Z321" t="s">
        <v>6549</v>
      </c>
      <c r="AA321" t="s">
        <v>6550</v>
      </c>
      <c r="AB321" t="s">
        <v>6551</v>
      </c>
      <c r="AC321" t="s">
        <v>6552</v>
      </c>
      <c r="AD321" t="s">
        <v>6553</v>
      </c>
      <c r="AE321" t="s">
        <v>6554</v>
      </c>
      <c r="AF321" t="s">
        <v>74</v>
      </c>
      <c r="AG321">
        <v>23</v>
      </c>
      <c r="AH321">
        <v>4</v>
      </c>
      <c r="AI321">
        <v>4</v>
      </c>
      <c r="AJ321">
        <v>0</v>
      </c>
      <c r="AK321">
        <v>5</v>
      </c>
      <c r="AL321" t="s">
        <v>821</v>
      </c>
      <c r="AM321" t="s">
        <v>822</v>
      </c>
      <c r="AN321" t="s">
        <v>823</v>
      </c>
      <c r="AO321" t="s">
        <v>6555</v>
      </c>
      <c r="AP321" t="s">
        <v>74</v>
      </c>
      <c r="AQ321" t="s">
        <v>74</v>
      </c>
      <c r="AR321" t="s">
        <v>6556</v>
      </c>
      <c r="AS321" t="s">
        <v>6557</v>
      </c>
      <c r="AT321" t="s">
        <v>6535</v>
      </c>
      <c r="AU321">
        <v>2019</v>
      </c>
      <c r="AV321">
        <v>6</v>
      </c>
      <c r="AW321" t="s">
        <v>74</v>
      </c>
      <c r="AX321" t="s">
        <v>74</v>
      </c>
      <c r="AY321" t="s">
        <v>74</v>
      </c>
      <c r="AZ321" t="s">
        <v>74</v>
      </c>
      <c r="BA321" t="s">
        <v>74</v>
      </c>
      <c r="BB321" t="s">
        <v>74</v>
      </c>
      <c r="BC321" t="s">
        <v>74</v>
      </c>
      <c r="BD321">
        <v>12</v>
      </c>
      <c r="BE321" t="s">
        <v>6558</v>
      </c>
      <c r="BF321" t="str">
        <f>HYPERLINK("http://dx.doi.org/10.3389/fspas.2019.00012","http://dx.doi.org/10.3389/fspas.2019.00012")</f>
        <v>http://dx.doi.org/10.3389/fspas.2019.00012</v>
      </c>
      <c r="BG321" t="s">
        <v>74</v>
      </c>
      <c r="BH321" t="s">
        <v>74</v>
      </c>
      <c r="BI321">
        <v>13</v>
      </c>
      <c r="BJ321" t="s">
        <v>2579</v>
      </c>
      <c r="BK321" t="s">
        <v>102</v>
      </c>
      <c r="BL321" t="s">
        <v>2579</v>
      </c>
      <c r="BM321" t="s">
        <v>6559</v>
      </c>
      <c r="BN321" t="s">
        <v>74</v>
      </c>
      <c r="BO321" t="s">
        <v>1415</v>
      </c>
      <c r="BP321" t="s">
        <v>74</v>
      </c>
      <c r="BQ321" t="s">
        <v>74</v>
      </c>
      <c r="BR321" t="s">
        <v>107</v>
      </c>
      <c r="BS321" t="s">
        <v>6560</v>
      </c>
      <c r="BT321" t="str">
        <f>HYPERLINK("https%3A%2F%2Fwww.webofscience.com%2Fwos%2Fwoscc%2Ffull-record%2FWOS:000463145800001","View Full Record in Web of Science")</f>
        <v>View Full Record in Web of Science</v>
      </c>
    </row>
    <row r="322" spans="1:72" x14ac:dyDescent="0.15">
      <c r="A322" t="s">
        <v>72</v>
      </c>
      <c r="B322" t="s">
        <v>6561</v>
      </c>
      <c r="C322" t="s">
        <v>74</v>
      </c>
      <c r="D322" t="s">
        <v>74</v>
      </c>
      <c r="E322" t="s">
        <v>74</v>
      </c>
      <c r="F322" t="s">
        <v>6562</v>
      </c>
      <c r="G322" t="s">
        <v>74</v>
      </c>
      <c r="H322" t="s">
        <v>74</v>
      </c>
      <c r="I322" t="s">
        <v>6563</v>
      </c>
      <c r="J322" t="s">
        <v>6564</v>
      </c>
      <c r="K322" t="s">
        <v>74</v>
      </c>
      <c r="L322" t="s">
        <v>74</v>
      </c>
      <c r="M322" t="s">
        <v>78</v>
      </c>
      <c r="N322" t="s">
        <v>79</v>
      </c>
      <c r="O322" t="s">
        <v>74</v>
      </c>
      <c r="P322" t="s">
        <v>74</v>
      </c>
      <c r="Q322" t="s">
        <v>74</v>
      </c>
      <c r="R322" t="s">
        <v>74</v>
      </c>
      <c r="S322" t="s">
        <v>74</v>
      </c>
      <c r="T322" t="s">
        <v>6565</v>
      </c>
      <c r="U322" t="s">
        <v>6566</v>
      </c>
      <c r="V322" t="s">
        <v>6567</v>
      </c>
      <c r="W322" t="s">
        <v>6568</v>
      </c>
      <c r="X322" t="s">
        <v>6569</v>
      </c>
      <c r="Y322" t="s">
        <v>6570</v>
      </c>
      <c r="Z322" t="s">
        <v>6571</v>
      </c>
      <c r="AA322" t="s">
        <v>6572</v>
      </c>
      <c r="AB322" t="s">
        <v>6573</v>
      </c>
      <c r="AC322" t="s">
        <v>6574</v>
      </c>
      <c r="AD322" t="s">
        <v>6575</v>
      </c>
      <c r="AE322" t="s">
        <v>6576</v>
      </c>
      <c r="AF322" t="s">
        <v>74</v>
      </c>
      <c r="AG322">
        <v>70</v>
      </c>
      <c r="AH322">
        <v>25</v>
      </c>
      <c r="AI322">
        <v>28</v>
      </c>
      <c r="AJ322">
        <v>1</v>
      </c>
      <c r="AK322">
        <v>12</v>
      </c>
      <c r="AL322" t="s">
        <v>821</v>
      </c>
      <c r="AM322" t="s">
        <v>822</v>
      </c>
      <c r="AN322" t="s">
        <v>823</v>
      </c>
      <c r="AO322" t="s">
        <v>6577</v>
      </c>
      <c r="AP322" t="s">
        <v>74</v>
      </c>
      <c r="AQ322" t="s">
        <v>74</v>
      </c>
      <c r="AR322" t="s">
        <v>6578</v>
      </c>
      <c r="AS322" t="s">
        <v>6579</v>
      </c>
      <c r="AT322" t="s">
        <v>6535</v>
      </c>
      <c r="AU322">
        <v>2019</v>
      </c>
      <c r="AV322">
        <v>7</v>
      </c>
      <c r="AW322" t="s">
        <v>74</v>
      </c>
      <c r="AX322" t="s">
        <v>74</v>
      </c>
      <c r="AY322" t="s">
        <v>74</v>
      </c>
      <c r="AZ322" t="s">
        <v>74</v>
      </c>
      <c r="BA322" t="s">
        <v>74</v>
      </c>
      <c r="BB322" t="s">
        <v>74</v>
      </c>
      <c r="BC322" t="s">
        <v>74</v>
      </c>
      <c r="BD322">
        <v>76</v>
      </c>
      <c r="BE322" t="s">
        <v>6580</v>
      </c>
      <c r="BF322" t="str">
        <f>HYPERLINK("http://dx.doi.org/10.3389/fevo.2019.00076","http://dx.doi.org/10.3389/fevo.2019.00076")</f>
        <v>http://dx.doi.org/10.3389/fevo.2019.00076</v>
      </c>
      <c r="BG322" t="s">
        <v>74</v>
      </c>
      <c r="BH322" t="s">
        <v>74</v>
      </c>
      <c r="BI322">
        <v>18</v>
      </c>
      <c r="BJ322" t="s">
        <v>5763</v>
      </c>
      <c r="BK322" t="s">
        <v>102</v>
      </c>
      <c r="BL322" t="s">
        <v>2297</v>
      </c>
      <c r="BM322" t="s">
        <v>6581</v>
      </c>
      <c r="BN322" t="s">
        <v>74</v>
      </c>
      <c r="BO322" t="s">
        <v>1100</v>
      </c>
      <c r="BP322" t="s">
        <v>74</v>
      </c>
      <c r="BQ322" t="s">
        <v>74</v>
      </c>
      <c r="BR322" t="s">
        <v>107</v>
      </c>
      <c r="BS322" t="s">
        <v>6582</v>
      </c>
      <c r="BT322" t="str">
        <f>HYPERLINK("https%3A%2F%2Fwww.webofscience.com%2Fwos%2Fwoscc%2Ffull-record%2FWOS:000467409400001","View Full Record in Web of Science")</f>
        <v>View Full Record in Web of Science</v>
      </c>
    </row>
    <row r="323" spans="1:72" x14ac:dyDescent="0.15">
      <c r="A323" t="s">
        <v>72</v>
      </c>
      <c r="B323" t="s">
        <v>6583</v>
      </c>
      <c r="C323" t="s">
        <v>74</v>
      </c>
      <c r="D323" t="s">
        <v>74</v>
      </c>
      <c r="E323" t="s">
        <v>74</v>
      </c>
      <c r="F323" t="s">
        <v>6584</v>
      </c>
      <c r="G323" t="s">
        <v>74</v>
      </c>
      <c r="H323" t="s">
        <v>74</v>
      </c>
      <c r="I323" t="s">
        <v>6585</v>
      </c>
      <c r="J323" t="s">
        <v>1311</v>
      </c>
      <c r="K323" t="s">
        <v>74</v>
      </c>
      <c r="L323" t="s">
        <v>74</v>
      </c>
      <c r="M323" t="s">
        <v>78</v>
      </c>
      <c r="N323" t="s">
        <v>79</v>
      </c>
      <c r="O323" t="s">
        <v>74</v>
      </c>
      <c r="P323" t="s">
        <v>74</v>
      </c>
      <c r="Q323" t="s">
        <v>74</v>
      </c>
      <c r="R323" t="s">
        <v>74</v>
      </c>
      <c r="S323" t="s">
        <v>74</v>
      </c>
      <c r="T323" t="s">
        <v>6586</v>
      </c>
      <c r="U323" t="s">
        <v>6587</v>
      </c>
      <c r="V323" t="s">
        <v>6588</v>
      </c>
      <c r="W323" t="s">
        <v>6589</v>
      </c>
      <c r="X323" t="s">
        <v>933</v>
      </c>
      <c r="Y323" t="s">
        <v>6590</v>
      </c>
      <c r="Z323" t="s">
        <v>6591</v>
      </c>
      <c r="AA323" t="s">
        <v>6592</v>
      </c>
      <c r="AB323" t="s">
        <v>6593</v>
      </c>
      <c r="AC323" t="s">
        <v>6594</v>
      </c>
      <c r="AD323" t="s">
        <v>6595</v>
      </c>
      <c r="AE323" t="s">
        <v>6596</v>
      </c>
      <c r="AF323" t="s">
        <v>74</v>
      </c>
      <c r="AG323">
        <v>91</v>
      </c>
      <c r="AH323">
        <v>22</v>
      </c>
      <c r="AI323">
        <v>23</v>
      </c>
      <c r="AJ323">
        <v>1</v>
      </c>
      <c r="AK323">
        <v>22</v>
      </c>
      <c r="AL323" t="s">
        <v>1323</v>
      </c>
      <c r="AM323" t="s">
        <v>1324</v>
      </c>
      <c r="AN323" t="s">
        <v>1325</v>
      </c>
      <c r="AO323" t="s">
        <v>1326</v>
      </c>
      <c r="AP323" t="s">
        <v>1327</v>
      </c>
      <c r="AQ323" t="s">
        <v>74</v>
      </c>
      <c r="AR323" t="s">
        <v>1328</v>
      </c>
      <c r="AS323" t="s">
        <v>1329</v>
      </c>
      <c r="AT323" t="s">
        <v>6597</v>
      </c>
      <c r="AU323">
        <v>2019</v>
      </c>
      <c r="AV323">
        <v>613</v>
      </c>
      <c r="AW323" t="s">
        <v>74</v>
      </c>
      <c r="AX323" t="s">
        <v>74</v>
      </c>
      <c r="AY323" t="s">
        <v>74</v>
      </c>
      <c r="AZ323" t="s">
        <v>74</v>
      </c>
      <c r="BA323" t="s">
        <v>74</v>
      </c>
      <c r="BB323">
        <v>77</v>
      </c>
      <c r="BC323">
        <v>96</v>
      </c>
      <c r="BD323" t="s">
        <v>74</v>
      </c>
      <c r="BE323" t="s">
        <v>6598</v>
      </c>
      <c r="BF323" t="str">
        <f>HYPERLINK("http://dx.doi.org/10.3354/meps12887","http://dx.doi.org/10.3354/meps12887")</f>
        <v>http://dx.doi.org/10.3354/meps12887</v>
      </c>
      <c r="BG323" t="s">
        <v>74</v>
      </c>
      <c r="BH323" t="s">
        <v>74</v>
      </c>
      <c r="BI323">
        <v>20</v>
      </c>
      <c r="BJ323" t="s">
        <v>1332</v>
      </c>
      <c r="BK323" t="s">
        <v>102</v>
      </c>
      <c r="BL323" t="s">
        <v>1333</v>
      </c>
      <c r="BM323" t="s">
        <v>6599</v>
      </c>
      <c r="BN323" t="s">
        <v>74</v>
      </c>
      <c r="BO323" t="s">
        <v>6600</v>
      </c>
      <c r="BP323" t="s">
        <v>74</v>
      </c>
      <c r="BQ323" t="s">
        <v>74</v>
      </c>
      <c r="BR323" t="s">
        <v>107</v>
      </c>
      <c r="BS323" t="s">
        <v>6601</v>
      </c>
      <c r="BT323" t="str">
        <f>HYPERLINK("https%3A%2F%2Fwww.webofscience.com%2Fwos%2Fwoscc%2Ffull-record%2FWOS:000464519600005","View Full Record in Web of Science")</f>
        <v>View Full Record in Web of Science</v>
      </c>
    </row>
    <row r="324" spans="1:72" x14ac:dyDescent="0.15">
      <c r="A324" t="s">
        <v>72</v>
      </c>
      <c r="B324" t="s">
        <v>6602</v>
      </c>
      <c r="C324" t="s">
        <v>74</v>
      </c>
      <c r="D324" t="s">
        <v>74</v>
      </c>
      <c r="E324" t="s">
        <v>74</v>
      </c>
      <c r="F324" t="s">
        <v>6603</v>
      </c>
      <c r="G324" t="s">
        <v>74</v>
      </c>
      <c r="H324" t="s">
        <v>74</v>
      </c>
      <c r="I324" t="s">
        <v>6604</v>
      </c>
      <c r="J324" t="s">
        <v>856</v>
      </c>
      <c r="K324" t="s">
        <v>74</v>
      </c>
      <c r="L324" t="s">
        <v>74</v>
      </c>
      <c r="M324" t="s">
        <v>78</v>
      </c>
      <c r="N324" t="s">
        <v>79</v>
      </c>
      <c r="O324" t="s">
        <v>74</v>
      </c>
      <c r="P324" t="s">
        <v>74</v>
      </c>
      <c r="Q324" t="s">
        <v>74</v>
      </c>
      <c r="R324" t="s">
        <v>74</v>
      </c>
      <c r="S324" t="s">
        <v>74</v>
      </c>
      <c r="T324" t="s">
        <v>74</v>
      </c>
      <c r="U324" t="s">
        <v>6605</v>
      </c>
      <c r="V324" t="s">
        <v>6606</v>
      </c>
      <c r="W324" t="s">
        <v>6607</v>
      </c>
      <c r="X324" t="s">
        <v>6608</v>
      </c>
      <c r="Y324" t="s">
        <v>6609</v>
      </c>
      <c r="Z324" t="s">
        <v>6610</v>
      </c>
      <c r="AA324" t="s">
        <v>74</v>
      </c>
      <c r="AB324" t="s">
        <v>6611</v>
      </c>
      <c r="AC324" t="s">
        <v>6612</v>
      </c>
      <c r="AD324" t="s">
        <v>6613</v>
      </c>
      <c r="AE324" t="s">
        <v>6614</v>
      </c>
      <c r="AF324" t="s">
        <v>74</v>
      </c>
      <c r="AG324">
        <v>121</v>
      </c>
      <c r="AH324">
        <v>7</v>
      </c>
      <c r="AI324">
        <v>8</v>
      </c>
      <c r="AJ324">
        <v>1</v>
      </c>
      <c r="AK324">
        <v>9</v>
      </c>
      <c r="AL324" t="s">
        <v>868</v>
      </c>
      <c r="AM324" t="s">
        <v>869</v>
      </c>
      <c r="AN324" t="s">
        <v>870</v>
      </c>
      <c r="AO324" t="s">
        <v>871</v>
      </c>
      <c r="AP324" t="s">
        <v>872</v>
      </c>
      <c r="AQ324" t="s">
        <v>74</v>
      </c>
      <c r="AR324" t="s">
        <v>873</v>
      </c>
      <c r="AS324" t="s">
        <v>874</v>
      </c>
      <c r="AT324" t="s">
        <v>6597</v>
      </c>
      <c r="AU324">
        <v>2019</v>
      </c>
      <c r="AV324">
        <v>15</v>
      </c>
      <c r="AW324">
        <v>2</v>
      </c>
      <c r="AX324" t="s">
        <v>74</v>
      </c>
      <c r="AY324" t="s">
        <v>74</v>
      </c>
      <c r="AZ324" t="s">
        <v>74</v>
      </c>
      <c r="BA324" t="s">
        <v>74</v>
      </c>
      <c r="BB324">
        <v>493</v>
      </c>
      <c r="BC324">
        <v>520</v>
      </c>
      <c r="BD324" t="s">
        <v>74</v>
      </c>
      <c r="BE324" t="s">
        <v>6615</v>
      </c>
      <c r="BF324" t="str">
        <f>HYPERLINK("http://dx.doi.org/10.5194/cp-15-493-2019","http://dx.doi.org/10.5194/cp-15-493-2019")</f>
        <v>http://dx.doi.org/10.5194/cp-15-493-2019</v>
      </c>
      <c r="BG324" t="s">
        <v>74</v>
      </c>
      <c r="BH324" t="s">
        <v>74</v>
      </c>
      <c r="BI324">
        <v>28</v>
      </c>
      <c r="BJ324" t="s">
        <v>876</v>
      </c>
      <c r="BK324" t="s">
        <v>102</v>
      </c>
      <c r="BL324" t="s">
        <v>877</v>
      </c>
      <c r="BM324" t="s">
        <v>6616</v>
      </c>
      <c r="BN324" t="s">
        <v>74</v>
      </c>
      <c r="BO324" t="s">
        <v>135</v>
      </c>
      <c r="BP324" t="s">
        <v>74</v>
      </c>
      <c r="BQ324" t="s">
        <v>74</v>
      </c>
      <c r="BR324" t="s">
        <v>107</v>
      </c>
      <c r="BS324" t="s">
        <v>6617</v>
      </c>
      <c r="BT324" t="str">
        <f>HYPERLINK("https%3A%2F%2Fwww.webofscience.com%2Fwos%2Fwoscc%2Ffull-record%2FWOS:000461991900001","View Full Record in Web of Science")</f>
        <v>View Full Record in Web of Science</v>
      </c>
    </row>
    <row r="325" spans="1:72" x14ac:dyDescent="0.15">
      <c r="A325" t="s">
        <v>72</v>
      </c>
      <c r="B325" t="s">
        <v>6618</v>
      </c>
      <c r="C325" t="s">
        <v>74</v>
      </c>
      <c r="D325" t="s">
        <v>74</v>
      </c>
      <c r="E325" t="s">
        <v>74</v>
      </c>
      <c r="F325" t="s">
        <v>6619</v>
      </c>
      <c r="G325" t="s">
        <v>74</v>
      </c>
      <c r="H325" t="s">
        <v>74</v>
      </c>
      <c r="I325" t="s">
        <v>6620</v>
      </c>
      <c r="J325" t="s">
        <v>6621</v>
      </c>
      <c r="K325" t="s">
        <v>74</v>
      </c>
      <c r="L325" t="s">
        <v>74</v>
      </c>
      <c r="M325" t="s">
        <v>78</v>
      </c>
      <c r="N325" t="s">
        <v>79</v>
      </c>
      <c r="O325" t="s">
        <v>74</v>
      </c>
      <c r="P325" t="s">
        <v>74</v>
      </c>
      <c r="Q325" t="s">
        <v>74</v>
      </c>
      <c r="R325" t="s">
        <v>74</v>
      </c>
      <c r="S325" t="s">
        <v>74</v>
      </c>
      <c r="T325" t="s">
        <v>6622</v>
      </c>
      <c r="U325" t="s">
        <v>6623</v>
      </c>
      <c r="V325" t="s">
        <v>6624</v>
      </c>
      <c r="W325" t="s">
        <v>6625</v>
      </c>
      <c r="X325" t="s">
        <v>6626</v>
      </c>
      <c r="Y325" t="s">
        <v>6627</v>
      </c>
      <c r="Z325" t="s">
        <v>6628</v>
      </c>
      <c r="AA325" t="s">
        <v>6629</v>
      </c>
      <c r="AB325" t="s">
        <v>6630</v>
      </c>
      <c r="AC325" t="s">
        <v>6631</v>
      </c>
      <c r="AD325" t="s">
        <v>6631</v>
      </c>
      <c r="AE325" t="s">
        <v>6632</v>
      </c>
      <c r="AF325" t="s">
        <v>74</v>
      </c>
      <c r="AG325">
        <v>66</v>
      </c>
      <c r="AH325">
        <v>4</v>
      </c>
      <c r="AI325">
        <v>5</v>
      </c>
      <c r="AJ325">
        <v>0</v>
      </c>
      <c r="AK325">
        <v>9</v>
      </c>
      <c r="AL325" t="s">
        <v>6633</v>
      </c>
      <c r="AM325" t="s">
        <v>329</v>
      </c>
      <c r="AN325" t="s">
        <v>6634</v>
      </c>
      <c r="AO325" t="s">
        <v>6635</v>
      </c>
      <c r="AP325" t="s">
        <v>74</v>
      </c>
      <c r="AQ325" t="s">
        <v>74</v>
      </c>
      <c r="AR325" t="s">
        <v>6621</v>
      </c>
      <c r="AS325" t="s">
        <v>6636</v>
      </c>
      <c r="AT325" t="s">
        <v>6597</v>
      </c>
      <c r="AU325">
        <v>2019</v>
      </c>
      <c r="AV325">
        <v>7</v>
      </c>
      <c r="AW325" t="s">
        <v>74</v>
      </c>
      <c r="AX325" t="s">
        <v>74</v>
      </c>
      <c r="AY325" t="s">
        <v>74</v>
      </c>
      <c r="AZ325" t="s">
        <v>74</v>
      </c>
      <c r="BA325" t="s">
        <v>74</v>
      </c>
      <c r="BB325" t="s">
        <v>74</v>
      </c>
      <c r="BC325" t="s">
        <v>74</v>
      </c>
      <c r="BD325" t="s">
        <v>6637</v>
      </c>
      <c r="BE325" t="s">
        <v>6638</v>
      </c>
      <c r="BF325" t="str">
        <f>HYPERLINK("http://dx.doi.org/10.7717/peerj.6373","http://dx.doi.org/10.7717/peerj.6373")</f>
        <v>http://dx.doi.org/10.7717/peerj.6373</v>
      </c>
      <c r="BG325" t="s">
        <v>74</v>
      </c>
      <c r="BH325" t="s">
        <v>74</v>
      </c>
      <c r="BI325">
        <v>23</v>
      </c>
      <c r="BJ325" t="s">
        <v>460</v>
      </c>
      <c r="BK325" t="s">
        <v>102</v>
      </c>
      <c r="BL325" t="s">
        <v>461</v>
      </c>
      <c r="BM325" t="s">
        <v>6639</v>
      </c>
      <c r="BN325">
        <v>30923647</v>
      </c>
      <c r="BO325" t="s">
        <v>851</v>
      </c>
      <c r="BP325" t="s">
        <v>74</v>
      </c>
      <c r="BQ325" t="s">
        <v>74</v>
      </c>
      <c r="BR325" t="s">
        <v>107</v>
      </c>
      <c r="BS325" t="s">
        <v>6640</v>
      </c>
      <c r="BT325" t="str">
        <f>HYPERLINK("https%3A%2F%2Fwww.webofscience.com%2Fwos%2Fwoscc%2Ffull-record%2FWOS:000461847800002","View Full Record in Web of Science")</f>
        <v>View Full Record in Web of Science</v>
      </c>
    </row>
    <row r="326" spans="1:72" x14ac:dyDescent="0.15">
      <c r="A326" t="s">
        <v>72</v>
      </c>
      <c r="B326" t="s">
        <v>6641</v>
      </c>
      <c r="C326" t="s">
        <v>74</v>
      </c>
      <c r="D326" t="s">
        <v>74</v>
      </c>
      <c r="E326" t="s">
        <v>74</v>
      </c>
      <c r="F326" t="s">
        <v>6642</v>
      </c>
      <c r="G326" t="s">
        <v>74</v>
      </c>
      <c r="H326" t="s">
        <v>74</v>
      </c>
      <c r="I326" t="s">
        <v>6643</v>
      </c>
      <c r="J326" t="s">
        <v>2189</v>
      </c>
      <c r="K326" t="s">
        <v>74</v>
      </c>
      <c r="L326" t="s">
        <v>74</v>
      </c>
      <c r="M326" t="s">
        <v>78</v>
      </c>
      <c r="N326" t="s">
        <v>79</v>
      </c>
      <c r="O326" t="s">
        <v>74</v>
      </c>
      <c r="P326" t="s">
        <v>74</v>
      </c>
      <c r="Q326" t="s">
        <v>74</v>
      </c>
      <c r="R326" t="s">
        <v>74</v>
      </c>
      <c r="S326" t="s">
        <v>74</v>
      </c>
      <c r="T326" t="s">
        <v>6644</v>
      </c>
      <c r="U326" t="s">
        <v>6645</v>
      </c>
      <c r="V326" t="s">
        <v>6646</v>
      </c>
      <c r="W326" t="s">
        <v>6647</v>
      </c>
      <c r="X326" t="s">
        <v>6648</v>
      </c>
      <c r="Y326" t="s">
        <v>6649</v>
      </c>
      <c r="Z326" t="s">
        <v>6650</v>
      </c>
      <c r="AA326" t="s">
        <v>6651</v>
      </c>
      <c r="AB326" t="s">
        <v>6652</v>
      </c>
      <c r="AC326" t="s">
        <v>6653</v>
      </c>
      <c r="AD326" t="s">
        <v>6654</v>
      </c>
      <c r="AE326" t="s">
        <v>6655</v>
      </c>
      <c r="AF326" t="s">
        <v>74</v>
      </c>
      <c r="AG326">
        <v>96</v>
      </c>
      <c r="AH326">
        <v>7</v>
      </c>
      <c r="AI326">
        <v>10</v>
      </c>
      <c r="AJ326">
        <v>1</v>
      </c>
      <c r="AK326">
        <v>11</v>
      </c>
      <c r="AL326" t="s">
        <v>2055</v>
      </c>
      <c r="AM326" t="s">
        <v>2056</v>
      </c>
      <c r="AN326" t="s">
        <v>2057</v>
      </c>
      <c r="AO326" t="s">
        <v>2201</v>
      </c>
      <c r="AP326" t="s">
        <v>2202</v>
      </c>
      <c r="AQ326" t="s">
        <v>74</v>
      </c>
      <c r="AR326" t="s">
        <v>2203</v>
      </c>
      <c r="AS326" t="s">
        <v>2204</v>
      </c>
      <c r="AT326" t="s">
        <v>6597</v>
      </c>
      <c r="AU326">
        <v>2019</v>
      </c>
      <c r="AV326">
        <v>38</v>
      </c>
      <c r="AW326" t="s">
        <v>74</v>
      </c>
      <c r="AX326" t="s">
        <v>74</v>
      </c>
      <c r="AY326" t="s">
        <v>74</v>
      </c>
      <c r="AZ326" t="s">
        <v>74</v>
      </c>
      <c r="BA326" t="s">
        <v>74</v>
      </c>
      <c r="BB326" t="s">
        <v>74</v>
      </c>
      <c r="BC326" t="s">
        <v>74</v>
      </c>
      <c r="BD326">
        <v>3491</v>
      </c>
      <c r="BE326" t="s">
        <v>6656</v>
      </c>
      <c r="BF326" t="str">
        <f>HYPERLINK("http://dx.doi.org/10.33265/polar.v38.3491","http://dx.doi.org/10.33265/polar.v38.3491")</f>
        <v>http://dx.doi.org/10.33265/polar.v38.3491</v>
      </c>
      <c r="BG326" t="s">
        <v>74</v>
      </c>
      <c r="BH326" t="s">
        <v>74</v>
      </c>
      <c r="BI326">
        <v>15</v>
      </c>
      <c r="BJ326" t="s">
        <v>2207</v>
      </c>
      <c r="BK326" t="s">
        <v>102</v>
      </c>
      <c r="BL326" t="s">
        <v>2208</v>
      </c>
      <c r="BM326" t="s">
        <v>6657</v>
      </c>
      <c r="BN326" t="s">
        <v>74</v>
      </c>
      <c r="BO326" t="s">
        <v>1415</v>
      </c>
      <c r="BP326" t="s">
        <v>74</v>
      </c>
      <c r="BQ326" t="s">
        <v>74</v>
      </c>
      <c r="BR326" t="s">
        <v>107</v>
      </c>
      <c r="BS326" t="s">
        <v>6658</v>
      </c>
      <c r="BT326" t="str">
        <f>HYPERLINK("https%3A%2F%2Fwww.webofscience.com%2Fwos%2Fwoscc%2Ffull-record%2FWOS:000474230600001","View Full Record in Web of Science")</f>
        <v>View Full Record in Web of Science</v>
      </c>
    </row>
    <row r="327" spans="1:72" x14ac:dyDescent="0.15">
      <c r="A327" t="s">
        <v>72</v>
      </c>
      <c r="B327" t="s">
        <v>6659</v>
      </c>
      <c r="C327" t="s">
        <v>74</v>
      </c>
      <c r="D327" t="s">
        <v>74</v>
      </c>
      <c r="E327" t="s">
        <v>74</v>
      </c>
      <c r="F327" t="s">
        <v>6660</v>
      </c>
      <c r="G327" t="s">
        <v>74</v>
      </c>
      <c r="H327" t="s">
        <v>74</v>
      </c>
      <c r="I327" t="s">
        <v>6661</v>
      </c>
      <c r="J327" t="s">
        <v>6662</v>
      </c>
      <c r="K327" t="s">
        <v>74</v>
      </c>
      <c r="L327" t="s">
        <v>74</v>
      </c>
      <c r="M327" t="s">
        <v>78</v>
      </c>
      <c r="N327" t="s">
        <v>79</v>
      </c>
      <c r="O327" t="s">
        <v>74</v>
      </c>
      <c r="P327" t="s">
        <v>74</v>
      </c>
      <c r="Q327" t="s">
        <v>74</v>
      </c>
      <c r="R327" t="s">
        <v>74</v>
      </c>
      <c r="S327" t="s">
        <v>74</v>
      </c>
      <c r="T327" t="s">
        <v>6663</v>
      </c>
      <c r="U327" t="s">
        <v>6664</v>
      </c>
      <c r="V327" t="s">
        <v>6665</v>
      </c>
      <c r="W327" t="s">
        <v>6666</v>
      </c>
      <c r="X327" t="s">
        <v>6667</v>
      </c>
      <c r="Y327" t="s">
        <v>6668</v>
      </c>
      <c r="Z327" t="s">
        <v>6669</v>
      </c>
      <c r="AA327" t="s">
        <v>6670</v>
      </c>
      <c r="AB327" t="s">
        <v>6671</v>
      </c>
      <c r="AC327" t="s">
        <v>6672</v>
      </c>
      <c r="AD327" t="s">
        <v>6673</v>
      </c>
      <c r="AE327" t="s">
        <v>6674</v>
      </c>
      <c r="AF327" t="s">
        <v>74</v>
      </c>
      <c r="AG327">
        <v>30</v>
      </c>
      <c r="AH327">
        <v>2</v>
      </c>
      <c r="AI327">
        <v>2</v>
      </c>
      <c r="AJ327">
        <v>1</v>
      </c>
      <c r="AK327">
        <v>4</v>
      </c>
      <c r="AL327" t="s">
        <v>2011</v>
      </c>
      <c r="AM327" t="s">
        <v>2012</v>
      </c>
      <c r="AN327" t="s">
        <v>2013</v>
      </c>
      <c r="AO327" t="s">
        <v>74</v>
      </c>
      <c r="AP327" t="s">
        <v>6675</v>
      </c>
      <c r="AQ327" t="s">
        <v>74</v>
      </c>
      <c r="AR327" t="s">
        <v>6676</v>
      </c>
      <c r="AS327" t="s">
        <v>6677</v>
      </c>
      <c r="AT327" t="s">
        <v>6678</v>
      </c>
      <c r="AU327">
        <v>2019</v>
      </c>
      <c r="AV327">
        <v>7</v>
      </c>
      <c r="AW327">
        <v>3</v>
      </c>
      <c r="AX327" t="s">
        <v>74</v>
      </c>
      <c r="AY327" t="s">
        <v>74</v>
      </c>
      <c r="AZ327" t="s">
        <v>74</v>
      </c>
      <c r="BA327" t="s">
        <v>74</v>
      </c>
      <c r="BB327" t="s">
        <v>74</v>
      </c>
      <c r="BC327" t="s">
        <v>74</v>
      </c>
      <c r="BD327">
        <v>74</v>
      </c>
      <c r="BE327" t="s">
        <v>6679</v>
      </c>
      <c r="BF327" t="str">
        <f>HYPERLINK("http://dx.doi.org/10.3390/jmse7030074","http://dx.doi.org/10.3390/jmse7030074")</f>
        <v>http://dx.doi.org/10.3390/jmse7030074</v>
      </c>
      <c r="BG327" t="s">
        <v>74</v>
      </c>
      <c r="BH327" t="s">
        <v>74</v>
      </c>
      <c r="BI327">
        <v>18</v>
      </c>
      <c r="BJ327" t="s">
        <v>6680</v>
      </c>
      <c r="BK327" t="s">
        <v>102</v>
      </c>
      <c r="BL327" t="s">
        <v>6681</v>
      </c>
      <c r="BM327" t="s">
        <v>6682</v>
      </c>
      <c r="BN327" t="s">
        <v>74</v>
      </c>
      <c r="BO327" t="s">
        <v>1415</v>
      </c>
      <c r="BP327" t="s">
        <v>74</v>
      </c>
      <c r="BQ327" t="s">
        <v>74</v>
      </c>
      <c r="BR327" t="s">
        <v>107</v>
      </c>
      <c r="BS327" t="s">
        <v>6683</v>
      </c>
      <c r="BT327" t="str">
        <f>HYPERLINK("https%3A%2F%2Fwww.webofscience.com%2Fwos%2Fwoscc%2Ffull-record%2FWOS:000464406300002","View Full Record in Web of Science")</f>
        <v>View Full Record in Web of Science</v>
      </c>
    </row>
    <row r="328" spans="1:72" x14ac:dyDescent="0.15">
      <c r="A328" t="s">
        <v>72</v>
      </c>
      <c r="B328" t="s">
        <v>6684</v>
      </c>
      <c r="C328" t="s">
        <v>74</v>
      </c>
      <c r="D328" t="s">
        <v>74</v>
      </c>
      <c r="E328" t="s">
        <v>74</v>
      </c>
      <c r="F328" t="s">
        <v>6685</v>
      </c>
      <c r="G328" t="s">
        <v>74</v>
      </c>
      <c r="H328" t="s">
        <v>74</v>
      </c>
      <c r="I328" t="s">
        <v>6686</v>
      </c>
      <c r="J328" t="s">
        <v>1166</v>
      </c>
      <c r="K328" t="s">
        <v>74</v>
      </c>
      <c r="L328" t="s">
        <v>74</v>
      </c>
      <c r="M328" t="s">
        <v>78</v>
      </c>
      <c r="N328" t="s">
        <v>79</v>
      </c>
      <c r="O328" t="s">
        <v>74</v>
      </c>
      <c r="P328" t="s">
        <v>74</v>
      </c>
      <c r="Q328" t="s">
        <v>74</v>
      </c>
      <c r="R328" t="s">
        <v>74</v>
      </c>
      <c r="S328" t="s">
        <v>74</v>
      </c>
      <c r="T328" t="s">
        <v>6687</v>
      </c>
      <c r="U328" t="s">
        <v>6688</v>
      </c>
      <c r="V328" t="s">
        <v>6689</v>
      </c>
      <c r="W328" t="s">
        <v>6690</v>
      </c>
      <c r="X328" t="s">
        <v>6691</v>
      </c>
      <c r="Y328" t="s">
        <v>6692</v>
      </c>
      <c r="Z328" t="s">
        <v>6693</v>
      </c>
      <c r="AA328" t="s">
        <v>6694</v>
      </c>
      <c r="AB328" t="s">
        <v>6695</v>
      </c>
      <c r="AC328" t="s">
        <v>6696</v>
      </c>
      <c r="AD328" t="s">
        <v>6697</v>
      </c>
      <c r="AE328" t="s">
        <v>6698</v>
      </c>
      <c r="AF328" t="s">
        <v>74</v>
      </c>
      <c r="AG328">
        <v>102</v>
      </c>
      <c r="AH328">
        <v>9</v>
      </c>
      <c r="AI328">
        <v>10</v>
      </c>
      <c r="AJ328">
        <v>0</v>
      </c>
      <c r="AK328">
        <v>12</v>
      </c>
      <c r="AL328" t="s">
        <v>634</v>
      </c>
      <c r="AM328" t="s">
        <v>635</v>
      </c>
      <c r="AN328" t="s">
        <v>636</v>
      </c>
      <c r="AO328" t="s">
        <v>1179</v>
      </c>
      <c r="AP328" t="s">
        <v>1180</v>
      </c>
      <c r="AQ328" t="s">
        <v>74</v>
      </c>
      <c r="AR328" t="s">
        <v>1181</v>
      </c>
      <c r="AS328" t="s">
        <v>1182</v>
      </c>
      <c r="AT328" t="s">
        <v>6678</v>
      </c>
      <c r="AU328">
        <v>2019</v>
      </c>
      <c r="AV328">
        <v>210</v>
      </c>
      <c r="AW328" t="s">
        <v>74</v>
      </c>
      <c r="AX328" t="s">
        <v>74</v>
      </c>
      <c r="AY328" t="s">
        <v>74</v>
      </c>
      <c r="AZ328" t="s">
        <v>74</v>
      </c>
      <c r="BA328" t="s">
        <v>74</v>
      </c>
      <c r="BB328">
        <v>34</v>
      </c>
      <c r="BC328">
        <v>47</v>
      </c>
      <c r="BD328" t="s">
        <v>74</v>
      </c>
      <c r="BE328" t="s">
        <v>6699</v>
      </c>
      <c r="BF328" t="str">
        <f>HYPERLINK("http://dx.doi.org/10.1016/j.marchem.2019.02.004","http://dx.doi.org/10.1016/j.marchem.2019.02.004")</f>
        <v>http://dx.doi.org/10.1016/j.marchem.2019.02.004</v>
      </c>
      <c r="BG328" t="s">
        <v>74</v>
      </c>
      <c r="BH328" t="s">
        <v>74</v>
      </c>
      <c r="BI328">
        <v>14</v>
      </c>
      <c r="BJ328" t="s">
        <v>1185</v>
      </c>
      <c r="BK328" t="s">
        <v>102</v>
      </c>
      <c r="BL328" t="s">
        <v>1186</v>
      </c>
      <c r="BM328" t="s">
        <v>6700</v>
      </c>
      <c r="BN328" t="s">
        <v>74</v>
      </c>
      <c r="BO328" t="s">
        <v>6701</v>
      </c>
      <c r="BP328" t="s">
        <v>74</v>
      </c>
      <c r="BQ328" t="s">
        <v>74</v>
      </c>
      <c r="BR328" t="s">
        <v>107</v>
      </c>
      <c r="BS328" t="s">
        <v>6702</v>
      </c>
      <c r="BT328" t="str">
        <f>HYPERLINK("https%3A%2F%2Fwww.webofscience.com%2Fwos%2Fwoscc%2Ffull-record%2FWOS:000463309800004","View Full Record in Web of Science")</f>
        <v>View Full Record in Web of Science</v>
      </c>
    </row>
    <row r="329" spans="1:72" x14ac:dyDescent="0.15">
      <c r="A329" t="s">
        <v>72</v>
      </c>
      <c r="B329" t="s">
        <v>6703</v>
      </c>
      <c r="C329" t="s">
        <v>74</v>
      </c>
      <c r="D329" t="s">
        <v>74</v>
      </c>
      <c r="E329" t="s">
        <v>74</v>
      </c>
      <c r="F329" t="s">
        <v>6704</v>
      </c>
      <c r="G329" t="s">
        <v>74</v>
      </c>
      <c r="H329" t="s">
        <v>74</v>
      </c>
      <c r="I329" t="s">
        <v>6705</v>
      </c>
      <c r="J329" t="s">
        <v>1166</v>
      </c>
      <c r="K329" t="s">
        <v>74</v>
      </c>
      <c r="L329" t="s">
        <v>74</v>
      </c>
      <c r="M329" t="s">
        <v>78</v>
      </c>
      <c r="N329" t="s">
        <v>6706</v>
      </c>
      <c r="O329" t="s">
        <v>74</v>
      </c>
      <c r="P329" t="s">
        <v>74</v>
      </c>
      <c r="Q329" t="s">
        <v>74</v>
      </c>
      <c r="R329" t="s">
        <v>74</v>
      </c>
      <c r="S329" t="s">
        <v>74</v>
      </c>
      <c r="T329" t="s">
        <v>74</v>
      </c>
      <c r="U329" t="s">
        <v>74</v>
      </c>
      <c r="V329" t="s">
        <v>74</v>
      </c>
      <c r="W329" t="s">
        <v>6707</v>
      </c>
      <c r="X329" t="s">
        <v>6708</v>
      </c>
      <c r="Y329" t="s">
        <v>6709</v>
      </c>
      <c r="Z329" t="s">
        <v>74</v>
      </c>
      <c r="AA329" t="s">
        <v>6710</v>
      </c>
      <c r="AB329" t="s">
        <v>74</v>
      </c>
      <c r="AC329" t="s">
        <v>74</v>
      </c>
      <c r="AD329" t="s">
        <v>74</v>
      </c>
      <c r="AE329" t="s">
        <v>74</v>
      </c>
      <c r="AF329" t="s">
        <v>74</v>
      </c>
      <c r="AG329">
        <v>1</v>
      </c>
      <c r="AH329">
        <v>1</v>
      </c>
      <c r="AI329">
        <v>1</v>
      </c>
      <c r="AJ329">
        <v>2</v>
      </c>
      <c r="AK329">
        <v>3</v>
      </c>
      <c r="AL329" t="s">
        <v>662</v>
      </c>
      <c r="AM329" t="s">
        <v>635</v>
      </c>
      <c r="AN329" t="s">
        <v>663</v>
      </c>
      <c r="AO329" t="s">
        <v>1179</v>
      </c>
      <c r="AP329" t="s">
        <v>1180</v>
      </c>
      <c r="AQ329" t="s">
        <v>74</v>
      </c>
      <c r="AR329" t="s">
        <v>1181</v>
      </c>
      <c r="AS329" t="s">
        <v>1182</v>
      </c>
      <c r="AT329" t="s">
        <v>6678</v>
      </c>
      <c r="AU329">
        <v>2019</v>
      </c>
      <c r="AV329">
        <v>210</v>
      </c>
      <c r="AW329" t="s">
        <v>74</v>
      </c>
      <c r="AX329" t="s">
        <v>74</v>
      </c>
      <c r="AY329" t="s">
        <v>74</v>
      </c>
      <c r="AZ329" t="s">
        <v>74</v>
      </c>
      <c r="BA329" t="s">
        <v>74</v>
      </c>
      <c r="BB329">
        <v>72</v>
      </c>
      <c r="BC329">
        <v>72</v>
      </c>
      <c r="BD329" t="s">
        <v>74</v>
      </c>
      <c r="BE329" t="s">
        <v>6711</v>
      </c>
      <c r="BF329" t="str">
        <f>HYPERLINK("http://dx.doi.org/10.1016/j.marchem.2018.09.004","http://dx.doi.org/10.1016/j.marchem.2018.09.004")</f>
        <v>http://dx.doi.org/10.1016/j.marchem.2018.09.004</v>
      </c>
      <c r="BG329" t="s">
        <v>74</v>
      </c>
      <c r="BH329" t="s">
        <v>74</v>
      </c>
      <c r="BI329">
        <v>1</v>
      </c>
      <c r="BJ329" t="s">
        <v>1185</v>
      </c>
      <c r="BK329" t="s">
        <v>102</v>
      </c>
      <c r="BL329" t="s">
        <v>1186</v>
      </c>
      <c r="BM329" t="s">
        <v>6700</v>
      </c>
      <c r="BN329" t="s">
        <v>74</v>
      </c>
      <c r="BO329" t="s">
        <v>74</v>
      </c>
      <c r="BP329" t="s">
        <v>74</v>
      </c>
      <c r="BQ329" t="s">
        <v>74</v>
      </c>
      <c r="BR329" t="s">
        <v>107</v>
      </c>
      <c r="BS329" t="s">
        <v>6712</v>
      </c>
      <c r="BT329" t="str">
        <f>HYPERLINK("https%3A%2F%2Fwww.webofscience.com%2Fwos%2Fwoscc%2Ffull-record%2FWOS:000463309800007","View Full Record in Web of Science")</f>
        <v>View Full Record in Web of Science</v>
      </c>
    </row>
    <row r="330" spans="1:72" x14ac:dyDescent="0.15">
      <c r="A330" t="s">
        <v>72</v>
      </c>
      <c r="B330" t="s">
        <v>6713</v>
      </c>
      <c r="C330" t="s">
        <v>74</v>
      </c>
      <c r="D330" t="s">
        <v>74</v>
      </c>
      <c r="E330" t="s">
        <v>74</v>
      </c>
      <c r="F330" t="s">
        <v>6714</v>
      </c>
      <c r="G330" t="s">
        <v>74</v>
      </c>
      <c r="H330" t="s">
        <v>74</v>
      </c>
      <c r="I330" t="s">
        <v>6715</v>
      </c>
      <c r="J330" t="s">
        <v>6716</v>
      </c>
      <c r="K330" t="s">
        <v>74</v>
      </c>
      <c r="L330" t="s">
        <v>74</v>
      </c>
      <c r="M330" t="s">
        <v>78</v>
      </c>
      <c r="N330" t="s">
        <v>79</v>
      </c>
      <c r="O330" t="s">
        <v>74</v>
      </c>
      <c r="P330" t="s">
        <v>74</v>
      </c>
      <c r="Q330" t="s">
        <v>74</v>
      </c>
      <c r="R330" t="s">
        <v>74</v>
      </c>
      <c r="S330" t="s">
        <v>74</v>
      </c>
      <c r="T330" t="s">
        <v>6717</v>
      </c>
      <c r="U330" t="s">
        <v>6718</v>
      </c>
      <c r="V330" t="s">
        <v>6719</v>
      </c>
      <c r="W330" t="s">
        <v>6720</v>
      </c>
      <c r="X330" t="s">
        <v>5025</v>
      </c>
      <c r="Y330" t="s">
        <v>6721</v>
      </c>
      <c r="Z330" t="s">
        <v>6722</v>
      </c>
      <c r="AA330" t="s">
        <v>6723</v>
      </c>
      <c r="AB330" t="s">
        <v>6724</v>
      </c>
      <c r="AC330" t="s">
        <v>6725</v>
      </c>
      <c r="AD330" t="s">
        <v>6726</v>
      </c>
      <c r="AE330" t="s">
        <v>6727</v>
      </c>
      <c r="AF330" t="s">
        <v>74</v>
      </c>
      <c r="AG330">
        <v>52</v>
      </c>
      <c r="AH330">
        <v>16</v>
      </c>
      <c r="AI330">
        <v>20</v>
      </c>
      <c r="AJ330">
        <v>6</v>
      </c>
      <c r="AK330">
        <v>49</v>
      </c>
      <c r="AL330" t="s">
        <v>1486</v>
      </c>
      <c r="AM330" t="s">
        <v>126</v>
      </c>
      <c r="AN330" t="s">
        <v>1487</v>
      </c>
      <c r="AO330" t="s">
        <v>6728</v>
      </c>
      <c r="AP330" t="s">
        <v>6729</v>
      </c>
      <c r="AQ330" t="s">
        <v>74</v>
      </c>
      <c r="AR330" t="s">
        <v>6730</v>
      </c>
      <c r="AS330" t="s">
        <v>6731</v>
      </c>
      <c r="AT330" t="s">
        <v>6678</v>
      </c>
      <c r="AU330">
        <v>2019</v>
      </c>
      <c r="AV330">
        <v>67</v>
      </c>
      <c r="AW330">
        <v>11</v>
      </c>
      <c r="AX330" t="s">
        <v>74</v>
      </c>
      <c r="AY330" t="s">
        <v>74</v>
      </c>
      <c r="AZ330" t="s">
        <v>74</v>
      </c>
      <c r="BA330" t="s">
        <v>74</v>
      </c>
      <c r="BB330">
        <v>3125</v>
      </c>
      <c r="BC330">
        <v>3133</v>
      </c>
      <c r="BD330" t="s">
        <v>74</v>
      </c>
      <c r="BE330" t="s">
        <v>6732</v>
      </c>
      <c r="BF330" t="str">
        <f>HYPERLINK("http://dx.doi.org/10.1021/acs.jafc.8b05841","http://dx.doi.org/10.1021/acs.jafc.8b05841")</f>
        <v>http://dx.doi.org/10.1021/acs.jafc.8b05841</v>
      </c>
      <c r="BG330" t="s">
        <v>74</v>
      </c>
      <c r="BH330" t="s">
        <v>74</v>
      </c>
      <c r="BI330">
        <v>9</v>
      </c>
      <c r="BJ330" t="s">
        <v>6733</v>
      </c>
      <c r="BK330" t="s">
        <v>102</v>
      </c>
      <c r="BL330" t="s">
        <v>6734</v>
      </c>
      <c r="BM330" t="s">
        <v>6735</v>
      </c>
      <c r="BN330">
        <v>30798606</v>
      </c>
      <c r="BO330" t="s">
        <v>74</v>
      </c>
      <c r="BP330" t="s">
        <v>74</v>
      </c>
      <c r="BQ330" t="s">
        <v>74</v>
      </c>
      <c r="BR330" t="s">
        <v>107</v>
      </c>
      <c r="BS330" t="s">
        <v>6736</v>
      </c>
      <c r="BT330" t="str">
        <f>HYPERLINK("https%3A%2F%2Fwww.webofscience.com%2Fwos%2Fwoscc%2Ffull-record%2FWOS:000462260500007","View Full Record in Web of Science")</f>
        <v>View Full Record in Web of Science</v>
      </c>
    </row>
    <row r="331" spans="1:72" x14ac:dyDescent="0.15">
      <c r="A331" t="s">
        <v>72</v>
      </c>
      <c r="B331" t="s">
        <v>6737</v>
      </c>
      <c r="C331" t="s">
        <v>74</v>
      </c>
      <c r="D331" t="s">
        <v>74</v>
      </c>
      <c r="E331" t="s">
        <v>74</v>
      </c>
      <c r="F331" t="s">
        <v>6738</v>
      </c>
      <c r="G331" t="s">
        <v>74</v>
      </c>
      <c r="H331" t="s">
        <v>74</v>
      </c>
      <c r="I331" t="s">
        <v>6739</v>
      </c>
      <c r="J331" t="s">
        <v>1042</v>
      </c>
      <c r="K331" t="s">
        <v>74</v>
      </c>
      <c r="L331" t="s">
        <v>74</v>
      </c>
      <c r="M331" t="s">
        <v>78</v>
      </c>
      <c r="N331" t="s">
        <v>79</v>
      </c>
      <c r="O331" t="s">
        <v>74</v>
      </c>
      <c r="P331" t="s">
        <v>74</v>
      </c>
      <c r="Q331" t="s">
        <v>74</v>
      </c>
      <c r="R331" t="s">
        <v>74</v>
      </c>
      <c r="S331" t="s">
        <v>74</v>
      </c>
      <c r="T331" t="s">
        <v>74</v>
      </c>
      <c r="U331" t="s">
        <v>6740</v>
      </c>
      <c r="V331" t="s">
        <v>6741</v>
      </c>
      <c r="W331" t="s">
        <v>6742</v>
      </c>
      <c r="X331" t="s">
        <v>6743</v>
      </c>
      <c r="Y331" t="s">
        <v>6744</v>
      </c>
      <c r="Z331" t="s">
        <v>6745</v>
      </c>
      <c r="AA331" t="s">
        <v>6746</v>
      </c>
      <c r="AB331" t="s">
        <v>6747</v>
      </c>
      <c r="AC331" t="s">
        <v>6748</v>
      </c>
      <c r="AD331" t="s">
        <v>6749</v>
      </c>
      <c r="AE331" t="s">
        <v>6750</v>
      </c>
      <c r="AF331" t="s">
        <v>74</v>
      </c>
      <c r="AG331">
        <v>47</v>
      </c>
      <c r="AH331">
        <v>3</v>
      </c>
      <c r="AI331">
        <v>3</v>
      </c>
      <c r="AJ331">
        <v>1</v>
      </c>
      <c r="AK331">
        <v>4</v>
      </c>
      <c r="AL331" t="s">
        <v>868</v>
      </c>
      <c r="AM331" t="s">
        <v>869</v>
      </c>
      <c r="AN331" t="s">
        <v>870</v>
      </c>
      <c r="AO331" t="s">
        <v>1054</v>
      </c>
      <c r="AP331" t="s">
        <v>1055</v>
      </c>
      <c r="AQ331" t="s">
        <v>74</v>
      </c>
      <c r="AR331" t="s">
        <v>1056</v>
      </c>
      <c r="AS331" t="s">
        <v>1057</v>
      </c>
      <c r="AT331" t="s">
        <v>6678</v>
      </c>
      <c r="AU331">
        <v>2019</v>
      </c>
      <c r="AV331">
        <v>19</v>
      </c>
      <c r="AW331">
        <v>6</v>
      </c>
      <c r="AX331" t="s">
        <v>74</v>
      </c>
      <c r="AY331" t="s">
        <v>74</v>
      </c>
      <c r="AZ331" t="s">
        <v>74</v>
      </c>
      <c r="BA331" t="s">
        <v>74</v>
      </c>
      <c r="BB331">
        <v>3481</v>
      </c>
      <c r="BC331">
        <v>3492</v>
      </c>
      <c r="BD331" t="s">
        <v>74</v>
      </c>
      <c r="BE331" t="s">
        <v>6751</v>
      </c>
      <c r="BF331" t="str">
        <f>HYPERLINK("http://dx.doi.org/10.5194/acp-19-3481-2019","http://dx.doi.org/10.5194/acp-19-3481-2019")</f>
        <v>http://dx.doi.org/10.5194/acp-19-3481-2019</v>
      </c>
      <c r="BG331" t="s">
        <v>74</v>
      </c>
      <c r="BH331" t="s">
        <v>74</v>
      </c>
      <c r="BI331">
        <v>12</v>
      </c>
      <c r="BJ331" t="s">
        <v>1060</v>
      </c>
      <c r="BK331" t="s">
        <v>102</v>
      </c>
      <c r="BL331" t="s">
        <v>338</v>
      </c>
      <c r="BM331" t="s">
        <v>6752</v>
      </c>
      <c r="BN331" t="s">
        <v>74</v>
      </c>
      <c r="BO331" t="s">
        <v>6753</v>
      </c>
      <c r="BP331" t="s">
        <v>74</v>
      </c>
      <c r="BQ331" t="s">
        <v>74</v>
      </c>
      <c r="BR331" t="s">
        <v>107</v>
      </c>
      <c r="BS331" t="s">
        <v>6754</v>
      </c>
      <c r="BT331" t="str">
        <f>HYPERLINK("https%3A%2F%2Fwww.webofscience.com%2Fwos%2Fwoscc%2Ffull-record%2FWOS:000461782400001","View Full Record in Web of Science")</f>
        <v>View Full Record in Web of Science</v>
      </c>
    </row>
    <row r="332" spans="1:72" x14ac:dyDescent="0.15">
      <c r="A332" t="s">
        <v>72</v>
      </c>
      <c r="B332" t="s">
        <v>6755</v>
      </c>
      <c r="C332" t="s">
        <v>74</v>
      </c>
      <c r="D332" t="s">
        <v>74</v>
      </c>
      <c r="E332" t="s">
        <v>74</v>
      </c>
      <c r="F332" t="s">
        <v>6756</v>
      </c>
      <c r="G332" t="s">
        <v>74</v>
      </c>
      <c r="H332" t="s">
        <v>74</v>
      </c>
      <c r="I332" t="s">
        <v>6757</v>
      </c>
      <c r="J332" t="s">
        <v>6758</v>
      </c>
      <c r="K332" t="s">
        <v>74</v>
      </c>
      <c r="L332" t="s">
        <v>74</v>
      </c>
      <c r="M332" t="s">
        <v>78</v>
      </c>
      <c r="N332" t="s">
        <v>469</v>
      </c>
      <c r="O332" t="s">
        <v>74</v>
      </c>
      <c r="P332" t="s">
        <v>74</v>
      </c>
      <c r="Q332" t="s">
        <v>74</v>
      </c>
      <c r="R332" t="s">
        <v>74</v>
      </c>
      <c r="S332" t="s">
        <v>74</v>
      </c>
      <c r="T332" t="s">
        <v>6759</v>
      </c>
      <c r="U332" t="s">
        <v>6760</v>
      </c>
      <c r="V332" t="s">
        <v>6761</v>
      </c>
      <c r="W332" t="s">
        <v>6762</v>
      </c>
      <c r="X332" t="s">
        <v>6763</v>
      </c>
      <c r="Y332" t="s">
        <v>6764</v>
      </c>
      <c r="Z332" t="s">
        <v>6765</v>
      </c>
      <c r="AA332" t="s">
        <v>6766</v>
      </c>
      <c r="AB332" t="s">
        <v>6767</v>
      </c>
      <c r="AC332" t="s">
        <v>6768</v>
      </c>
      <c r="AD332" t="s">
        <v>6769</v>
      </c>
      <c r="AE332" t="s">
        <v>6770</v>
      </c>
      <c r="AF332" t="s">
        <v>74</v>
      </c>
      <c r="AG332">
        <v>67</v>
      </c>
      <c r="AH332">
        <v>46</v>
      </c>
      <c r="AI332">
        <v>48</v>
      </c>
      <c r="AJ332">
        <v>4</v>
      </c>
      <c r="AK332">
        <v>56</v>
      </c>
      <c r="AL332" t="s">
        <v>2011</v>
      </c>
      <c r="AM332" t="s">
        <v>2012</v>
      </c>
      <c r="AN332" t="s">
        <v>2013</v>
      </c>
      <c r="AO332" t="s">
        <v>74</v>
      </c>
      <c r="AP332" t="s">
        <v>6771</v>
      </c>
      <c r="AQ332" t="s">
        <v>74</v>
      </c>
      <c r="AR332" t="s">
        <v>6758</v>
      </c>
      <c r="AS332" t="s">
        <v>6772</v>
      </c>
      <c r="AT332" t="s">
        <v>6773</v>
      </c>
      <c r="AU332">
        <v>2019</v>
      </c>
      <c r="AV332">
        <v>11</v>
      </c>
      <c r="AW332">
        <v>3</v>
      </c>
      <c r="AX332" t="s">
        <v>74</v>
      </c>
      <c r="AY332" t="s">
        <v>74</v>
      </c>
      <c r="AZ332" t="s">
        <v>74</v>
      </c>
      <c r="BA332" t="s">
        <v>74</v>
      </c>
      <c r="BB332" t="s">
        <v>74</v>
      </c>
      <c r="BC332" t="s">
        <v>74</v>
      </c>
      <c r="BD332">
        <v>42</v>
      </c>
      <c r="BE332" t="s">
        <v>6774</v>
      </c>
      <c r="BF332" t="str">
        <f>HYPERLINK("http://dx.doi.org/10.3390/d11030042","http://dx.doi.org/10.3390/d11030042")</f>
        <v>http://dx.doi.org/10.3390/d11030042</v>
      </c>
      <c r="BG332" t="s">
        <v>74</v>
      </c>
      <c r="BH332" t="s">
        <v>74</v>
      </c>
      <c r="BI332">
        <v>14</v>
      </c>
      <c r="BJ332" t="s">
        <v>5131</v>
      </c>
      <c r="BK332" t="s">
        <v>102</v>
      </c>
      <c r="BL332" t="s">
        <v>5065</v>
      </c>
      <c r="BM332" t="s">
        <v>6775</v>
      </c>
      <c r="BN332" t="s">
        <v>74</v>
      </c>
      <c r="BO332" t="s">
        <v>3241</v>
      </c>
      <c r="BP332" t="s">
        <v>74</v>
      </c>
      <c r="BQ332" t="s">
        <v>74</v>
      </c>
      <c r="BR332" t="s">
        <v>107</v>
      </c>
      <c r="BS332" t="s">
        <v>6776</v>
      </c>
      <c r="BT332" t="str">
        <f>HYPERLINK("https%3A%2F%2Fwww.webofscience.com%2Fwos%2Fwoscc%2Ffull-record%2FWOS:000464381500002","View Full Record in Web of Science")</f>
        <v>View Full Record in Web of Science</v>
      </c>
    </row>
    <row r="333" spans="1:72" x14ac:dyDescent="0.15">
      <c r="A333" t="s">
        <v>72</v>
      </c>
      <c r="B333" t="s">
        <v>6777</v>
      </c>
      <c r="C333" t="s">
        <v>74</v>
      </c>
      <c r="D333" t="s">
        <v>74</v>
      </c>
      <c r="E333" t="s">
        <v>74</v>
      </c>
      <c r="F333" t="s">
        <v>6778</v>
      </c>
      <c r="G333" t="s">
        <v>74</v>
      </c>
      <c r="H333" t="s">
        <v>6779</v>
      </c>
      <c r="I333" t="s">
        <v>6780</v>
      </c>
      <c r="J333" t="s">
        <v>6781</v>
      </c>
      <c r="K333" t="s">
        <v>74</v>
      </c>
      <c r="L333" t="s">
        <v>74</v>
      </c>
      <c r="M333" t="s">
        <v>78</v>
      </c>
      <c r="N333" t="s">
        <v>469</v>
      </c>
      <c r="O333" t="s">
        <v>74</v>
      </c>
      <c r="P333" t="s">
        <v>74</v>
      </c>
      <c r="Q333" t="s">
        <v>74</v>
      </c>
      <c r="R333" t="s">
        <v>74</v>
      </c>
      <c r="S333" t="s">
        <v>74</v>
      </c>
      <c r="T333" t="s">
        <v>6782</v>
      </c>
      <c r="U333" t="s">
        <v>6783</v>
      </c>
      <c r="V333" t="s">
        <v>6784</v>
      </c>
      <c r="W333" t="s">
        <v>6785</v>
      </c>
      <c r="X333" t="s">
        <v>6786</v>
      </c>
      <c r="Y333" t="s">
        <v>6787</v>
      </c>
      <c r="Z333" t="s">
        <v>6788</v>
      </c>
      <c r="AA333" t="s">
        <v>6789</v>
      </c>
      <c r="AB333" t="s">
        <v>6790</v>
      </c>
      <c r="AC333" t="s">
        <v>6791</v>
      </c>
      <c r="AD333" t="s">
        <v>6792</v>
      </c>
      <c r="AE333" t="s">
        <v>6793</v>
      </c>
      <c r="AF333" t="s">
        <v>74</v>
      </c>
      <c r="AG333">
        <v>66</v>
      </c>
      <c r="AH333">
        <v>2</v>
      </c>
      <c r="AI333">
        <v>2</v>
      </c>
      <c r="AJ333">
        <v>0</v>
      </c>
      <c r="AK333">
        <v>5</v>
      </c>
      <c r="AL333" t="s">
        <v>2011</v>
      </c>
      <c r="AM333" t="s">
        <v>2012</v>
      </c>
      <c r="AN333" t="s">
        <v>2013</v>
      </c>
      <c r="AO333" t="s">
        <v>74</v>
      </c>
      <c r="AP333" t="s">
        <v>6794</v>
      </c>
      <c r="AQ333" t="s">
        <v>74</v>
      </c>
      <c r="AR333" t="s">
        <v>6781</v>
      </c>
      <c r="AS333" t="s">
        <v>6795</v>
      </c>
      <c r="AT333" t="s">
        <v>6773</v>
      </c>
      <c r="AU333">
        <v>2019</v>
      </c>
      <c r="AV333">
        <v>7</v>
      </c>
      <c r="AW333">
        <v>1</v>
      </c>
      <c r="AX333" t="s">
        <v>74</v>
      </c>
      <c r="AY333" t="s">
        <v>74</v>
      </c>
      <c r="AZ333" t="s">
        <v>74</v>
      </c>
      <c r="BA333" t="s">
        <v>74</v>
      </c>
      <c r="BB333" t="s">
        <v>74</v>
      </c>
      <c r="BC333" t="s">
        <v>74</v>
      </c>
      <c r="BD333">
        <v>40</v>
      </c>
      <c r="BE333" t="s">
        <v>6796</v>
      </c>
      <c r="BF333" t="str">
        <f>HYPERLINK("http://dx.doi.org/10.3390/galaxies7010040","http://dx.doi.org/10.3390/galaxies7010040")</f>
        <v>http://dx.doi.org/10.3390/galaxies7010040</v>
      </c>
      <c r="BG333" t="s">
        <v>74</v>
      </c>
      <c r="BH333" t="s">
        <v>74</v>
      </c>
      <c r="BI333">
        <v>14</v>
      </c>
      <c r="BJ333" t="s">
        <v>2579</v>
      </c>
      <c r="BK333" t="s">
        <v>2712</v>
      </c>
      <c r="BL333" t="s">
        <v>2579</v>
      </c>
      <c r="BM333" t="s">
        <v>6797</v>
      </c>
      <c r="BN333" t="s">
        <v>74</v>
      </c>
      <c r="BO333" t="s">
        <v>879</v>
      </c>
      <c r="BP333" t="s">
        <v>74</v>
      </c>
      <c r="BQ333" t="s">
        <v>74</v>
      </c>
      <c r="BR333" t="s">
        <v>107</v>
      </c>
      <c r="BS333" t="s">
        <v>6798</v>
      </c>
      <c r="BT333" t="str">
        <f>HYPERLINK("https%3A%2F%2Fwww.webofscience.com%2Fwos%2Fwoscc%2Ffull-record%2FWOS:000464084400001","View Full Record in Web of Science")</f>
        <v>View Full Record in Web of Science</v>
      </c>
    </row>
    <row r="334" spans="1:72" x14ac:dyDescent="0.15">
      <c r="A334" t="s">
        <v>72</v>
      </c>
      <c r="B334" t="s">
        <v>6799</v>
      </c>
      <c r="C334" t="s">
        <v>74</v>
      </c>
      <c r="D334" t="s">
        <v>74</v>
      </c>
      <c r="E334" t="s">
        <v>74</v>
      </c>
      <c r="F334" t="s">
        <v>6800</v>
      </c>
      <c r="G334" t="s">
        <v>74</v>
      </c>
      <c r="H334" t="s">
        <v>74</v>
      </c>
      <c r="I334" t="s">
        <v>6801</v>
      </c>
      <c r="J334" t="s">
        <v>6802</v>
      </c>
      <c r="K334" t="s">
        <v>74</v>
      </c>
      <c r="L334" t="s">
        <v>74</v>
      </c>
      <c r="M334" t="s">
        <v>78</v>
      </c>
      <c r="N334" t="s">
        <v>79</v>
      </c>
      <c r="O334" t="s">
        <v>74</v>
      </c>
      <c r="P334" t="s">
        <v>74</v>
      </c>
      <c r="Q334" t="s">
        <v>74</v>
      </c>
      <c r="R334" t="s">
        <v>74</v>
      </c>
      <c r="S334" t="s">
        <v>74</v>
      </c>
      <c r="T334" t="s">
        <v>6803</v>
      </c>
      <c r="U334" t="s">
        <v>6804</v>
      </c>
      <c r="V334" t="s">
        <v>6805</v>
      </c>
      <c r="W334" t="s">
        <v>6806</v>
      </c>
      <c r="X334" t="s">
        <v>6807</v>
      </c>
      <c r="Y334" t="s">
        <v>6808</v>
      </c>
      <c r="Z334" t="s">
        <v>6809</v>
      </c>
      <c r="AA334" t="s">
        <v>6810</v>
      </c>
      <c r="AB334" t="s">
        <v>6811</v>
      </c>
      <c r="AC334" t="s">
        <v>6812</v>
      </c>
      <c r="AD334" t="s">
        <v>6813</v>
      </c>
      <c r="AE334" t="s">
        <v>6814</v>
      </c>
      <c r="AF334" t="s">
        <v>74</v>
      </c>
      <c r="AG334">
        <v>21</v>
      </c>
      <c r="AH334">
        <v>0</v>
      </c>
      <c r="AI334">
        <v>0</v>
      </c>
      <c r="AJ334">
        <v>0</v>
      </c>
      <c r="AK334">
        <v>1</v>
      </c>
      <c r="AL334" t="s">
        <v>6815</v>
      </c>
      <c r="AM334" t="s">
        <v>6816</v>
      </c>
      <c r="AN334" t="s">
        <v>6817</v>
      </c>
      <c r="AO334" t="s">
        <v>6818</v>
      </c>
      <c r="AP334" t="s">
        <v>6819</v>
      </c>
      <c r="AQ334" t="s">
        <v>74</v>
      </c>
      <c r="AR334" t="s">
        <v>6802</v>
      </c>
      <c r="AS334" t="s">
        <v>6820</v>
      </c>
      <c r="AT334" t="s">
        <v>6773</v>
      </c>
      <c r="AU334">
        <v>2019</v>
      </c>
      <c r="AV334" t="s">
        <v>74</v>
      </c>
      <c r="AW334">
        <v>832</v>
      </c>
      <c r="AX334" t="s">
        <v>74</v>
      </c>
      <c r="AY334" t="s">
        <v>74</v>
      </c>
      <c r="AZ334" t="s">
        <v>74</v>
      </c>
      <c r="BA334" t="s">
        <v>74</v>
      </c>
      <c r="BB334">
        <v>35</v>
      </c>
      <c r="BC334">
        <v>56</v>
      </c>
      <c r="BD334" t="s">
        <v>74</v>
      </c>
      <c r="BE334" t="s">
        <v>6821</v>
      </c>
      <c r="BF334" t="str">
        <f>HYPERLINK("http://dx.doi.org/10.3897/zookeys.832.30241","http://dx.doi.org/10.3897/zookeys.832.30241")</f>
        <v>http://dx.doi.org/10.3897/zookeys.832.30241</v>
      </c>
      <c r="BG334" t="s">
        <v>74</v>
      </c>
      <c r="BH334" t="s">
        <v>74</v>
      </c>
      <c r="BI334">
        <v>22</v>
      </c>
      <c r="BJ334" t="s">
        <v>1674</v>
      </c>
      <c r="BK334" t="s">
        <v>102</v>
      </c>
      <c r="BL334" t="s">
        <v>1674</v>
      </c>
      <c r="BM334" t="s">
        <v>6822</v>
      </c>
      <c r="BN334">
        <v>30930644</v>
      </c>
      <c r="BO334" t="s">
        <v>2739</v>
      </c>
      <c r="BP334" t="s">
        <v>74</v>
      </c>
      <c r="BQ334" t="s">
        <v>74</v>
      </c>
      <c r="BR334" t="s">
        <v>107</v>
      </c>
      <c r="BS334" t="s">
        <v>6823</v>
      </c>
      <c r="BT334" t="str">
        <f>HYPERLINK("https%3A%2F%2Fwww.webofscience.com%2Fwos%2Fwoscc%2Ffull-record%2FWOS:000461636800002","View Full Record in Web of Science")</f>
        <v>View Full Record in Web of Science</v>
      </c>
    </row>
    <row r="335" spans="1:72" x14ac:dyDescent="0.15">
      <c r="A335" t="s">
        <v>72</v>
      </c>
      <c r="B335" t="s">
        <v>6824</v>
      </c>
      <c r="C335" t="s">
        <v>74</v>
      </c>
      <c r="D335" t="s">
        <v>74</v>
      </c>
      <c r="E335" t="s">
        <v>74</v>
      </c>
      <c r="F335" t="s">
        <v>6825</v>
      </c>
      <c r="G335" t="s">
        <v>74</v>
      </c>
      <c r="H335" t="s">
        <v>74</v>
      </c>
      <c r="I335" t="s">
        <v>6826</v>
      </c>
      <c r="J335" t="s">
        <v>1654</v>
      </c>
      <c r="K335" t="s">
        <v>74</v>
      </c>
      <c r="L335" t="s">
        <v>74</v>
      </c>
      <c r="M335" t="s">
        <v>78</v>
      </c>
      <c r="N335" t="s">
        <v>79</v>
      </c>
      <c r="O335" t="s">
        <v>74</v>
      </c>
      <c r="P335" t="s">
        <v>74</v>
      </c>
      <c r="Q335" t="s">
        <v>74</v>
      </c>
      <c r="R335" t="s">
        <v>74</v>
      </c>
      <c r="S335" t="s">
        <v>74</v>
      </c>
      <c r="T335" t="s">
        <v>6827</v>
      </c>
      <c r="U335" t="s">
        <v>6828</v>
      </c>
      <c r="V335" t="s">
        <v>6829</v>
      </c>
      <c r="W335" t="s">
        <v>6830</v>
      </c>
      <c r="X335" t="s">
        <v>6831</v>
      </c>
      <c r="Y335" t="s">
        <v>6832</v>
      </c>
      <c r="Z335" t="s">
        <v>6833</v>
      </c>
      <c r="AA335" t="s">
        <v>74</v>
      </c>
      <c r="AB335" t="s">
        <v>6834</v>
      </c>
      <c r="AC335" t="s">
        <v>6835</v>
      </c>
      <c r="AD335" t="s">
        <v>6836</v>
      </c>
      <c r="AE335" t="s">
        <v>6837</v>
      </c>
      <c r="AF335" t="s">
        <v>74</v>
      </c>
      <c r="AG335">
        <v>45</v>
      </c>
      <c r="AH335">
        <v>5</v>
      </c>
      <c r="AI335">
        <v>5</v>
      </c>
      <c r="AJ335">
        <v>0</v>
      </c>
      <c r="AK335">
        <v>4</v>
      </c>
      <c r="AL335" t="s">
        <v>1667</v>
      </c>
      <c r="AM335" t="s">
        <v>1668</v>
      </c>
      <c r="AN335" t="s">
        <v>4946</v>
      </c>
      <c r="AO335" t="s">
        <v>1670</v>
      </c>
      <c r="AP335" t="s">
        <v>1671</v>
      </c>
      <c r="AQ335" t="s">
        <v>74</v>
      </c>
      <c r="AR335" t="s">
        <v>1654</v>
      </c>
      <c r="AS335" t="s">
        <v>1672</v>
      </c>
      <c r="AT335" t="s">
        <v>6773</v>
      </c>
      <c r="AU335">
        <v>2019</v>
      </c>
      <c r="AV335">
        <v>4568</v>
      </c>
      <c r="AW335">
        <v>1</v>
      </c>
      <c r="AX335" t="s">
        <v>74</v>
      </c>
      <c r="AY335" t="s">
        <v>74</v>
      </c>
      <c r="AZ335" t="s">
        <v>74</v>
      </c>
      <c r="BA335" t="s">
        <v>74</v>
      </c>
      <c r="BB335">
        <v>69</v>
      </c>
      <c r="BC335">
        <v>80</v>
      </c>
      <c r="BD335" t="s">
        <v>74</v>
      </c>
      <c r="BE335" t="s">
        <v>6838</v>
      </c>
      <c r="BF335" t="str">
        <f>HYPERLINK("http://dx.doi.org/10.11646/zootaxa.4568.1.4","http://dx.doi.org/10.11646/zootaxa.4568.1.4")</f>
        <v>http://dx.doi.org/10.11646/zootaxa.4568.1.4</v>
      </c>
      <c r="BG335" t="s">
        <v>74</v>
      </c>
      <c r="BH335" t="s">
        <v>74</v>
      </c>
      <c r="BI335">
        <v>12</v>
      </c>
      <c r="BJ335" t="s">
        <v>1674</v>
      </c>
      <c r="BK335" t="s">
        <v>102</v>
      </c>
      <c r="BL335" t="s">
        <v>1674</v>
      </c>
      <c r="BM335" t="s">
        <v>6839</v>
      </c>
      <c r="BN335">
        <v>31715871</v>
      </c>
      <c r="BO335" t="s">
        <v>403</v>
      </c>
      <c r="BP335" t="s">
        <v>74</v>
      </c>
      <c r="BQ335" t="s">
        <v>74</v>
      </c>
      <c r="BR335" t="s">
        <v>107</v>
      </c>
      <c r="BS335" t="s">
        <v>6840</v>
      </c>
      <c r="BT335" t="str">
        <f>HYPERLINK("https%3A%2F%2Fwww.webofscience.com%2Fwos%2Fwoscc%2Ffull-record%2FWOS:000461453200004","View Full Record in Web of Science")</f>
        <v>View Full Record in Web of Science</v>
      </c>
    </row>
    <row r="336" spans="1:72" x14ac:dyDescent="0.15">
      <c r="A336" t="s">
        <v>72</v>
      </c>
      <c r="B336" t="s">
        <v>6841</v>
      </c>
      <c r="C336" t="s">
        <v>74</v>
      </c>
      <c r="D336" t="s">
        <v>74</v>
      </c>
      <c r="E336" t="s">
        <v>74</v>
      </c>
      <c r="F336" t="s">
        <v>6842</v>
      </c>
      <c r="G336" t="s">
        <v>74</v>
      </c>
      <c r="H336" t="s">
        <v>74</v>
      </c>
      <c r="I336" t="s">
        <v>6843</v>
      </c>
      <c r="J336" t="s">
        <v>1125</v>
      </c>
      <c r="K336" t="s">
        <v>74</v>
      </c>
      <c r="L336" t="s">
        <v>74</v>
      </c>
      <c r="M336" t="s">
        <v>78</v>
      </c>
      <c r="N336" t="s">
        <v>79</v>
      </c>
      <c r="O336" t="s">
        <v>74</v>
      </c>
      <c r="P336" t="s">
        <v>74</v>
      </c>
      <c r="Q336" t="s">
        <v>74</v>
      </c>
      <c r="R336" t="s">
        <v>74</v>
      </c>
      <c r="S336" t="s">
        <v>74</v>
      </c>
      <c r="T336" t="s">
        <v>74</v>
      </c>
      <c r="U336" t="s">
        <v>6844</v>
      </c>
      <c r="V336" t="s">
        <v>6845</v>
      </c>
      <c r="W336" t="s">
        <v>6846</v>
      </c>
      <c r="X336" t="s">
        <v>6847</v>
      </c>
      <c r="Y336" t="s">
        <v>6848</v>
      </c>
      <c r="Z336" t="s">
        <v>6849</v>
      </c>
      <c r="AA336" t="s">
        <v>6850</v>
      </c>
      <c r="AB336" t="s">
        <v>6851</v>
      </c>
      <c r="AC336" t="s">
        <v>6852</v>
      </c>
      <c r="AD336" t="s">
        <v>6853</v>
      </c>
      <c r="AE336" t="s">
        <v>6854</v>
      </c>
      <c r="AF336" t="s">
        <v>74</v>
      </c>
      <c r="AG336">
        <v>26</v>
      </c>
      <c r="AH336">
        <v>17</v>
      </c>
      <c r="AI336">
        <v>18</v>
      </c>
      <c r="AJ336">
        <v>2</v>
      </c>
      <c r="AK336">
        <v>6</v>
      </c>
      <c r="AL336" t="s">
        <v>868</v>
      </c>
      <c r="AM336" t="s">
        <v>869</v>
      </c>
      <c r="AN336" t="s">
        <v>870</v>
      </c>
      <c r="AO336" t="s">
        <v>1137</v>
      </c>
      <c r="AP336" t="s">
        <v>1138</v>
      </c>
      <c r="AQ336" t="s">
        <v>74</v>
      </c>
      <c r="AR336" t="s">
        <v>1125</v>
      </c>
      <c r="AS336" t="s">
        <v>1139</v>
      </c>
      <c r="AT336" t="s">
        <v>6773</v>
      </c>
      <c r="AU336">
        <v>2019</v>
      </c>
      <c r="AV336">
        <v>13</v>
      </c>
      <c r="AW336">
        <v>3</v>
      </c>
      <c r="AX336" t="s">
        <v>74</v>
      </c>
      <c r="AY336" t="s">
        <v>74</v>
      </c>
      <c r="AZ336" t="s">
        <v>74</v>
      </c>
      <c r="BA336" t="s">
        <v>74</v>
      </c>
      <c r="BB336">
        <v>943</v>
      </c>
      <c r="BC336">
        <v>954</v>
      </c>
      <c r="BD336" t="s">
        <v>74</v>
      </c>
      <c r="BE336" t="s">
        <v>6855</v>
      </c>
      <c r="BF336" t="str">
        <f>HYPERLINK("http://dx.doi.org/10.5194/tc-13-943-2019","http://dx.doi.org/10.5194/tc-13-943-2019")</f>
        <v>http://dx.doi.org/10.5194/tc-13-943-2019</v>
      </c>
      <c r="BG336" t="s">
        <v>74</v>
      </c>
      <c r="BH336" t="s">
        <v>74</v>
      </c>
      <c r="BI336">
        <v>12</v>
      </c>
      <c r="BJ336" t="s">
        <v>1142</v>
      </c>
      <c r="BK336" t="s">
        <v>102</v>
      </c>
      <c r="BL336" t="s">
        <v>1143</v>
      </c>
      <c r="BM336" t="s">
        <v>6856</v>
      </c>
      <c r="BN336" t="s">
        <v>74</v>
      </c>
      <c r="BO336" t="s">
        <v>6753</v>
      </c>
      <c r="BP336" t="s">
        <v>74</v>
      </c>
      <c r="BQ336" t="s">
        <v>74</v>
      </c>
      <c r="BR336" t="s">
        <v>107</v>
      </c>
      <c r="BS336" t="s">
        <v>6857</v>
      </c>
      <c r="BT336" t="str">
        <f>HYPERLINK("https%3A%2F%2Fwww.webofscience.com%2Fwos%2Fwoscc%2Ffull-record%2FWOS:000461628100001","View Full Record in Web of Science")</f>
        <v>View Full Record in Web of Science</v>
      </c>
    </row>
    <row r="337" spans="1:72" x14ac:dyDescent="0.15">
      <c r="A337" t="s">
        <v>72</v>
      </c>
      <c r="B337" t="s">
        <v>6858</v>
      </c>
      <c r="C337" t="s">
        <v>74</v>
      </c>
      <c r="D337" t="s">
        <v>74</v>
      </c>
      <c r="E337" t="s">
        <v>74</v>
      </c>
      <c r="F337" t="s">
        <v>6859</v>
      </c>
      <c r="G337" t="s">
        <v>74</v>
      </c>
      <c r="H337" t="s">
        <v>74</v>
      </c>
      <c r="I337" t="s">
        <v>6860</v>
      </c>
      <c r="J337" t="s">
        <v>2130</v>
      </c>
      <c r="K337" t="s">
        <v>74</v>
      </c>
      <c r="L337" t="s">
        <v>74</v>
      </c>
      <c r="M337" t="s">
        <v>78</v>
      </c>
      <c r="N337" t="s">
        <v>469</v>
      </c>
      <c r="O337" t="s">
        <v>74</v>
      </c>
      <c r="P337" t="s">
        <v>74</v>
      </c>
      <c r="Q337" t="s">
        <v>74</v>
      </c>
      <c r="R337" t="s">
        <v>74</v>
      </c>
      <c r="S337" t="s">
        <v>74</v>
      </c>
      <c r="T337" t="s">
        <v>6861</v>
      </c>
      <c r="U337" t="s">
        <v>6862</v>
      </c>
      <c r="V337" t="s">
        <v>6863</v>
      </c>
      <c r="W337" t="s">
        <v>6864</v>
      </c>
      <c r="X337" t="s">
        <v>6865</v>
      </c>
      <c r="Y337" t="s">
        <v>6866</v>
      </c>
      <c r="Z337" t="s">
        <v>6867</v>
      </c>
      <c r="AA337" t="s">
        <v>6868</v>
      </c>
      <c r="AB337" t="s">
        <v>6869</v>
      </c>
      <c r="AC337" t="s">
        <v>6870</v>
      </c>
      <c r="AD337" t="s">
        <v>6871</v>
      </c>
      <c r="AE337" t="s">
        <v>6872</v>
      </c>
      <c r="AF337" t="s">
        <v>74</v>
      </c>
      <c r="AG337">
        <v>235</v>
      </c>
      <c r="AH337">
        <v>136</v>
      </c>
      <c r="AI337">
        <v>142</v>
      </c>
      <c r="AJ337">
        <v>3</v>
      </c>
      <c r="AK337">
        <v>25</v>
      </c>
      <c r="AL337" t="s">
        <v>576</v>
      </c>
      <c r="AM337" t="s">
        <v>607</v>
      </c>
      <c r="AN337" t="s">
        <v>2143</v>
      </c>
      <c r="AO337" t="s">
        <v>2144</v>
      </c>
      <c r="AP337" t="s">
        <v>74</v>
      </c>
      <c r="AQ337" t="s">
        <v>74</v>
      </c>
      <c r="AR337" t="s">
        <v>2145</v>
      </c>
      <c r="AS337" t="s">
        <v>2146</v>
      </c>
      <c r="AT337" t="s">
        <v>6873</v>
      </c>
      <c r="AU337">
        <v>2019</v>
      </c>
      <c r="AV337">
        <v>6</v>
      </c>
      <c r="AW337" t="s">
        <v>74</v>
      </c>
      <c r="AX337" t="s">
        <v>74</v>
      </c>
      <c r="AY337" t="s">
        <v>74</v>
      </c>
      <c r="AZ337" t="s">
        <v>74</v>
      </c>
      <c r="BA337" t="s">
        <v>74</v>
      </c>
      <c r="BB337" t="s">
        <v>74</v>
      </c>
      <c r="BC337" t="s">
        <v>74</v>
      </c>
      <c r="BD337">
        <v>27</v>
      </c>
      <c r="BE337" t="s">
        <v>6874</v>
      </c>
      <c r="BF337" t="str">
        <f>HYPERLINK("http://dx.doi.org/10.1186/s40645-019-0270-5","http://dx.doi.org/10.1186/s40645-019-0270-5")</f>
        <v>http://dx.doi.org/10.1186/s40645-019-0270-5</v>
      </c>
      <c r="BG337" t="s">
        <v>74</v>
      </c>
      <c r="BH337" t="s">
        <v>74</v>
      </c>
      <c r="BI337">
        <v>57</v>
      </c>
      <c r="BJ337" t="s">
        <v>922</v>
      </c>
      <c r="BK337" t="s">
        <v>102</v>
      </c>
      <c r="BL337" t="s">
        <v>923</v>
      </c>
      <c r="BM337" t="s">
        <v>6875</v>
      </c>
      <c r="BN337" t="s">
        <v>74</v>
      </c>
      <c r="BO337" t="s">
        <v>6876</v>
      </c>
      <c r="BP337" t="s">
        <v>105</v>
      </c>
      <c r="BQ337" t="s">
        <v>106</v>
      </c>
      <c r="BR337" t="s">
        <v>107</v>
      </c>
      <c r="BS337" t="s">
        <v>6877</v>
      </c>
      <c r="BT337" t="str">
        <f>HYPERLINK("https%3A%2F%2Fwww.webofscience.com%2Fwos%2Fwoscc%2Ffull-record%2FWOS:000461956400001","View Full Record in Web of Science")</f>
        <v>View Full Record in Web of Science</v>
      </c>
    </row>
    <row r="338" spans="1:72" x14ac:dyDescent="0.15">
      <c r="A338" t="s">
        <v>72</v>
      </c>
      <c r="B338" t="s">
        <v>6878</v>
      </c>
      <c r="C338" t="s">
        <v>74</v>
      </c>
      <c r="D338" t="s">
        <v>74</v>
      </c>
      <c r="E338" t="s">
        <v>74</v>
      </c>
      <c r="F338" t="s">
        <v>6879</v>
      </c>
      <c r="G338" t="s">
        <v>74</v>
      </c>
      <c r="H338" t="s">
        <v>74</v>
      </c>
      <c r="I338" t="s">
        <v>6880</v>
      </c>
      <c r="J338" t="s">
        <v>1042</v>
      </c>
      <c r="K338" t="s">
        <v>74</v>
      </c>
      <c r="L338" t="s">
        <v>74</v>
      </c>
      <c r="M338" t="s">
        <v>78</v>
      </c>
      <c r="N338" t="s">
        <v>79</v>
      </c>
      <c r="O338" t="s">
        <v>74</v>
      </c>
      <c r="P338" t="s">
        <v>74</v>
      </c>
      <c r="Q338" t="s">
        <v>74</v>
      </c>
      <c r="R338" t="s">
        <v>74</v>
      </c>
      <c r="S338" t="s">
        <v>74</v>
      </c>
      <c r="T338" t="s">
        <v>74</v>
      </c>
      <c r="U338" t="s">
        <v>6881</v>
      </c>
      <c r="V338" t="s">
        <v>6882</v>
      </c>
      <c r="W338" t="s">
        <v>6883</v>
      </c>
      <c r="X338" t="s">
        <v>6884</v>
      </c>
      <c r="Y338" t="s">
        <v>6885</v>
      </c>
      <c r="Z338" t="s">
        <v>6886</v>
      </c>
      <c r="AA338" t="s">
        <v>6887</v>
      </c>
      <c r="AB338" t="s">
        <v>6888</v>
      </c>
      <c r="AC338" t="s">
        <v>6889</v>
      </c>
      <c r="AD338" t="s">
        <v>6890</v>
      </c>
      <c r="AE338" t="s">
        <v>6891</v>
      </c>
      <c r="AF338" t="s">
        <v>74</v>
      </c>
      <c r="AG338">
        <v>93</v>
      </c>
      <c r="AH338">
        <v>11</v>
      </c>
      <c r="AI338">
        <v>11</v>
      </c>
      <c r="AJ338">
        <v>0</v>
      </c>
      <c r="AK338">
        <v>5</v>
      </c>
      <c r="AL338" t="s">
        <v>868</v>
      </c>
      <c r="AM338" t="s">
        <v>869</v>
      </c>
      <c r="AN338" t="s">
        <v>870</v>
      </c>
      <c r="AO338" t="s">
        <v>1054</v>
      </c>
      <c r="AP338" t="s">
        <v>1055</v>
      </c>
      <c r="AQ338" t="s">
        <v>74</v>
      </c>
      <c r="AR338" t="s">
        <v>1056</v>
      </c>
      <c r="AS338" t="s">
        <v>1057</v>
      </c>
      <c r="AT338" t="s">
        <v>6873</v>
      </c>
      <c r="AU338">
        <v>2019</v>
      </c>
      <c r="AV338">
        <v>19</v>
      </c>
      <c r="AW338">
        <v>5</v>
      </c>
      <c r="AX338" t="s">
        <v>74</v>
      </c>
      <c r="AY338" t="s">
        <v>74</v>
      </c>
      <c r="AZ338" t="s">
        <v>74</v>
      </c>
      <c r="BA338" t="s">
        <v>74</v>
      </c>
      <c r="BB338">
        <v>3395</v>
      </c>
      <c r="BC338">
        <v>3415</v>
      </c>
      <c r="BD338" t="s">
        <v>74</v>
      </c>
      <c r="BE338" t="s">
        <v>6892</v>
      </c>
      <c r="BF338" t="str">
        <f>HYPERLINK("http://dx.doi.org/10.5194/acp-19-3395-2019","http://dx.doi.org/10.5194/acp-19-3395-2019")</f>
        <v>http://dx.doi.org/10.5194/acp-19-3395-2019</v>
      </c>
      <c r="BG338" t="s">
        <v>74</v>
      </c>
      <c r="BH338" t="s">
        <v>74</v>
      </c>
      <c r="BI338">
        <v>21</v>
      </c>
      <c r="BJ338" t="s">
        <v>1060</v>
      </c>
      <c r="BK338" t="s">
        <v>102</v>
      </c>
      <c r="BL338" t="s">
        <v>338</v>
      </c>
      <c r="BM338" t="s">
        <v>6893</v>
      </c>
      <c r="BN338" t="s">
        <v>74</v>
      </c>
      <c r="BO338" t="s">
        <v>135</v>
      </c>
      <c r="BP338" t="s">
        <v>74</v>
      </c>
      <c r="BQ338" t="s">
        <v>74</v>
      </c>
      <c r="BR338" t="s">
        <v>107</v>
      </c>
      <c r="BS338" t="s">
        <v>6894</v>
      </c>
      <c r="BT338" t="str">
        <f>HYPERLINK("https%3A%2F%2Fwww.webofscience.com%2Fwos%2Fwoscc%2Ffull-record%2FWOS:000461581300001","View Full Record in Web of Science")</f>
        <v>View Full Record in Web of Science</v>
      </c>
    </row>
    <row r="339" spans="1:72" x14ac:dyDescent="0.15">
      <c r="A339" t="s">
        <v>72</v>
      </c>
      <c r="B339" t="s">
        <v>6895</v>
      </c>
      <c r="C339" t="s">
        <v>74</v>
      </c>
      <c r="D339" t="s">
        <v>74</v>
      </c>
      <c r="E339" t="s">
        <v>74</v>
      </c>
      <c r="F339" t="s">
        <v>6896</v>
      </c>
      <c r="G339" t="s">
        <v>74</v>
      </c>
      <c r="H339" t="s">
        <v>74</v>
      </c>
      <c r="I339" t="s">
        <v>6897</v>
      </c>
      <c r="J339" t="s">
        <v>1042</v>
      </c>
      <c r="K339" t="s">
        <v>74</v>
      </c>
      <c r="L339" t="s">
        <v>74</v>
      </c>
      <c r="M339" t="s">
        <v>78</v>
      </c>
      <c r="N339" t="s">
        <v>79</v>
      </c>
      <c r="O339" t="s">
        <v>74</v>
      </c>
      <c r="P339" t="s">
        <v>74</v>
      </c>
      <c r="Q339" t="s">
        <v>74</v>
      </c>
      <c r="R339" t="s">
        <v>74</v>
      </c>
      <c r="S339" t="s">
        <v>74</v>
      </c>
      <c r="T339" t="s">
        <v>74</v>
      </c>
      <c r="U339" t="s">
        <v>6898</v>
      </c>
      <c r="V339" t="s">
        <v>6899</v>
      </c>
      <c r="W339" t="s">
        <v>6900</v>
      </c>
      <c r="X339" t="s">
        <v>6901</v>
      </c>
      <c r="Y339" t="s">
        <v>6902</v>
      </c>
      <c r="Z339" t="s">
        <v>6903</v>
      </c>
      <c r="AA339" t="s">
        <v>6904</v>
      </c>
      <c r="AB339" t="s">
        <v>6905</v>
      </c>
      <c r="AC339" t="s">
        <v>6906</v>
      </c>
      <c r="AD339" t="s">
        <v>6906</v>
      </c>
      <c r="AE339" t="s">
        <v>6907</v>
      </c>
      <c r="AF339" t="s">
        <v>74</v>
      </c>
      <c r="AG339">
        <v>62</v>
      </c>
      <c r="AH339">
        <v>37</v>
      </c>
      <c r="AI339">
        <v>41</v>
      </c>
      <c r="AJ339">
        <v>1</v>
      </c>
      <c r="AK339">
        <v>6</v>
      </c>
      <c r="AL339" t="s">
        <v>868</v>
      </c>
      <c r="AM339" t="s">
        <v>869</v>
      </c>
      <c r="AN339" t="s">
        <v>870</v>
      </c>
      <c r="AO339" t="s">
        <v>1054</v>
      </c>
      <c r="AP339" t="s">
        <v>1055</v>
      </c>
      <c r="AQ339" t="s">
        <v>74</v>
      </c>
      <c r="AR339" t="s">
        <v>1056</v>
      </c>
      <c r="AS339" t="s">
        <v>1057</v>
      </c>
      <c r="AT339" t="s">
        <v>6873</v>
      </c>
      <c r="AU339">
        <v>2019</v>
      </c>
      <c r="AV339">
        <v>19</v>
      </c>
      <c r="AW339">
        <v>5</v>
      </c>
      <c r="AX339" t="s">
        <v>74</v>
      </c>
      <c r="AY339" t="s">
        <v>74</v>
      </c>
      <c r="AZ339" t="s">
        <v>74</v>
      </c>
      <c r="BA339" t="s">
        <v>74</v>
      </c>
      <c r="BB339">
        <v>3417</v>
      </c>
      <c r="BC339">
        <v>3432</v>
      </c>
      <c r="BD339" t="s">
        <v>74</v>
      </c>
      <c r="BE339" t="s">
        <v>6908</v>
      </c>
      <c r="BF339" t="str">
        <f>HYPERLINK("http://dx.doi.org/10.5194/acp-19-3417-2019","http://dx.doi.org/10.5194/acp-19-3417-2019")</f>
        <v>http://dx.doi.org/10.5194/acp-19-3417-2019</v>
      </c>
      <c r="BG339" t="s">
        <v>74</v>
      </c>
      <c r="BH339" t="s">
        <v>74</v>
      </c>
      <c r="BI339">
        <v>16</v>
      </c>
      <c r="BJ339" t="s">
        <v>1060</v>
      </c>
      <c r="BK339" t="s">
        <v>102</v>
      </c>
      <c r="BL339" t="s">
        <v>338</v>
      </c>
      <c r="BM339" t="s">
        <v>6893</v>
      </c>
      <c r="BN339" t="s">
        <v>74</v>
      </c>
      <c r="BO339" t="s">
        <v>2038</v>
      </c>
      <c r="BP339" t="s">
        <v>74</v>
      </c>
      <c r="BQ339" t="s">
        <v>74</v>
      </c>
      <c r="BR339" t="s">
        <v>107</v>
      </c>
      <c r="BS339" t="s">
        <v>6909</v>
      </c>
      <c r="BT339" t="str">
        <f>HYPERLINK("https%3A%2F%2Fwww.webofscience.com%2Fwos%2Fwoscc%2Ffull-record%2FWOS:000461581300002","View Full Record in Web of Science")</f>
        <v>View Full Record in Web of Science</v>
      </c>
    </row>
    <row r="340" spans="1:72" x14ac:dyDescent="0.15">
      <c r="A340" t="s">
        <v>72</v>
      </c>
      <c r="B340" t="s">
        <v>6910</v>
      </c>
      <c r="C340" t="s">
        <v>74</v>
      </c>
      <c r="D340" t="s">
        <v>74</v>
      </c>
      <c r="E340" t="s">
        <v>74</v>
      </c>
      <c r="F340" t="s">
        <v>6911</v>
      </c>
      <c r="G340" t="s">
        <v>74</v>
      </c>
      <c r="H340" t="s">
        <v>74</v>
      </c>
      <c r="I340" t="s">
        <v>6912</v>
      </c>
      <c r="J340" t="s">
        <v>808</v>
      </c>
      <c r="K340" t="s">
        <v>74</v>
      </c>
      <c r="L340" t="s">
        <v>74</v>
      </c>
      <c r="M340" t="s">
        <v>78</v>
      </c>
      <c r="N340" t="s">
        <v>469</v>
      </c>
      <c r="O340" t="s">
        <v>74</v>
      </c>
      <c r="P340" t="s">
        <v>74</v>
      </c>
      <c r="Q340" t="s">
        <v>74</v>
      </c>
      <c r="R340" t="s">
        <v>74</v>
      </c>
      <c r="S340" t="s">
        <v>74</v>
      </c>
      <c r="T340" t="s">
        <v>6913</v>
      </c>
      <c r="U340" t="s">
        <v>6914</v>
      </c>
      <c r="V340" t="s">
        <v>6915</v>
      </c>
      <c r="W340" t="s">
        <v>6916</v>
      </c>
      <c r="X340" t="s">
        <v>6917</v>
      </c>
      <c r="Y340" t="s">
        <v>6918</v>
      </c>
      <c r="Z340" t="s">
        <v>6919</v>
      </c>
      <c r="AA340" t="s">
        <v>6920</v>
      </c>
      <c r="AB340" t="s">
        <v>6921</v>
      </c>
      <c r="AC340" t="s">
        <v>6922</v>
      </c>
      <c r="AD340" t="s">
        <v>6923</v>
      </c>
      <c r="AE340" t="s">
        <v>6924</v>
      </c>
      <c r="AF340" t="s">
        <v>74</v>
      </c>
      <c r="AG340">
        <v>332</v>
      </c>
      <c r="AH340">
        <v>111</v>
      </c>
      <c r="AI340">
        <v>115</v>
      </c>
      <c r="AJ340">
        <v>5</v>
      </c>
      <c r="AK340">
        <v>95</v>
      </c>
      <c r="AL340" t="s">
        <v>821</v>
      </c>
      <c r="AM340" t="s">
        <v>822</v>
      </c>
      <c r="AN340" t="s">
        <v>823</v>
      </c>
      <c r="AO340" t="s">
        <v>74</v>
      </c>
      <c r="AP340" t="s">
        <v>824</v>
      </c>
      <c r="AQ340" t="s">
        <v>74</v>
      </c>
      <c r="AR340" t="s">
        <v>825</v>
      </c>
      <c r="AS340" t="s">
        <v>826</v>
      </c>
      <c r="AT340" t="s">
        <v>6873</v>
      </c>
      <c r="AU340">
        <v>2019</v>
      </c>
      <c r="AV340">
        <v>6</v>
      </c>
      <c r="AW340" t="s">
        <v>74</v>
      </c>
      <c r="AX340" t="s">
        <v>74</v>
      </c>
      <c r="AY340" t="s">
        <v>74</v>
      </c>
      <c r="AZ340" t="s">
        <v>74</v>
      </c>
      <c r="BA340" t="s">
        <v>74</v>
      </c>
      <c r="BB340" t="s">
        <v>74</v>
      </c>
      <c r="BC340" t="s">
        <v>74</v>
      </c>
      <c r="BD340">
        <v>94</v>
      </c>
      <c r="BE340" t="s">
        <v>6925</v>
      </c>
      <c r="BF340" t="str">
        <f>HYPERLINK("http://dx.doi.org/10.3389/fmars.2019.00094","http://dx.doi.org/10.3389/fmars.2019.00094")</f>
        <v>http://dx.doi.org/10.3389/fmars.2019.00094</v>
      </c>
      <c r="BG340" t="s">
        <v>74</v>
      </c>
      <c r="BH340" t="s">
        <v>74</v>
      </c>
      <c r="BI340">
        <v>27</v>
      </c>
      <c r="BJ340" t="s">
        <v>829</v>
      </c>
      <c r="BK340" t="s">
        <v>337</v>
      </c>
      <c r="BL340" t="s">
        <v>830</v>
      </c>
      <c r="BM340" t="s">
        <v>6926</v>
      </c>
      <c r="BN340" t="s">
        <v>74</v>
      </c>
      <c r="BO340" t="s">
        <v>879</v>
      </c>
      <c r="BP340" t="s">
        <v>105</v>
      </c>
      <c r="BQ340" t="s">
        <v>106</v>
      </c>
      <c r="BR340" t="s">
        <v>107</v>
      </c>
      <c r="BS340" t="s">
        <v>6927</v>
      </c>
      <c r="BT340" t="str">
        <f>HYPERLINK("https%3A%2F%2Fwww.webofscience.com%2Fwos%2Fwoscc%2Ffull-record%2FWOS:000462726300001","View Full Record in Web of Science")</f>
        <v>View Full Record in Web of Science</v>
      </c>
    </row>
    <row r="341" spans="1:72" x14ac:dyDescent="0.15">
      <c r="A341" t="s">
        <v>72</v>
      </c>
      <c r="B341" t="s">
        <v>6928</v>
      </c>
      <c r="C341" t="s">
        <v>74</v>
      </c>
      <c r="D341" t="s">
        <v>74</v>
      </c>
      <c r="E341" t="s">
        <v>74</v>
      </c>
      <c r="F341" t="s">
        <v>6929</v>
      </c>
      <c r="G341" t="s">
        <v>74</v>
      </c>
      <c r="H341" t="s">
        <v>74</v>
      </c>
      <c r="I341" t="s">
        <v>6930</v>
      </c>
      <c r="J341" t="s">
        <v>6931</v>
      </c>
      <c r="K341" t="s">
        <v>74</v>
      </c>
      <c r="L341" t="s">
        <v>74</v>
      </c>
      <c r="M341" t="s">
        <v>78</v>
      </c>
      <c r="N341" t="s">
        <v>79</v>
      </c>
      <c r="O341" t="s">
        <v>74</v>
      </c>
      <c r="P341" t="s">
        <v>74</v>
      </c>
      <c r="Q341" t="s">
        <v>74</v>
      </c>
      <c r="R341" t="s">
        <v>74</v>
      </c>
      <c r="S341" t="s">
        <v>74</v>
      </c>
      <c r="T341" t="s">
        <v>74</v>
      </c>
      <c r="U341" t="s">
        <v>6932</v>
      </c>
      <c r="V341" t="s">
        <v>6933</v>
      </c>
      <c r="W341" t="s">
        <v>6934</v>
      </c>
      <c r="X341" t="s">
        <v>6935</v>
      </c>
      <c r="Y341" t="s">
        <v>6936</v>
      </c>
      <c r="Z341" t="s">
        <v>74</v>
      </c>
      <c r="AA341" t="s">
        <v>6937</v>
      </c>
      <c r="AB341" t="s">
        <v>6938</v>
      </c>
      <c r="AC341" t="s">
        <v>6939</v>
      </c>
      <c r="AD341" t="s">
        <v>6940</v>
      </c>
      <c r="AE341" t="s">
        <v>6941</v>
      </c>
      <c r="AF341" t="s">
        <v>74</v>
      </c>
      <c r="AG341">
        <v>34</v>
      </c>
      <c r="AH341">
        <v>52</v>
      </c>
      <c r="AI341">
        <v>57</v>
      </c>
      <c r="AJ341">
        <v>0</v>
      </c>
      <c r="AK341">
        <v>7</v>
      </c>
      <c r="AL341" t="s">
        <v>6942</v>
      </c>
      <c r="AM341" t="s">
        <v>6943</v>
      </c>
      <c r="AN341" t="s">
        <v>6944</v>
      </c>
      <c r="AO341" t="s">
        <v>6945</v>
      </c>
      <c r="AP341" t="s">
        <v>6946</v>
      </c>
      <c r="AQ341" t="s">
        <v>74</v>
      </c>
      <c r="AR341" t="s">
        <v>6947</v>
      </c>
      <c r="AS341" t="s">
        <v>6948</v>
      </c>
      <c r="AT341" t="s">
        <v>6873</v>
      </c>
      <c r="AU341">
        <v>2019</v>
      </c>
      <c r="AV341">
        <v>99</v>
      </c>
      <c r="AW341">
        <v>6</v>
      </c>
      <c r="AX341" t="s">
        <v>74</v>
      </c>
      <c r="AY341" t="s">
        <v>74</v>
      </c>
      <c r="AZ341" t="s">
        <v>74</v>
      </c>
      <c r="BA341" t="s">
        <v>74</v>
      </c>
      <c r="BB341" t="s">
        <v>74</v>
      </c>
      <c r="BC341" t="s">
        <v>74</v>
      </c>
      <c r="BD341">
        <v>63011</v>
      </c>
      <c r="BE341" t="s">
        <v>6949</v>
      </c>
      <c r="BF341" t="str">
        <f>HYPERLINK("http://dx.doi.org/10.1103/PhysRevD.99.063011","http://dx.doi.org/10.1103/PhysRevD.99.063011")</f>
        <v>http://dx.doi.org/10.1103/PhysRevD.99.063011</v>
      </c>
      <c r="BG341" t="s">
        <v>74</v>
      </c>
      <c r="BH341" t="s">
        <v>74</v>
      </c>
      <c r="BI341">
        <v>12</v>
      </c>
      <c r="BJ341" t="s">
        <v>6950</v>
      </c>
      <c r="BK341" t="s">
        <v>102</v>
      </c>
      <c r="BL341" t="s">
        <v>6951</v>
      </c>
      <c r="BM341" t="s">
        <v>6952</v>
      </c>
      <c r="BN341" t="s">
        <v>74</v>
      </c>
      <c r="BO341" t="s">
        <v>104</v>
      </c>
      <c r="BP341" t="s">
        <v>74</v>
      </c>
      <c r="BQ341" t="s">
        <v>74</v>
      </c>
      <c r="BR341" t="s">
        <v>107</v>
      </c>
      <c r="BS341" t="s">
        <v>6953</v>
      </c>
      <c r="BT341" t="str">
        <f>HYPERLINK("https%3A%2F%2Fwww.webofscience.com%2Fwos%2Fwoscc%2Ffull-record%2FWOS:000461909600003","View Full Record in Web of Science")</f>
        <v>View Full Record in Web of Science</v>
      </c>
    </row>
    <row r="342" spans="1:72" x14ac:dyDescent="0.15">
      <c r="A342" t="s">
        <v>72</v>
      </c>
      <c r="B342" t="s">
        <v>6954</v>
      </c>
      <c r="C342" t="s">
        <v>74</v>
      </c>
      <c r="D342" t="s">
        <v>74</v>
      </c>
      <c r="E342" t="s">
        <v>74</v>
      </c>
      <c r="F342" t="s">
        <v>6955</v>
      </c>
      <c r="G342" t="s">
        <v>74</v>
      </c>
      <c r="H342" t="s">
        <v>74</v>
      </c>
      <c r="I342" t="s">
        <v>6956</v>
      </c>
      <c r="J342" t="s">
        <v>2447</v>
      </c>
      <c r="K342" t="s">
        <v>74</v>
      </c>
      <c r="L342" t="s">
        <v>74</v>
      </c>
      <c r="M342" t="s">
        <v>78</v>
      </c>
      <c r="N342" t="s">
        <v>79</v>
      </c>
      <c r="O342" t="s">
        <v>74</v>
      </c>
      <c r="P342" t="s">
        <v>74</v>
      </c>
      <c r="Q342" t="s">
        <v>74</v>
      </c>
      <c r="R342" t="s">
        <v>74</v>
      </c>
      <c r="S342" t="s">
        <v>74</v>
      </c>
      <c r="T342" t="s">
        <v>6957</v>
      </c>
      <c r="U342" t="s">
        <v>6958</v>
      </c>
      <c r="V342" t="s">
        <v>6959</v>
      </c>
      <c r="W342" t="s">
        <v>6960</v>
      </c>
      <c r="X342" t="s">
        <v>6961</v>
      </c>
      <c r="Y342" t="s">
        <v>6962</v>
      </c>
      <c r="Z342" t="s">
        <v>6963</v>
      </c>
      <c r="AA342" t="s">
        <v>6964</v>
      </c>
      <c r="AB342" t="s">
        <v>6965</v>
      </c>
      <c r="AC342" t="s">
        <v>6966</v>
      </c>
      <c r="AD342" t="s">
        <v>6967</v>
      </c>
      <c r="AE342" t="s">
        <v>6968</v>
      </c>
      <c r="AF342" t="s">
        <v>74</v>
      </c>
      <c r="AG342">
        <v>94</v>
      </c>
      <c r="AH342">
        <v>9</v>
      </c>
      <c r="AI342">
        <v>12</v>
      </c>
      <c r="AJ342">
        <v>3</v>
      </c>
      <c r="AK342">
        <v>23</v>
      </c>
      <c r="AL342" t="s">
        <v>2011</v>
      </c>
      <c r="AM342" t="s">
        <v>2012</v>
      </c>
      <c r="AN342" t="s">
        <v>2013</v>
      </c>
      <c r="AO342" t="s">
        <v>2460</v>
      </c>
      <c r="AP342" t="s">
        <v>74</v>
      </c>
      <c r="AQ342" t="s">
        <v>74</v>
      </c>
      <c r="AR342" t="s">
        <v>2461</v>
      </c>
      <c r="AS342" t="s">
        <v>2462</v>
      </c>
      <c r="AT342" t="s">
        <v>6969</v>
      </c>
      <c r="AU342">
        <v>2019</v>
      </c>
      <c r="AV342">
        <v>11</v>
      </c>
      <c r="AW342">
        <v>6</v>
      </c>
      <c r="AX342" t="s">
        <v>74</v>
      </c>
      <c r="AY342" t="s">
        <v>74</v>
      </c>
      <c r="AZ342" t="s">
        <v>74</v>
      </c>
      <c r="BA342" t="s">
        <v>74</v>
      </c>
      <c r="BB342" t="s">
        <v>74</v>
      </c>
      <c r="BC342" t="s">
        <v>74</v>
      </c>
      <c r="BD342">
        <v>653</v>
      </c>
      <c r="BE342" t="s">
        <v>6970</v>
      </c>
      <c r="BF342" t="str">
        <f>HYPERLINK("http://dx.doi.org/10.3390/rs11060653","http://dx.doi.org/10.3390/rs11060653")</f>
        <v>http://dx.doi.org/10.3390/rs11060653</v>
      </c>
      <c r="BG342" t="s">
        <v>74</v>
      </c>
      <c r="BH342" t="s">
        <v>74</v>
      </c>
      <c r="BI342">
        <v>23</v>
      </c>
      <c r="BJ342" t="s">
        <v>2465</v>
      </c>
      <c r="BK342" t="s">
        <v>102</v>
      </c>
      <c r="BL342" t="s">
        <v>2466</v>
      </c>
      <c r="BM342" t="s">
        <v>6971</v>
      </c>
      <c r="BN342" t="s">
        <v>74</v>
      </c>
      <c r="BO342" t="s">
        <v>3093</v>
      </c>
      <c r="BP342" t="s">
        <v>74</v>
      </c>
      <c r="BQ342" t="s">
        <v>74</v>
      </c>
      <c r="BR342" t="s">
        <v>107</v>
      </c>
      <c r="BS342" t="s">
        <v>6972</v>
      </c>
      <c r="BT342" t="str">
        <f>HYPERLINK("https%3A%2F%2Fwww.webofscience.com%2Fwos%2Fwoscc%2Ffull-record%2FWOS:000464555900002","View Full Record in Web of Science")</f>
        <v>View Full Record in Web of Science</v>
      </c>
    </row>
    <row r="343" spans="1:72" x14ac:dyDescent="0.15">
      <c r="A343" t="s">
        <v>72</v>
      </c>
      <c r="B343" t="s">
        <v>6973</v>
      </c>
      <c r="C343" t="s">
        <v>74</v>
      </c>
      <c r="D343" t="s">
        <v>74</v>
      </c>
      <c r="E343" t="s">
        <v>74</v>
      </c>
      <c r="F343" t="s">
        <v>6974</v>
      </c>
      <c r="G343" t="s">
        <v>74</v>
      </c>
      <c r="H343" t="s">
        <v>74</v>
      </c>
      <c r="I343" t="s">
        <v>6975</v>
      </c>
      <c r="J343" t="s">
        <v>907</v>
      </c>
      <c r="K343" t="s">
        <v>74</v>
      </c>
      <c r="L343" t="s">
        <v>74</v>
      </c>
      <c r="M343" t="s">
        <v>78</v>
      </c>
      <c r="N343" t="s">
        <v>79</v>
      </c>
      <c r="O343" t="s">
        <v>74</v>
      </c>
      <c r="P343" t="s">
        <v>74</v>
      </c>
      <c r="Q343" t="s">
        <v>74</v>
      </c>
      <c r="R343" t="s">
        <v>74</v>
      </c>
      <c r="S343" t="s">
        <v>74</v>
      </c>
      <c r="T343" t="s">
        <v>6976</v>
      </c>
      <c r="U343" t="s">
        <v>6977</v>
      </c>
      <c r="V343" t="s">
        <v>6978</v>
      </c>
      <c r="W343" t="s">
        <v>6979</v>
      </c>
      <c r="X343" t="s">
        <v>6980</v>
      </c>
      <c r="Y343" t="s">
        <v>6981</v>
      </c>
      <c r="Z343" t="s">
        <v>6982</v>
      </c>
      <c r="AA343" t="s">
        <v>6983</v>
      </c>
      <c r="AB343" t="s">
        <v>6984</v>
      </c>
      <c r="AC343" t="s">
        <v>6985</v>
      </c>
      <c r="AD343" t="s">
        <v>6986</v>
      </c>
      <c r="AE343" t="s">
        <v>6987</v>
      </c>
      <c r="AF343" t="s">
        <v>74</v>
      </c>
      <c r="AG343">
        <v>62</v>
      </c>
      <c r="AH343">
        <v>36</v>
      </c>
      <c r="AI343">
        <v>37</v>
      </c>
      <c r="AJ343">
        <v>0</v>
      </c>
      <c r="AK343">
        <v>14</v>
      </c>
      <c r="AL343" t="s">
        <v>125</v>
      </c>
      <c r="AM343" t="s">
        <v>126</v>
      </c>
      <c r="AN343" t="s">
        <v>127</v>
      </c>
      <c r="AO343" t="s">
        <v>916</v>
      </c>
      <c r="AP343" t="s">
        <v>917</v>
      </c>
      <c r="AQ343" t="s">
        <v>74</v>
      </c>
      <c r="AR343" t="s">
        <v>918</v>
      </c>
      <c r="AS343" t="s">
        <v>919</v>
      </c>
      <c r="AT343" t="s">
        <v>6988</v>
      </c>
      <c r="AU343">
        <v>2019</v>
      </c>
      <c r="AV343">
        <v>46</v>
      </c>
      <c r="AW343">
        <v>5</v>
      </c>
      <c r="AX343" t="s">
        <v>74</v>
      </c>
      <c r="AY343" t="s">
        <v>74</v>
      </c>
      <c r="AZ343" t="s">
        <v>74</v>
      </c>
      <c r="BA343" t="s">
        <v>74</v>
      </c>
      <c r="BB343">
        <v>2337</v>
      </c>
      <c r="BC343">
        <v>2346</v>
      </c>
      <c r="BD343" t="s">
        <v>74</v>
      </c>
      <c r="BE343" t="s">
        <v>6989</v>
      </c>
      <c r="BF343" t="str">
        <f>HYPERLINK("http://dx.doi.org/10.1029/2019GL082111","http://dx.doi.org/10.1029/2019GL082111")</f>
        <v>http://dx.doi.org/10.1029/2019GL082111</v>
      </c>
      <c r="BG343" t="s">
        <v>74</v>
      </c>
      <c r="BH343" t="s">
        <v>74</v>
      </c>
      <c r="BI343">
        <v>10</v>
      </c>
      <c r="BJ343" t="s">
        <v>922</v>
      </c>
      <c r="BK343" t="s">
        <v>102</v>
      </c>
      <c r="BL343" t="s">
        <v>923</v>
      </c>
      <c r="BM343" t="s">
        <v>6990</v>
      </c>
      <c r="BN343" t="s">
        <v>74</v>
      </c>
      <c r="BO343" t="s">
        <v>1014</v>
      </c>
      <c r="BP343" t="s">
        <v>74</v>
      </c>
      <c r="BQ343" t="s">
        <v>74</v>
      </c>
      <c r="BR343" t="s">
        <v>107</v>
      </c>
      <c r="BS343" t="s">
        <v>6991</v>
      </c>
      <c r="BT343" t="str">
        <f>HYPERLINK("https%3A%2F%2Fwww.webofscience.com%2Fwos%2Fwoscc%2Ffull-record%2FWOS:000462612900002","View Full Record in Web of Science")</f>
        <v>View Full Record in Web of Science</v>
      </c>
    </row>
    <row r="344" spans="1:72" x14ac:dyDescent="0.15">
      <c r="A344" t="s">
        <v>72</v>
      </c>
      <c r="B344" t="s">
        <v>6992</v>
      </c>
      <c r="C344" t="s">
        <v>74</v>
      </c>
      <c r="D344" t="s">
        <v>74</v>
      </c>
      <c r="E344" t="s">
        <v>74</v>
      </c>
      <c r="F344" t="s">
        <v>6993</v>
      </c>
      <c r="G344" t="s">
        <v>74</v>
      </c>
      <c r="H344" t="s">
        <v>74</v>
      </c>
      <c r="I344" t="s">
        <v>6994</v>
      </c>
      <c r="J344" t="s">
        <v>907</v>
      </c>
      <c r="K344" t="s">
        <v>74</v>
      </c>
      <c r="L344" t="s">
        <v>74</v>
      </c>
      <c r="M344" t="s">
        <v>78</v>
      </c>
      <c r="N344" t="s">
        <v>79</v>
      </c>
      <c r="O344" t="s">
        <v>74</v>
      </c>
      <c r="P344" t="s">
        <v>74</v>
      </c>
      <c r="Q344" t="s">
        <v>74</v>
      </c>
      <c r="R344" t="s">
        <v>74</v>
      </c>
      <c r="S344" t="s">
        <v>74</v>
      </c>
      <c r="T344" t="s">
        <v>6995</v>
      </c>
      <c r="U344" t="s">
        <v>6996</v>
      </c>
      <c r="V344" t="s">
        <v>6997</v>
      </c>
      <c r="W344" t="s">
        <v>6998</v>
      </c>
      <c r="X344" t="s">
        <v>6999</v>
      </c>
      <c r="Y344" t="s">
        <v>7000</v>
      </c>
      <c r="Z344" t="s">
        <v>7001</v>
      </c>
      <c r="AA344" t="s">
        <v>7002</v>
      </c>
      <c r="AB344" t="s">
        <v>7003</v>
      </c>
      <c r="AC344" t="s">
        <v>7004</v>
      </c>
      <c r="AD344" t="s">
        <v>7005</v>
      </c>
      <c r="AE344" t="s">
        <v>7006</v>
      </c>
      <c r="AF344" t="s">
        <v>74</v>
      </c>
      <c r="AG344">
        <v>21</v>
      </c>
      <c r="AH344">
        <v>9</v>
      </c>
      <c r="AI344">
        <v>9</v>
      </c>
      <c r="AJ344">
        <v>0</v>
      </c>
      <c r="AK344">
        <v>13</v>
      </c>
      <c r="AL344" t="s">
        <v>125</v>
      </c>
      <c r="AM344" t="s">
        <v>126</v>
      </c>
      <c r="AN344" t="s">
        <v>127</v>
      </c>
      <c r="AO344" t="s">
        <v>916</v>
      </c>
      <c r="AP344" t="s">
        <v>917</v>
      </c>
      <c r="AQ344" t="s">
        <v>74</v>
      </c>
      <c r="AR344" t="s">
        <v>918</v>
      </c>
      <c r="AS344" t="s">
        <v>919</v>
      </c>
      <c r="AT344" t="s">
        <v>6988</v>
      </c>
      <c r="AU344">
        <v>2019</v>
      </c>
      <c r="AV344">
        <v>46</v>
      </c>
      <c r="AW344">
        <v>5</v>
      </c>
      <c r="AX344" t="s">
        <v>74</v>
      </c>
      <c r="AY344" t="s">
        <v>74</v>
      </c>
      <c r="AZ344" t="s">
        <v>74</v>
      </c>
      <c r="BA344" t="s">
        <v>74</v>
      </c>
      <c r="BB344">
        <v>2364</v>
      </c>
      <c r="BC344">
        <v>2371</v>
      </c>
      <c r="BD344" t="s">
        <v>74</v>
      </c>
      <c r="BE344" t="s">
        <v>7007</v>
      </c>
      <c r="BF344" t="str">
        <f>HYPERLINK("http://dx.doi.org/10.1029/2019GL082155","http://dx.doi.org/10.1029/2019GL082155")</f>
        <v>http://dx.doi.org/10.1029/2019GL082155</v>
      </c>
      <c r="BG344" t="s">
        <v>74</v>
      </c>
      <c r="BH344" t="s">
        <v>74</v>
      </c>
      <c r="BI344">
        <v>8</v>
      </c>
      <c r="BJ344" t="s">
        <v>922</v>
      </c>
      <c r="BK344" t="s">
        <v>102</v>
      </c>
      <c r="BL344" t="s">
        <v>923</v>
      </c>
      <c r="BM344" t="s">
        <v>6990</v>
      </c>
      <c r="BN344" t="s">
        <v>74</v>
      </c>
      <c r="BO344" t="s">
        <v>74</v>
      </c>
      <c r="BP344" t="s">
        <v>74</v>
      </c>
      <c r="BQ344" t="s">
        <v>74</v>
      </c>
      <c r="BR344" t="s">
        <v>107</v>
      </c>
      <c r="BS344" t="s">
        <v>7008</v>
      </c>
      <c r="BT344" t="str">
        <f>HYPERLINK("https%3A%2F%2Fwww.webofscience.com%2Fwos%2Fwoscc%2Ffull-record%2FWOS:000462612900005","View Full Record in Web of Science")</f>
        <v>View Full Record in Web of Science</v>
      </c>
    </row>
    <row r="345" spans="1:72" x14ac:dyDescent="0.15">
      <c r="A345" t="s">
        <v>72</v>
      </c>
      <c r="B345" t="s">
        <v>7009</v>
      </c>
      <c r="C345" t="s">
        <v>74</v>
      </c>
      <c r="D345" t="s">
        <v>74</v>
      </c>
      <c r="E345" t="s">
        <v>74</v>
      </c>
      <c r="F345" t="s">
        <v>7010</v>
      </c>
      <c r="G345" t="s">
        <v>74</v>
      </c>
      <c r="H345" t="s">
        <v>74</v>
      </c>
      <c r="I345" t="s">
        <v>7011</v>
      </c>
      <c r="J345" t="s">
        <v>907</v>
      </c>
      <c r="K345" t="s">
        <v>74</v>
      </c>
      <c r="L345" t="s">
        <v>74</v>
      </c>
      <c r="M345" t="s">
        <v>78</v>
      </c>
      <c r="N345" t="s">
        <v>79</v>
      </c>
      <c r="O345" t="s">
        <v>74</v>
      </c>
      <c r="P345" t="s">
        <v>74</v>
      </c>
      <c r="Q345" t="s">
        <v>74</v>
      </c>
      <c r="R345" t="s">
        <v>74</v>
      </c>
      <c r="S345" t="s">
        <v>74</v>
      </c>
      <c r="T345" t="s">
        <v>7012</v>
      </c>
      <c r="U345" t="s">
        <v>7013</v>
      </c>
      <c r="V345" t="s">
        <v>7014</v>
      </c>
      <c r="W345" t="s">
        <v>7015</v>
      </c>
      <c r="X345" t="s">
        <v>7016</v>
      </c>
      <c r="Y345" t="s">
        <v>7017</v>
      </c>
      <c r="Z345" t="s">
        <v>7018</v>
      </c>
      <c r="AA345" t="s">
        <v>7019</v>
      </c>
      <c r="AB345" t="s">
        <v>7020</v>
      </c>
      <c r="AC345" t="s">
        <v>7021</v>
      </c>
      <c r="AD345" t="s">
        <v>7022</v>
      </c>
      <c r="AE345" t="s">
        <v>7023</v>
      </c>
      <c r="AF345" t="s">
        <v>74</v>
      </c>
      <c r="AG345">
        <v>29</v>
      </c>
      <c r="AH345">
        <v>42</v>
      </c>
      <c r="AI345">
        <v>46</v>
      </c>
      <c r="AJ345">
        <v>0</v>
      </c>
      <c r="AK345">
        <v>17</v>
      </c>
      <c r="AL345" t="s">
        <v>125</v>
      </c>
      <c r="AM345" t="s">
        <v>126</v>
      </c>
      <c r="AN345" t="s">
        <v>127</v>
      </c>
      <c r="AO345" t="s">
        <v>916</v>
      </c>
      <c r="AP345" t="s">
        <v>917</v>
      </c>
      <c r="AQ345" t="s">
        <v>74</v>
      </c>
      <c r="AR345" t="s">
        <v>918</v>
      </c>
      <c r="AS345" t="s">
        <v>919</v>
      </c>
      <c r="AT345" t="s">
        <v>6988</v>
      </c>
      <c r="AU345">
        <v>2019</v>
      </c>
      <c r="AV345">
        <v>46</v>
      </c>
      <c r="AW345">
        <v>5</v>
      </c>
      <c r="AX345" t="s">
        <v>74</v>
      </c>
      <c r="AY345" t="s">
        <v>74</v>
      </c>
      <c r="AZ345" t="s">
        <v>74</v>
      </c>
      <c r="BA345" t="s">
        <v>74</v>
      </c>
      <c r="BB345">
        <v>2662</v>
      </c>
      <c r="BC345">
        <v>2669</v>
      </c>
      <c r="BD345" t="s">
        <v>74</v>
      </c>
      <c r="BE345" t="s">
        <v>7024</v>
      </c>
      <c r="BF345" t="str">
        <f>HYPERLINK("http://dx.doi.org/10.1029/2018GL081685","http://dx.doi.org/10.1029/2018GL081685")</f>
        <v>http://dx.doi.org/10.1029/2018GL081685</v>
      </c>
      <c r="BG345" t="s">
        <v>74</v>
      </c>
      <c r="BH345" t="s">
        <v>74</v>
      </c>
      <c r="BI345">
        <v>8</v>
      </c>
      <c r="BJ345" t="s">
        <v>922</v>
      </c>
      <c r="BK345" t="s">
        <v>102</v>
      </c>
      <c r="BL345" t="s">
        <v>923</v>
      </c>
      <c r="BM345" t="s">
        <v>6990</v>
      </c>
      <c r="BN345" t="s">
        <v>74</v>
      </c>
      <c r="BO345" t="s">
        <v>198</v>
      </c>
      <c r="BP345" t="s">
        <v>74</v>
      </c>
      <c r="BQ345" t="s">
        <v>74</v>
      </c>
      <c r="BR345" t="s">
        <v>107</v>
      </c>
      <c r="BS345" t="s">
        <v>7025</v>
      </c>
      <c r="BT345" t="str">
        <f>HYPERLINK("https%3A%2F%2Fwww.webofscience.com%2Fwos%2Fwoscc%2Ffull-record%2FWOS:000462612900037","View Full Record in Web of Science")</f>
        <v>View Full Record in Web of Science</v>
      </c>
    </row>
    <row r="346" spans="1:72" x14ac:dyDescent="0.15">
      <c r="A346" t="s">
        <v>72</v>
      </c>
      <c r="B346" t="s">
        <v>7026</v>
      </c>
      <c r="C346" t="s">
        <v>74</v>
      </c>
      <c r="D346" t="s">
        <v>74</v>
      </c>
      <c r="E346" t="s">
        <v>74</v>
      </c>
      <c r="F346" t="s">
        <v>7027</v>
      </c>
      <c r="G346" t="s">
        <v>74</v>
      </c>
      <c r="H346" t="s">
        <v>74</v>
      </c>
      <c r="I346" t="s">
        <v>7028</v>
      </c>
      <c r="J346" t="s">
        <v>907</v>
      </c>
      <c r="K346" t="s">
        <v>74</v>
      </c>
      <c r="L346" t="s">
        <v>74</v>
      </c>
      <c r="M346" t="s">
        <v>78</v>
      </c>
      <c r="N346" t="s">
        <v>79</v>
      </c>
      <c r="O346" t="s">
        <v>74</v>
      </c>
      <c r="P346" t="s">
        <v>74</v>
      </c>
      <c r="Q346" t="s">
        <v>74</v>
      </c>
      <c r="R346" t="s">
        <v>74</v>
      </c>
      <c r="S346" t="s">
        <v>74</v>
      </c>
      <c r="T346" t="s">
        <v>7029</v>
      </c>
      <c r="U346" t="s">
        <v>7030</v>
      </c>
      <c r="V346" t="s">
        <v>7031</v>
      </c>
      <c r="W346" t="s">
        <v>7032</v>
      </c>
      <c r="X346" t="s">
        <v>7033</v>
      </c>
      <c r="Y346" t="s">
        <v>7034</v>
      </c>
      <c r="Z346" t="s">
        <v>7035</v>
      </c>
      <c r="AA346" t="s">
        <v>7036</v>
      </c>
      <c r="AB346" t="s">
        <v>7037</v>
      </c>
      <c r="AC346" t="s">
        <v>7038</v>
      </c>
      <c r="AD346" t="s">
        <v>7039</v>
      </c>
      <c r="AE346" t="s">
        <v>7040</v>
      </c>
      <c r="AF346" t="s">
        <v>74</v>
      </c>
      <c r="AG346">
        <v>22</v>
      </c>
      <c r="AH346">
        <v>55</v>
      </c>
      <c r="AI346">
        <v>60</v>
      </c>
      <c r="AJ346">
        <v>0</v>
      </c>
      <c r="AK346">
        <v>45</v>
      </c>
      <c r="AL346" t="s">
        <v>125</v>
      </c>
      <c r="AM346" t="s">
        <v>126</v>
      </c>
      <c r="AN346" t="s">
        <v>127</v>
      </c>
      <c r="AO346" t="s">
        <v>916</v>
      </c>
      <c r="AP346" t="s">
        <v>917</v>
      </c>
      <c r="AQ346" t="s">
        <v>74</v>
      </c>
      <c r="AR346" t="s">
        <v>918</v>
      </c>
      <c r="AS346" t="s">
        <v>919</v>
      </c>
      <c r="AT346" t="s">
        <v>6988</v>
      </c>
      <c r="AU346">
        <v>2019</v>
      </c>
      <c r="AV346">
        <v>46</v>
      </c>
      <c r="AW346">
        <v>5</v>
      </c>
      <c r="AX346" t="s">
        <v>74</v>
      </c>
      <c r="AY346" t="s">
        <v>74</v>
      </c>
      <c r="AZ346" t="s">
        <v>74</v>
      </c>
      <c r="BA346" t="s">
        <v>74</v>
      </c>
      <c r="BB346">
        <v>2781</v>
      </c>
      <c r="BC346">
        <v>2789</v>
      </c>
      <c r="BD346" t="s">
        <v>74</v>
      </c>
      <c r="BE346" t="s">
        <v>7041</v>
      </c>
      <c r="BF346" t="str">
        <f>HYPERLINK("http://dx.doi.org/10.1029/2019GL082220","http://dx.doi.org/10.1029/2019GL082220")</f>
        <v>http://dx.doi.org/10.1029/2019GL082220</v>
      </c>
      <c r="BG346" t="s">
        <v>74</v>
      </c>
      <c r="BH346" t="s">
        <v>74</v>
      </c>
      <c r="BI346">
        <v>9</v>
      </c>
      <c r="BJ346" t="s">
        <v>922</v>
      </c>
      <c r="BK346" t="s">
        <v>102</v>
      </c>
      <c r="BL346" t="s">
        <v>923</v>
      </c>
      <c r="BM346" t="s">
        <v>6990</v>
      </c>
      <c r="BN346" t="s">
        <v>74</v>
      </c>
      <c r="BO346" t="s">
        <v>74</v>
      </c>
      <c r="BP346" t="s">
        <v>74</v>
      </c>
      <c r="BQ346" t="s">
        <v>74</v>
      </c>
      <c r="BR346" t="s">
        <v>107</v>
      </c>
      <c r="BS346" t="s">
        <v>7042</v>
      </c>
      <c r="BT346" t="str">
        <f>HYPERLINK("https%3A%2F%2Fwww.webofscience.com%2Fwos%2Fwoscc%2Ffull-record%2FWOS:000462612900050","View Full Record in Web of Science")</f>
        <v>View Full Record in Web of Science</v>
      </c>
    </row>
    <row r="347" spans="1:72" x14ac:dyDescent="0.15">
      <c r="A347" t="s">
        <v>72</v>
      </c>
      <c r="B347" t="s">
        <v>7043</v>
      </c>
      <c r="C347" t="s">
        <v>74</v>
      </c>
      <c r="D347" t="s">
        <v>74</v>
      </c>
      <c r="E347" t="s">
        <v>74</v>
      </c>
      <c r="F347" t="s">
        <v>7044</v>
      </c>
      <c r="G347" t="s">
        <v>74</v>
      </c>
      <c r="H347" t="s">
        <v>74</v>
      </c>
      <c r="I347" t="s">
        <v>7045</v>
      </c>
      <c r="J347" t="s">
        <v>1019</v>
      </c>
      <c r="K347" t="s">
        <v>74</v>
      </c>
      <c r="L347" t="s">
        <v>74</v>
      </c>
      <c r="M347" t="s">
        <v>78</v>
      </c>
      <c r="N347" t="s">
        <v>79</v>
      </c>
      <c r="O347" t="s">
        <v>74</v>
      </c>
      <c r="P347" t="s">
        <v>74</v>
      </c>
      <c r="Q347" t="s">
        <v>74</v>
      </c>
      <c r="R347" t="s">
        <v>74</v>
      </c>
      <c r="S347" t="s">
        <v>74</v>
      </c>
      <c r="T347" t="s">
        <v>7046</v>
      </c>
      <c r="U347" t="s">
        <v>7047</v>
      </c>
      <c r="V347" t="s">
        <v>7048</v>
      </c>
      <c r="W347" t="s">
        <v>7049</v>
      </c>
      <c r="X347" t="s">
        <v>7050</v>
      </c>
      <c r="Y347" t="s">
        <v>7051</v>
      </c>
      <c r="Z347" t="s">
        <v>7052</v>
      </c>
      <c r="AA347" t="s">
        <v>7053</v>
      </c>
      <c r="AB347" t="s">
        <v>7054</v>
      </c>
      <c r="AC347" t="s">
        <v>7055</v>
      </c>
      <c r="AD347" t="s">
        <v>7056</v>
      </c>
      <c r="AE347" t="s">
        <v>7057</v>
      </c>
      <c r="AF347" t="s">
        <v>74</v>
      </c>
      <c r="AG347">
        <v>60</v>
      </c>
      <c r="AH347">
        <v>27</v>
      </c>
      <c r="AI347">
        <v>29</v>
      </c>
      <c r="AJ347">
        <v>3</v>
      </c>
      <c r="AK347">
        <v>30</v>
      </c>
      <c r="AL347" t="s">
        <v>125</v>
      </c>
      <c r="AM347" t="s">
        <v>126</v>
      </c>
      <c r="AN347" t="s">
        <v>127</v>
      </c>
      <c r="AO347" t="s">
        <v>1031</v>
      </c>
      <c r="AP347" t="s">
        <v>1032</v>
      </c>
      <c r="AQ347" t="s">
        <v>74</v>
      </c>
      <c r="AR347" t="s">
        <v>1033</v>
      </c>
      <c r="AS347" t="s">
        <v>1034</v>
      </c>
      <c r="AT347" t="s">
        <v>6988</v>
      </c>
      <c r="AU347">
        <v>2019</v>
      </c>
      <c r="AV347">
        <v>124</v>
      </c>
      <c r="AW347">
        <v>5</v>
      </c>
      <c r="AX347" t="s">
        <v>74</v>
      </c>
      <c r="AY347" t="s">
        <v>74</v>
      </c>
      <c r="AZ347" t="s">
        <v>74</v>
      </c>
      <c r="BA347" t="s">
        <v>74</v>
      </c>
      <c r="BB347">
        <v>2435</v>
      </c>
      <c r="BC347">
        <v>2451</v>
      </c>
      <c r="BD347" t="s">
        <v>74</v>
      </c>
      <c r="BE347" t="s">
        <v>7058</v>
      </c>
      <c r="BF347" t="str">
        <f>HYPERLINK("http://dx.doi.org/10.1029/2018JD029301","http://dx.doi.org/10.1029/2018JD029301")</f>
        <v>http://dx.doi.org/10.1029/2018JD029301</v>
      </c>
      <c r="BG347" t="s">
        <v>74</v>
      </c>
      <c r="BH347" t="s">
        <v>74</v>
      </c>
      <c r="BI347">
        <v>17</v>
      </c>
      <c r="BJ347" t="s">
        <v>133</v>
      </c>
      <c r="BK347" t="s">
        <v>102</v>
      </c>
      <c r="BL347" t="s">
        <v>133</v>
      </c>
      <c r="BM347" t="s">
        <v>7059</v>
      </c>
      <c r="BN347" t="s">
        <v>74</v>
      </c>
      <c r="BO347" t="s">
        <v>1014</v>
      </c>
      <c r="BP347" t="s">
        <v>74</v>
      </c>
      <c r="BQ347" t="s">
        <v>74</v>
      </c>
      <c r="BR347" t="s">
        <v>107</v>
      </c>
      <c r="BS347" t="s">
        <v>7060</v>
      </c>
      <c r="BT347" t="str">
        <f>HYPERLINK("https%3A%2F%2Fwww.webofscience.com%2Fwos%2Fwoscc%2Ffull-record%2FWOS:000462139800004","View Full Record in Web of Science")</f>
        <v>View Full Record in Web of Science</v>
      </c>
    </row>
    <row r="348" spans="1:72" x14ac:dyDescent="0.15">
      <c r="A348" t="s">
        <v>72</v>
      </c>
      <c r="B348" t="s">
        <v>7061</v>
      </c>
      <c r="C348" t="s">
        <v>74</v>
      </c>
      <c r="D348" t="s">
        <v>74</v>
      </c>
      <c r="E348" t="s">
        <v>74</v>
      </c>
      <c r="F348" t="s">
        <v>7062</v>
      </c>
      <c r="G348" t="s">
        <v>74</v>
      </c>
      <c r="H348" t="s">
        <v>74</v>
      </c>
      <c r="I348" t="s">
        <v>7063</v>
      </c>
      <c r="J348" t="s">
        <v>1019</v>
      </c>
      <c r="K348" t="s">
        <v>74</v>
      </c>
      <c r="L348" t="s">
        <v>74</v>
      </c>
      <c r="M348" t="s">
        <v>78</v>
      </c>
      <c r="N348" t="s">
        <v>79</v>
      </c>
      <c r="O348" t="s">
        <v>74</v>
      </c>
      <c r="P348" t="s">
        <v>74</v>
      </c>
      <c r="Q348" t="s">
        <v>74</v>
      </c>
      <c r="R348" t="s">
        <v>74</v>
      </c>
      <c r="S348" t="s">
        <v>74</v>
      </c>
      <c r="T348" t="s">
        <v>7064</v>
      </c>
      <c r="U348" t="s">
        <v>7065</v>
      </c>
      <c r="V348" t="s">
        <v>7066</v>
      </c>
      <c r="W348" t="s">
        <v>7067</v>
      </c>
      <c r="X348" t="s">
        <v>7068</v>
      </c>
      <c r="Y348" t="s">
        <v>7069</v>
      </c>
      <c r="Z348" t="s">
        <v>7070</v>
      </c>
      <c r="AA348" t="s">
        <v>7071</v>
      </c>
      <c r="AB348" t="s">
        <v>7072</v>
      </c>
      <c r="AC348" t="s">
        <v>7073</v>
      </c>
      <c r="AD348" t="s">
        <v>7074</v>
      </c>
      <c r="AE348" t="s">
        <v>7075</v>
      </c>
      <c r="AF348" t="s">
        <v>74</v>
      </c>
      <c r="AG348">
        <v>52</v>
      </c>
      <c r="AH348">
        <v>20</v>
      </c>
      <c r="AI348">
        <v>20</v>
      </c>
      <c r="AJ348">
        <v>0</v>
      </c>
      <c r="AK348">
        <v>21</v>
      </c>
      <c r="AL348" t="s">
        <v>125</v>
      </c>
      <c r="AM348" t="s">
        <v>126</v>
      </c>
      <c r="AN348" t="s">
        <v>127</v>
      </c>
      <c r="AO348" t="s">
        <v>1031</v>
      </c>
      <c r="AP348" t="s">
        <v>1032</v>
      </c>
      <c r="AQ348" t="s">
        <v>74</v>
      </c>
      <c r="AR348" t="s">
        <v>1033</v>
      </c>
      <c r="AS348" t="s">
        <v>1034</v>
      </c>
      <c r="AT348" t="s">
        <v>6988</v>
      </c>
      <c r="AU348">
        <v>2019</v>
      </c>
      <c r="AV348">
        <v>124</v>
      </c>
      <c r="AW348">
        <v>5</v>
      </c>
      <c r="AX348" t="s">
        <v>74</v>
      </c>
      <c r="AY348" t="s">
        <v>74</v>
      </c>
      <c r="AZ348" t="s">
        <v>74</v>
      </c>
      <c r="BA348" t="s">
        <v>74</v>
      </c>
      <c r="BB348">
        <v>2525</v>
      </c>
      <c r="BC348">
        <v>2545</v>
      </c>
      <c r="BD348" t="s">
        <v>74</v>
      </c>
      <c r="BE348" t="s">
        <v>7076</v>
      </c>
      <c r="BF348" t="str">
        <f>HYPERLINK("http://dx.doi.org/10.1029/2018JD028766","http://dx.doi.org/10.1029/2018JD028766")</f>
        <v>http://dx.doi.org/10.1029/2018JD028766</v>
      </c>
      <c r="BG348" t="s">
        <v>74</v>
      </c>
      <c r="BH348" t="s">
        <v>74</v>
      </c>
      <c r="BI348">
        <v>21</v>
      </c>
      <c r="BJ348" t="s">
        <v>133</v>
      </c>
      <c r="BK348" t="s">
        <v>102</v>
      </c>
      <c r="BL348" t="s">
        <v>133</v>
      </c>
      <c r="BM348" t="s">
        <v>7059</v>
      </c>
      <c r="BN348" t="s">
        <v>74</v>
      </c>
      <c r="BO348" t="s">
        <v>1014</v>
      </c>
      <c r="BP348" t="s">
        <v>74</v>
      </c>
      <c r="BQ348" t="s">
        <v>74</v>
      </c>
      <c r="BR348" t="s">
        <v>107</v>
      </c>
      <c r="BS348" t="s">
        <v>7077</v>
      </c>
      <c r="BT348" t="str">
        <f>HYPERLINK("https%3A%2F%2Fwww.webofscience.com%2Fwos%2Fwoscc%2Ffull-record%2FWOS:000462139800009","View Full Record in Web of Science")</f>
        <v>View Full Record in Web of Science</v>
      </c>
    </row>
    <row r="349" spans="1:72" x14ac:dyDescent="0.15">
      <c r="A349" t="s">
        <v>72</v>
      </c>
      <c r="B349" t="s">
        <v>7078</v>
      </c>
      <c r="C349" t="s">
        <v>74</v>
      </c>
      <c r="D349" t="s">
        <v>74</v>
      </c>
      <c r="E349" t="s">
        <v>74</v>
      </c>
      <c r="F349" t="s">
        <v>7079</v>
      </c>
      <c r="G349" t="s">
        <v>74</v>
      </c>
      <c r="H349" t="s">
        <v>74</v>
      </c>
      <c r="I349" t="s">
        <v>7080</v>
      </c>
      <c r="J349" t="s">
        <v>1019</v>
      </c>
      <c r="K349" t="s">
        <v>74</v>
      </c>
      <c r="L349" t="s">
        <v>74</v>
      </c>
      <c r="M349" t="s">
        <v>78</v>
      </c>
      <c r="N349" t="s">
        <v>79</v>
      </c>
      <c r="O349" t="s">
        <v>74</v>
      </c>
      <c r="P349" t="s">
        <v>74</v>
      </c>
      <c r="Q349" t="s">
        <v>74</v>
      </c>
      <c r="R349" t="s">
        <v>74</v>
      </c>
      <c r="S349" t="s">
        <v>74</v>
      </c>
      <c r="T349" t="s">
        <v>7081</v>
      </c>
      <c r="U349" t="s">
        <v>7082</v>
      </c>
      <c r="V349" t="s">
        <v>7083</v>
      </c>
      <c r="W349" t="s">
        <v>7084</v>
      </c>
      <c r="X349" t="s">
        <v>7085</v>
      </c>
      <c r="Y349" t="s">
        <v>7086</v>
      </c>
      <c r="Z349" t="s">
        <v>7087</v>
      </c>
      <c r="AA349" t="s">
        <v>7088</v>
      </c>
      <c r="AB349" t="s">
        <v>7089</v>
      </c>
      <c r="AC349" t="s">
        <v>7090</v>
      </c>
      <c r="AD349" t="s">
        <v>7091</v>
      </c>
      <c r="AE349" t="s">
        <v>7092</v>
      </c>
      <c r="AF349" t="s">
        <v>74</v>
      </c>
      <c r="AG349">
        <v>98</v>
      </c>
      <c r="AH349">
        <v>16</v>
      </c>
      <c r="AI349">
        <v>16</v>
      </c>
      <c r="AJ349">
        <v>1</v>
      </c>
      <c r="AK349">
        <v>23</v>
      </c>
      <c r="AL349" t="s">
        <v>125</v>
      </c>
      <c r="AM349" t="s">
        <v>126</v>
      </c>
      <c r="AN349" t="s">
        <v>127</v>
      </c>
      <c r="AO349" t="s">
        <v>1031</v>
      </c>
      <c r="AP349" t="s">
        <v>1032</v>
      </c>
      <c r="AQ349" t="s">
        <v>74</v>
      </c>
      <c r="AR349" t="s">
        <v>1033</v>
      </c>
      <c r="AS349" t="s">
        <v>1034</v>
      </c>
      <c r="AT349" t="s">
        <v>6988</v>
      </c>
      <c r="AU349">
        <v>2019</v>
      </c>
      <c r="AV349">
        <v>124</v>
      </c>
      <c r="AW349">
        <v>5</v>
      </c>
      <c r="AX349" t="s">
        <v>74</v>
      </c>
      <c r="AY349" t="s">
        <v>74</v>
      </c>
      <c r="AZ349" t="s">
        <v>74</v>
      </c>
      <c r="BA349" t="s">
        <v>74</v>
      </c>
      <c r="BB349">
        <v>2677</v>
      </c>
      <c r="BC349">
        <v>2701</v>
      </c>
      <c r="BD349" t="s">
        <v>74</v>
      </c>
      <c r="BE349" t="s">
        <v>7093</v>
      </c>
      <c r="BF349" t="str">
        <f>HYPERLINK("http://dx.doi.org/10.1029/2018JD029524","http://dx.doi.org/10.1029/2018JD029524")</f>
        <v>http://dx.doi.org/10.1029/2018JD029524</v>
      </c>
      <c r="BG349" t="s">
        <v>74</v>
      </c>
      <c r="BH349" t="s">
        <v>74</v>
      </c>
      <c r="BI349">
        <v>25</v>
      </c>
      <c r="BJ349" t="s">
        <v>133</v>
      </c>
      <c r="BK349" t="s">
        <v>102</v>
      </c>
      <c r="BL349" t="s">
        <v>133</v>
      </c>
      <c r="BM349" t="s">
        <v>7059</v>
      </c>
      <c r="BN349" t="s">
        <v>74</v>
      </c>
      <c r="BO349" t="s">
        <v>6600</v>
      </c>
      <c r="BP349" t="s">
        <v>74</v>
      </c>
      <c r="BQ349" t="s">
        <v>74</v>
      </c>
      <c r="BR349" t="s">
        <v>107</v>
      </c>
      <c r="BS349" t="s">
        <v>7094</v>
      </c>
      <c r="BT349" t="str">
        <f>HYPERLINK("https%3A%2F%2Fwww.webofscience.com%2Fwos%2Fwoscc%2Ffull-record%2FWOS:000462139800018","View Full Record in Web of Science")</f>
        <v>View Full Record in Web of Science</v>
      </c>
    </row>
    <row r="350" spans="1:72" x14ac:dyDescent="0.15">
      <c r="A350" t="s">
        <v>72</v>
      </c>
      <c r="B350" t="s">
        <v>7095</v>
      </c>
      <c r="C350" t="s">
        <v>74</v>
      </c>
      <c r="D350" t="s">
        <v>74</v>
      </c>
      <c r="E350" t="s">
        <v>74</v>
      </c>
      <c r="F350" t="s">
        <v>7096</v>
      </c>
      <c r="G350" t="s">
        <v>74</v>
      </c>
      <c r="H350" t="s">
        <v>74</v>
      </c>
      <c r="I350" t="s">
        <v>7097</v>
      </c>
      <c r="J350" t="s">
        <v>7098</v>
      </c>
      <c r="K350" t="s">
        <v>74</v>
      </c>
      <c r="L350" t="s">
        <v>74</v>
      </c>
      <c r="M350" t="s">
        <v>78</v>
      </c>
      <c r="N350" t="s">
        <v>79</v>
      </c>
      <c r="O350" t="s">
        <v>74</v>
      </c>
      <c r="P350" t="s">
        <v>74</v>
      </c>
      <c r="Q350" t="s">
        <v>74</v>
      </c>
      <c r="R350" t="s">
        <v>74</v>
      </c>
      <c r="S350" t="s">
        <v>74</v>
      </c>
      <c r="T350" t="s">
        <v>7099</v>
      </c>
      <c r="U350" t="s">
        <v>7100</v>
      </c>
      <c r="V350" t="s">
        <v>7101</v>
      </c>
      <c r="W350" t="s">
        <v>7102</v>
      </c>
      <c r="X350" t="s">
        <v>7103</v>
      </c>
      <c r="Y350" t="s">
        <v>7104</v>
      </c>
      <c r="Z350" t="s">
        <v>7105</v>
      </c>
      <c r="AA350" t="s">
        <v>7106</v>
      </c>
      <c r="AB350" t="s">
        <v>74</v>
      </c>
      <c r="AC350" t="s">
        <v>74</v>
      </c>
      <c r="AD350" t="s">
        <v>74</v>
      </c>
      <c r="AE350" t="s">
        <v>74</v>
      </c>
      <c r="AF350" t="s">
        <v>74</v>
      </c>
      <c r="AG350">
        <v>38</v>
      </c>
      <c r="AH350">
        <v>1</v>
      </c>
      <c r="AI350">
        <v>1</v>
      </c>
      <c r="AJ350">
        <v>0</v>
      </c>
      <c r="AK350">
        <v>5</v>
      </c>
      <c r="AL350" t="s">
        <v>2288</v>
      </c>
      <c r="AM350" t="s">
        <v>2289</v>
      </c>
      <c r="AN350" t="s">
        <v>2290</v>
      </c>
      <c r="AO350" t="s">
        <v>7107</v>
      </c>
      <c r="AP350" t="s">
        <v>7108</v>
      </c>
      <c r="AQ350" t="s">
        <v>74</v>
      </c>
      <c r="AR350" t="s">
        <v>7109</v>
      </c>
      <c r="AS350" t="s">
        <v>7110</v>
      </c>
      <c r="AT350" t="s">
        <v>6988</v>
      </c>
      <c r="AU350">
        <v>2019</v>
      </c>
      <c r="AV350">
        <v>36</v>
      </c>
      <c r="AW350">
        <v>3</v>
      </c>
      <c r="AX350" t="s">
        <v>74</v>
      </c>
      <c r="AY350" t="s">
        <v>74</v>
      </c>
      <c r="AZ350" t="s">
        <v>74</v>
      </c>
      <c r="BA350" t="s">
        <v>74</v>
      </c>
      <c r="BB350">
        <v>271</v>
      </c>
      <c r="BC350">
        <v>277</v>
      </c>
      <c r="BD350" t="s">
        <v>74</v>
      </c>
      <c r="BE350" t="s">
        <v>7111</v>
      </c>
      <c r="BF350" t="str">
        <f>HYPERLINK("http://dx.doi.org/10.1080/01490451.2018.1555293","http://dx.doi.org/10.1080/01490451.2018.1555293")</f>
        <v>http://dx.doi.org/10.1080/01490451.2018.1555293</v>
      </c>
      <c r="BG350" t="s">
        <v>74</v>
      </c>
      <c r="BH350" t="s">
        <v>74</v>
      </c>
      <c r="BI350">
        <v>7</v>
      </c>
      <c r="BJ350" t="s">
        <v>220</v>
      </c>
      <c r="BK350" t="s">
        <v>102</v>
      </c>
      <c r="BL350" t="s">
        <v>221</v>
      </c>
      <c r="BM350" t="s">
        <v>7112</v>
      </c>
      <c r="BN350" t="s">
        <v>74</v>
      </c>
      <c r="BO350" t="s">
        <v>74</v>
      </c>
      <c r="BP350" t="s">
        <v>74</v>
      </c>
      <c r="BQ350" t="s">
        <v>74</v>
      </c>
      <c r="BR350" t="s">
        <v>107</v>
      </c>
      <c r="BS350" t="s">
        <v>7113</v>
      </c>
      <c r="BT350" t="str">
        <f>HYPERLINK("https%3A%2F%2Fwww.webofscience.com%2Fwos%2Fwoscc%2Ffull-record%2FWOS:000461644000009","View Full Record in Web of Science")</f>
        <v>View Full Record in Web of Science</v>
      </c>
    </row>
    <row r="351" spans="1:72" x14ac:dyDescent="0.15">
      <c r="A351" t="s">
        <v>72</v>
      </c>
      <c r="B351" t="s">
        <v>7114</v>
      </c>
      <c r="C351" t="s">
        <v>74</v>
      </c>
      <c r="D351" t="s">
        <v>74</v>
      </c>
      <c r="E351" t="s">
        <v>74</v>
      </c>
      <c r="F351" t="s">
        <v>7115</v>
      </c>
      <c r="G351" t="s">
        <v>74</v>
      </c>
      <c r="H351" t="s">
        <v>74</v>
      </c>
      <c r="I351" t="s">
        <v>7116</v>
      </c>
      <c r="J351" t="s">
        <v>7117</v>
      </c>
      <c r="K351" t="s">
        <v>74</v>
      </c>
      <c r="L351" t="s">
        <v>74</v>
      </c>
      <c r="M351" t="s">
        <v>78</v>
      </c>
      <c r="N351" t="s">
        <v>79</v>
      </c>
      <c r="O351" t="s">
        <v>74</v>
      </c>
      <c r="P351" t="s">
        <v>74</v>
      </c>
      <c r="Q351" t="s">
        <v>74</v>
      </c>
      <c r="R351" t="s">
        <v>74</v>
      </c>
      <c r="S351" t="s">
        <v>74</v>
      </c>
      <c r="T351" t="s">
        <v>7118</v>
      </c>
      <c r="U351" t="s">
        <v>7119</v>
      </c>
      <c r="V351" t="s">
        <v>7120</v>
      </c>
      <c r="W351" t="s">
        <v>7121</v>
      </c>
      <c r="X351" t="s">
        <v>7122</v>
      </c>
      <c r="Y351" t="s">
        <v>7123</v>
      </c>
      <c r="Z351" t="s">
        <v>7124</v>
      </c>
      <c r="AA351" t="s">
        <v>7125</v>
      </c>
      <c r="AB351" t="s">
        <v>7126</v>
      </c>
      <c r="AC351" t="s">
        <v>7127</v>
      </c>
      <c r="AD351" t="s">
        <v>7128</v>
      </c>
      <c r="AE351" t="s">
        <v>7129</v>
      </c>
      <c r="AF351" t="s">
        <v>74</v>
      </c>
      <c r="AG351">
        <v>60</v>
      </c>
      <c r="AH351">
        <v>25</v>
      </c>
      <c r="AI351">
        <v>26</v>
      </c>
      <c r="AJ351">
        <v>2</v>
      </c>
      <c r="AK351">
        <v>23</v>
      </c>
      <c r="AL351" t="s">
        <v>378</v>
      </c>
      <c r="AM351" t="s">
        <v>93</v>
      </c>
      <c r="AN351" t="s">
        <v>379</v>
      </c>
      <c r="AO351" t="s">
        <v>7130</v>
      </c>
      <c r="AP351" t="s">
        <v>7131</v>
      </c>
      <c r="AQ351" t="s">
        <v>74</v>
      </c>
      <c r="AR351" t="s">
        <v>7132</v>
      </c>
      <c r="AS351" t="s">
        <v>7133</v>
      </c>
      <c r="AT351" t="s">
        <v>7134</v>
      </c>
      <c r="AU351">
        <v>2019</v>
      </c>
      <c r="AV351">
        <v>181</v>
      </c>
      <c r="AW351" t="s">
        <v>74</v>
      </c>
      <c r="AX351" t="s">
        <v>74</v>
      </c>
      <c r="AY351" t="s">
        <v>74</v>
      </c>
      <c r="AZ351" t="s">
        <v>74</v>
      </c>
      <c r="BA351" t="s">
        <v>74</v>
      </c>
      <c r="BB351">
        <v>379</v>
      </c>
      <c r="BC351">
        <v>385</v>
      </c>
      <c r="BD351" t="s">
        <v>74</v>
      </c>
      <c r="BE351" t="s">
        <v>7135</v>
      </c>
      <c r="BF351" t="str">
        <f>HYPERLINK("http://dx.doi.org/10.1016/j.solener.2019.01.035","http://dx.doi.org/10.1016/j.solener.2019.01.035")</f>
        <v>http://dx.doi.org/10.1016/j.solener.2019.01.035</v>
      </c>
      <c r="BG351" t="s">
        <v>74</v>
      </c>
      <c r="BH351" t="s">
        <v>74</v>
      </c>
      <c r="BI351">
        <v>7</v>
      </c>
      <c r="BJ351" t="s">
        <v>7136</v>
      </c>
      <c r="BK351" t="s">
        <v>102</v>
      </c>
      <c r="BL351" t="s">
        <v>7136</v>
      </c>
      <c r="BM351" t="s">
        <v>7137</v>
      </c>
      <c r="BN351" t="s">
        <v>74</v>
      </c>
      <c r="BO351" t="s">
        <v>74</v>
      </c>
      <c r="BP351" t="s">
        <v>74</v>
      </c>
      <c r="BQ351" t="s">
        <v>74</v>
      </c>
      <c r="BR351" t="s">
        <v>107</v>
      </c>
      <c r="BS351" t="s">
        <v>7138</v>
      </c>
      <c r="BT351" t="str">
        <f>HYPERLINK("https%3A%2F%2Fwww.webofscience.com%2Fwos%2Fwoscc%2Ffull-record%2FWOS:000463120700041","View Full Record in Web of Science")</f>
        <v>View Full Record in Web of Science</v>
      </c>
    </row>
    <row r="352" spans="1:72" x14ac:dyDescent="0.15">
      <c r="A352" t="s">
        <v>72</v>
      </c>
      <c r="B352" t="s">
        <v>7139</v>
      </c>
      <c r="C352" t="s">
        <v>74</v>
      </c>
      <c r="D352" t="s">
        <v>74</v>
      </c>
      <c r="E352" t="s">
        <v>74</v>
      </c>
      <c r="F352" t="s">
        <v>7140</v>
      </c>
      <c r="G352" t="s">
        <v>74</v>
      </c>
      <c r="H352" t="s">
        <v>74</v>
      </c>
      <c r="I352" t="s">
        <v>7141</v>
      </c>
      <c r="J352" t="s">
        <v>1632</v>
      </c>
      <c r="K352" t="s">
        <v>74</v>
      </c>
      <c r="L352" t="s">
        <v>74</v>
      </c>
      <c r="M352" t="s">
        <v>78</v>
      </c>
      <c r="N352" t="s">
        <v>79</v>
      </c>
      <c r="O352" t="s">
        <v>74</v>
      </c>
      <c r="P352" t="s">
        <v>74</v>
      </c>
      <c r="Q352" t="s">
        <v>74</v>
      </c>
      <c r="R352" t="s">
        <v>74</v>
      </c>
      <c r="S352" t="s">
        <v>74</v>
      </c>
      <c r="T352" t="s">
        <v>7142</v>
      </c>
      <c r="U352" t="s">
        <v>7143</v>
      </c>
      <c r="V352" t="s">
        <v>7144</v>
      </c>
      <c r="W352" t="s">
        <v>7145</v>
      </c>
      <c r="X352" t="s">
        <v>7146</v>
      </c>
      <c r="Y352" t="s">
        <v>7147</v>
      </c>
      <c r="Z352" t="s">
        <v>7148</v>
      </c>
      <c r="AA352" t="s">
        <v>7149</v>
      </c>
      <c r="AB352" t="s">
        <v>7150</v>
      </c>
      <c r="AC352" t="s">
        <v>7151</v>
      </c>
      <c r="AD352" t="s">
        <v>7151</v>
      </c>
      <c r="AE352" t="s">
        <v>7152</v>
      </c>
      <c r="AF352" t="s">
        <v>74</v>
      </c>
      <c r="AG352">
        <v>108</v>
      </c>
      <c r="AH352">
        <v>8</v>
      </c>
      <c r="AI352">
        <v>8</v>
      </c>
      <c r="AJ352">
        <v>1</v>
      </c>
      <c r="AK352">
        <v>25</v>
      </c>
      <c r="AL352" t="s">
        <v>378</v>
      </c>
      <c r="AM352" t="s">
        <v>93</v>
      </c>
      <c r="AN352" t="s">
        <v>379</v>
      </c>
      <c r="AO352" t="s">
        <v>1645</v>
      </c>
      <c r="AP352" t="s">
        <v>7153</v>
      </c>
      <c r="AQ352" t="s">
        <v>74</v>
      </c>
      <c r="AR352" t="s">
        <v>1646</v>
      </c>
      <c r="AS352" t="s">
        <v>1647</v>
      </c>
      <c r="AT352" t="s">
        <v>7134</v>
      </c>
      <c r="AU352">
        <v>2019</v>
      </c>
      <c r="AV352">
        <v>208</v>
      </c>
      <c r="AW352" t="s">
        <v>74</v>
      </c>
      <c r="AX352" t="s">
        <v>74</v>
      </c>
      <c r="AY352" t="s">
        <v>74</v>
      </c>
      <c r="AZ352" t="s">
        <v>74</v>
      </c>
      <c r="BA352" t="s">
        <v>74</v>
      </c>
      <c r="BB352">
        <v>21</v>
      </c>
      <c r="BC352">
        <v>37</v>
      </c>
      <c r="BD352" t="s">
        <v>74</v>
      </c>
      <c r="BE352" t="s">
        <v>7154</v>
      </c>
      <c r="BF352" t="str">
        <f>HYPERLINK("http://dx.doi.org/10.1016/j.quascirev.2019.01.011","http://dx.doi.org/10.1016/j.quascirev.2019.01.011")</f>
        <v>http://dx.doi.org/10.1016/j.quascirev.2019.01.011</v>
      </c>
      <c r="BG352" t="s">
        <v>74</v>
      </c>
      <c r="BH352" t="s">
        <v>74</v>
      </c>
      <c r="BI352">
        <v>17</v>
      </c>
      <c r="BJ352" t="s">
        <v>1142</v>
      </c>
      <c r="BK352" t="s">
        <v>102</v>
      </c>
      <c r="BL352" t="s">
        <v>1143</v>
      </c>
      <c r="BM352" t="s">
        <v>7155</v>
      </c>
      <c r="BN352" t="s">
        <v>74</v>
      </c>
      <c r="BO352" t="s">
        <v>7156</v>
      </c>
      <c r="BP352" t="s">
        <v>74</v>
      </c>
      <c r="BQ352" t="s">
        <v>74</v>
      </c>
      <c r="BR352" t="s">
        <v>107</v>
      </c>
      <c r="BS352" t="s">
        <v>7157</v>
      </c>
      <c r="BT352" t="str">
        <f>HYPERLINK("https%3A%2F%2Fwww.webofscience.com%2Fwos%2Fwoscc%2Ffull-record%2FWOS:000462109700002","View Full Record in Web of Science")</f>
        <v>View Full Record in Web of Science</v>
      </c>
    </row>
    <row r="353" spans="1:72" x14ac:dyDescent="0.15">
      <c r="A353" t="s">
        <v>72</v>
      </c>
      <c r="B353" t="s">
        <v>7158</v>
      </c>
      <c r="C353" t="s">
        <v>74</v>
      </c>
      <c r="D353" t="s">
        <v>74</v>
      </c>
      <c r="E353" t="s">
        <v>74</v>
      </c>
      <c r="F353" t="s">
        <v>7159</v>
      </c>
      <c r="G353" t="s">
        <v>74</v>
      </c>
      <c r="H353" t="s">
        <v>74</v>
      </c>
      <c r="I353" t="s">
        <v>7160</v>
      </c>
      <c r="J353" t="s">
        <v>1632</v>
      </c>
      <c r="K353" t="s">
        <v>74</v>
      </c>
      <c r="L353" t="s">
        <v>74</v>
      </c>
      <c r="M353" t="s">
        <v>78</v>
      </c>
      <c r="N353" t="s">
        <v>79</v>
      </c>
      <c r="O353" t="s">
        <v>74</v>
      </c>
      <c r="P353" t="s">
        <v>74</v>
      </c>
      <c r="Q353" t="s">
        <v>74</v>
      </c>
      <c r="R353" t="s">
        <v>74</v>
      </c>
      <c r="S353" t="s">
        <v>74</v>
      </c>
      <c r="T353" t="s">
        <v>7161</v>
      </c>
      <c r="U353" t="s">
        <v>7162</v>
      </c>
      <c r="V353" t="s">
        <v>7163</v>
      </c>
      <c r="W353" t="s">
        <v>7164</v>
      </c>
      <c r="X353" t="s">
        <v>7165</v>
      </c>
      <c r="Y353" t="s">
        <v>7166</v>
      </c>
      <c r="Z353" t="s">
        <v>7167</v>
      </c>
      <c r="AA353" t="s">
        <v>7168</v>
      </c>
      <c r="AB353" t="s">
        <v>7169</v>
      </c>
      <c r="AC353" t="s">
        <v>7170</v>
      </c>
      <c r="AD353" t="s">
        <v>7171</v>
      </c>
      <c r="AE353" t="s">
        <v>7172</v>
      </c>
      <c r="AF353" t="s">
        <v>74</v>
      </c>
      <c r="AG353">
        <v>100</v>
      </c>
      <c r="AH353">
        <v>5</v>
      </c>
      <c r="AI353">
        <v>5</v>
      </c>
      <c r="AJ353">
        <v>0</v>
      </c>
      <c r="AK353">
        <v>18</v>
      </c>
      <c r="AL353" t="s">
        <v>378</v>
      </c>
      <c r="AM353" t="s">
        <v>93</v>
      </c>
      <c r="AN353" t="s">
        <v>379</v>
      </c>
      <c r="AO353" t="s">
        <v>1645</v>
      </c>
      <c r="AP353" t="s">
        <v>74</v>
      </c>
      <c r="AQ353" t="s">
        <v>74</v>
      </c>
      <c r="AR353" t="s">
        <v>1646</v>
      </c>
      <c r="AS353" t="s">
        <v>1647</v>
      </c>
      <c r="AT353" t="s">
        <v>7134</v>
      </c>
      <c r="AU353">
        <v>2019</v>
      </c>
      <c r="AV353">
        <v>208</v>
      </c>
      <c r="AW353" t="s">
        <v>74</v>
      </c>
      <c r="AX353" t="s">
        <v>74</v>
      </c>
      <c r="AY353" t="s">
        <v>74</v>
      </c>
      <c r="AZ353" t="s">
        <v>74</v>
      </c>
      <c r="BA353" t="s">
        <v>74</v>
      </c>
      <c r="BB353">
        <v>105</v>
      </c>
      <c r="BC353">
        <v>117</v>
      </c>
      <c r="BD353" t="s">
        <v>74</v>
      </c>
      <c r="BE353" t="s">
        <v>7173</v>
      </c>
      <c r="BF353" t="str">
        <f>HYPERLINK("http://dx.doi.org/10.1016/j.quascirev.2019.01.016","http://dx.doi.org/10.1016/j.quascirev.2019.01.016")</f>
        <v>http://dx.doi.org/10.1016/j.quascirev.2019.01.016</v>
      </c>
      <c r="BG353" t="s">
        <v>74</v>
      </c>
      <c r="BH353" t="s">
        <v>74</v>
      </c>
      <c r="BI353">
        <v>13</v>
      </c>
      <c r="BJ353" t="s">
        <v>1142</v>
      </c>
      <c r="BK353" t="s">
        <v>102</v>
      </c>
      <c r="BL353" t="s">
        <v>1143</v>
      </c>
      <c r="BM353" t="s">
        <v>7155</v>
      </c>
      <c r="BN353" t="s">
        <v>74</v>
      </c>
      <c r="BO353" t="s">
        <v>74</v>
      </c>
      <c r="BP353" t="s">
        <v>74</v>
      </c>
      <c r="BQ353" t="s">
        <v>74</v>
      </c>
      <c r="BR353" t="s">
        <v>107</v>
      </c>
      <c r="BS353" t="s">
        <v>7174</v>
      </c>
      <c r="BT353" t="str">
        <f>HYPERLINK("https%3A%2F%2Fwww.webofscience.com%2Fwos%2Fwoscc%2Ffull-record%2FWOS:000462109700007","View Full Record in Web of Science")</f>
        <v>View Full Record in Web of Science</v>
      </c>
    </row>
    <row r="354" spans="1:72" x14ac:dyDescent="0.15">
      <c r="A354" t="s">
        <v>72</v>
      </c>
      <c r="B354" t="s">
        <v>7175</v>
      </c>
      <c r="C354" t="s">
        <v>74</v>
      </c>
      <c r="D354" t="s">
        <v>74</v>
      </c>
      <c r="E354" t="s">
        <v>74</v>
      </c>
      <c r="F354" t="s">
        <v>7176</v>
      </c>
      <c r="G354" t="s">
        <v>74</v>
      </c>
      <c r="H354" t="s">
        <v>74</v>
      </c>
      <c r="I354" t="s">
        <v>7177</v>
      </c>
      <c r="J354" t="s">
        <v>1720</v>
      </c>
      <c r="K354" t="s">
        <v>74</v>
      </c>
      <c r="L354" t="s">
        <v>74</v>
      </c>
      <c r="M354" t="s">
        <v>78</v>
      </c>
      <c r="N354" t="s">
        <v>79</v>
      </c>
      <c r="O354" t="s">
        <v>74</v>
      </c>
      <c r="P354" t="s">
        <v>74</v>
      </c>
      <c r="Q354" t="s">
        <v>74</v>
      </c>
      <c r="R354" t="s">
        <v>74</v>
      </c>
      <c r="S354" t="s">
        <v>74</v>
      </c>
      <c r="T354" t="s">
        <v>74</v>
      </c>
      <c r="U354" t="s">
        <v>7178</v>
      </c>
      <c r="V354" t="s">
        <v>7179</v>
      </c>
      <c r="W354" t="s">
        <v>7180</v>
      </c>
      <c r="X354" t="s">
        <v>7181</v>
      </c>
      <c r="Y354" t="s">
        <v>7182</v>
      </c>
      <c r="Z354" t="s">
        <v>7183</v>
      </c>
      <c r="AA354" t="s">
        <v>7184</v>
      </c>
      <c r="AB354" t="s">
        <v>7185</v>
      </c>
      <c r="AC354" t="s">
        <v>7186</v>
      </c>
      <c r="AD354" t="s">
        <v>7187</v>
      </c>
      <c r="AE354" t="s">
        <v>7188</v>
      </c>
      <c r="AF354" t="s">
        <v>74</v>
      </c>
      <c r="AG354">
        <v>66</v>
      </c>
      <c r="AH354">
        <v>15</v>
      </c>
      <c r="AI354">
        <v>17</v>
      </c>
      <c r="AJ354">
        <v>1</v>
      </c>
      <c r="AK354">
        <v>10</v>
      </c>
      <c r="AL354" t="s">
        <v>328</v>
      </c>
      <c r="AM354" t="s">
        <v>329</v>
      </c>
      <c r="AN354" t="s">
        <v>330</v>
      </c>
      <c r="AO354" t="s">
        <v>1731</v>
      </c>
      <c r="AP354" t="s">
        <v>74</v>
      </c>
      <c r="AQ354" t="s">
        <v>74</v>
      </c>
      <c r="AR354" t="s">
        <v>1732</v>
      </c>
      <c r="AS354" t="s">
        <v>1733</v>
      </c>
      <c r="AT354" t="s">
        <v>7134</v>
      </c>
      <c r="AU354">
        <v>2019</v>
      </c>
      <c r="AV354">
        <v>9</v>
      </c>
      <c r="AW354" t="s">
        <v>74</v>
      </c>
      <c r="AX354" t="s">
        <v>74</v>
      </c>
      <c r="AY354" t="s">
        <v>74</v>
      </c>
      <c r="AZ354" t="s">
        <v>74</v>
      </c>
      <c r="BA354" t="s">
        <v>74</v>
      </c>
      <c r="BB354" t="s">
        <v>74</v>
      </c>
      <c r="BC354" t="s">
        <v>74</v>
      </c>
      <c r="BD354">
        <v>4655</v>
      </c>
      <c r="BE354" t="s">
        <v>7189</v>
      </c>
      <c r="BF354" t="str">
        <f>HYPERLINK("http://dx.doi.org/10.1038/s41598-019-41081-9","http://dx.doi.org/10.1038/s41598-019-41081-9")</f>
        <v>http://dx.doi.org/10.1038/s41598-019-41081-9</v>
      </c>
      <c r="BG354" t="s">
        <v>74</v>
      </c>
      <c r="BH354" t="s">
        <v>74</v>
      </c>
      <c r="BI354">
        <v>9</v>
      </c>
      <c r="BJ354" t="s">
        <v>460</v>
      </c>
      <c r="BK354" t="s">
        <v>102</v>
      </c>
      <c r="BL354" t="s">
        <v>461</v>
      </c>
      <c r="BM354" t="s">
        <v>7190</v>
      </c>
      <c r="BN354">
        <v>30874602</v>
      </c>
      <c r="BO354" t="s">
        <v>851</v>
      </c>
      <c r="BP354" t="s">
        <v>74</v>
      </c>
      <c r="BQ354" t="s">
        <v>74</v>
      </c>
      <c r="BR354" t="s">
        <v>107</v>
      </c>
      <c r="BS354" t="s">
        <v>7191</v>
      </c>
      <c r="BT354" t="str">
        <f>HYPERLINK("https%3A%2F%2Fwww.webofscience.com%2Fwos%2Fwoscc%2Ffull-record%2FWOS:000461303900002","View Full Record in Web of Science")</f>
        <v>View Full Record in Web of Science</v>
      </c>
    </row>
    <row r="355" spans="1:72" x14ac:dyDescent="0.15">
      <c r="A355" t="s">
        <v>72</v>
      </c>
      <c r="B355" t="s">
        <v>7192</v>
      </c>
      <c r="C355" t="s">
        <v>74</v>
      </c>
      <c r="D355" t="s">
        <v>74</v>
      </c>
      <c r="E355" t="s">
        <v>74</v>
      </c>
      <c r="F355" t="s">
        <v>7193</v>
      </c>
      <c r="G355" t="s">
        <v>74</v>
      </c>
      <c r="H355" t="s">
        <v>74</v>
      </c>
      <c r="I355" t="s">
        <v>7194</v>
      </c>
      <c r="J355" t="s">
        <v>1720</v>
      </c>
      <c r="K355" t="s">
        <v>74</v>
      </c>
      <c r="L355" t="s">
        <v>74</v>
      </c>
      <c r="M355" t="s">
        <v>78</v>
      </c>
      <c r="N355" t="s">
        <v>79</v>
      </c>
      <c r="O355" t="s">
        <v>74</v>
      </c>
      <c r="P355" t="s">
        <v>74</v>
      </c>
      <c r="Q355" t="s">
        <v>74</v>
      </c>
      <c r="R355" t="s">
        <v>74</v>
      </c>
      <c r="S355" t="s">
        <v>74</v>
      </c>
      <c r="T355" t="s">
        <v>74</v>
      </c>
      <c r="U355" t="s">
        <v>7195</v>
      </c>
      <c r="V355" t="s">
        <v>7196</v>
      </c>
      <c r="W355" t="s">
        <v>7197</v>
      </c>
      <c r="X355" t="s">
        <v>7198</v>
      </c>
      <c r="Y355" t="s">
        <v>7199</v>
      </c>
      <c r="Z355" t="s">
        <v>7200</v>
      </c>
      <c r="AA355" t="s">
        <v>7201</v>
      </c>
      <c r="AB355" t="s">
        <v>7202</v>
      </c>
      <c r="AC355" t="s">
        <v>7203</v>
      </c>
      <c r="AD355" t="s">
        <v>7204</v>
      </c>
      <c r="AE355" t="s">
        <v>7205</v>
      </c>
      <c r="AF355" t="s">
        <v>74</v>
      </c>
      <c r="AG355">
        <v>31</v>
      </c>
      <c r="AH355">
        <v>17</v>
      </c>
      <c r="AI355">
        <v>18</v>
      </c>
      <c r="AJ355">
        <v>6</v>
      </c>
      <c r="AK355">
        <v>39</v>
      </c>
      <c r="AL355" t="s">
        <v>328</v>
      </c>
      <c r="AM355" t="s">
        <v>329</v>
      </c>
      <c r="AN355" t="s">
        <v>330</v>
      </c>
      <c r="AO355" t="s">
        <v>1731</v>
      </c>
      <c r="AP355" t="s">
        <v>74</v>
      </c>
      <c r="AQ355" t="s">
        <v>74</v>
      </c>
      <c r="AR355" t="s">
        <v>1732</v>
      </c>
      <c r="AS355" t="s">
        <v>1733</v>
      </c>
      <c r="AT355" t="s">
        <v>7134</v>
      </c>
      <c r="AU355">
        <v>2019</v>
      </c>
      <c r="AV355">
        <v>9</v>
      </c>
      <c r="AW355" t="s">
        <v>74</v>
      </c>
      <c r="AX355" t="s">
        <v>74</v>
      </c>
      <c r="AY355" t="s">
        <v>74</v>
      </c>
      <c r="AZ355" t="s">
        <v>74</v>
      </c>
      <c r="BA355" t="s">
        <v>74</v>
      </c>
      <c r="BB355" t="s">
        <v>74</v>
      </c>
      <c r="BC355" t="s">
        <v>74</v>
      </c>
      <c r="BD355">
        <v>4639</v>
      </c>
      <c r="BE355" t="s">
        <v>7206</v>
      </c>
      <c r="BF355" t="str">
        <f>HYPERLINK("http://dx.doi.org/10.1038/s41598-019-41003-9","http://dx.doi.org/10.1038/s41598-019-41003-9")</f>
        <v>http://dx.doi.org/10.1038/s41598-019-41003-9</v>
      </c>
      <c r="BG355" t="s">
        <v>74</v>
      </c>
      <c r="BH355" t="s">
        <v>74</v>
      </c>
      <c r="BI355">
        <v>8</v>
      </c>
      <c r="BJ355" t="s">
        <v>460</v>
      </c>
      <c r="BK355" t="s">
        <v>102</v>
      </c>
      <c r="BL355" t="s">
        <v>461</v>
      </c>
      <c r="BM355" t="s">
        <v>7207</v>
      </c>
      <c r="BN355">
        <v>30874599</v>
      </c>
      <c r="BO355" t="s">
        <v>463</v>
      </c>
      <c r="BP355" t="s">
        <v>74</v>
      </c>
      <c r="BQ355" t="s">
        <v>74</v>
      </c>
      <c r="BR355" t="s">
        <v>107</v>
      </c>
      <c r="BS355" t="s">
        <v>7208</v>
      </c>
      <c r="BT355" t="str">
        <f>HYPERLINK("https%3A%2F%2Fwww.webofscience.com%2Fwos%2Fwoscc%2Ffull-record%2FWOS:000461303000021","View Full Record in Web of Science")</f>
        <v>View Full Record in Web of Science</v>
      </c>
    </row>
    <row r="356" spans="1:72" x14ac:dyDescent="0.15">
      <c r="A356" t="s">
        <v>72</v>
      </c>
      <c r="B356" t="s">
        <v>7209</v>
      </c>
      <c r="C356" t="s">
        <v>74</v>
      </c>
      <c r="D356" t="s">
        <v>74</v>
      </c>
      <c r="E356" t="s">
        <v>74</v>
      </c>
      <c r="F356" t="s">
        <v>7210</v>
      </c>
      <c r="G356" t="s">
        <v>74</v>
      </c>
      <c r="H356" t="s">
        <v>74</v>
      </c>
      <c r="I356" t="s">
        <v>7211</v>
      </c>
      <c r="J356" t="s">
        <v>7212</v>
      </c>
      <c r="K356" t="s">
        <v>74</v>
      </c>
      <c r="L356" t="s">
        <v>74</v>
      </c>
      <c r="M356" t="s">
        <v>78</v>
      </c>
      <c r="N356" t="s">
        <v>79</v>
      </c>
      <c r="O356" t="s">
        <v>74</v>
      </c>
      <c r="P356" t="s">
        <v>74</v>
      </c>
      <c r="Q356" t="s">
        <v>74</v>
      </c>
      <c r="R356" t="s">
        <v>74</v>
      </c>
      <c r="S356" t="s">
        <v>74</v>
      </c>
      <c r="T356" t="s">
        <v>7213</v>
      </c>
      <c r="U356" t="s">
        <v>7214</v>
      </c>
      <c r="V356" t="s">
        <v>7215</v>
      </c>
      <c r="W356" t="s">
        <v>7216</v>
      </c>
      <c r="X356" t="s">
        <v>7217</v>
      </c>
      <c r="Y356" t="s">
        <v>7218</v>
      </c>
      <c r="Z356" t="s">
        <v>7219</v>
      </c>
      <c r="AA356" t="s">
        <v>74</v>
      </c>
      <c r="AB356" t="s">
        <v>74</v>
      </c>
      <c r="AC356" t="s">
        <v>7220</v>
      </c>
      <c r="AD356" t="s">
        <v>74</v>
      </c>
      <c r="AE356" t="s">
        <v>7221</v>
      </c>
      <c r="AF356" t="s">
        <v>74</v>
      </c>
      <c r="AG356">
        <v>89</v>
      </c>
      <c r="AH356">
        <v>8</v>
      </c>
      <c r="AI356">
        <v>9</v>
      </c>
      <c r="AJ356">
        <v>0</v>
      </c>
      <c r="AK356">
        <v>13</v>
      </c>
      <c r="AL356" t="s">
        <v>7222</v>
      </c>
      <c r="AM356" t="s">
        <v>7223</v>
      </c>
      <c r="AN356" t="s">
        <v>7224</v>
      </c>
      <c r="AO356" t="s">
        <v>7225</v>
      </c>
      <c r="AP356" t="s">
        <v>7226</v>
      </c>
      <c r="AQ356" t="s">
        <v>74</v>
      </c>
      <c r="AR356" t="s">
        <v>7212</v>
      </c>
      <c r="AS356" t="s">
        <v>7227</v>
      </c>
      <c r="AT356" t="s">
        <v>7134</v>
      </c>
      <c r="AU356">
        <v>2019</v>
      </c>
      <c r="AV356">
        <v>321</v>
      </c>
      <c r="AW356" t="s">
        <v>74</v>
      </c>
      <c r="AX356" t="s">
        <v>74</v>
      </c>
      <c r="AY356" t="s">
        <v>74</v>
      </c>
      <c r="AZ356" t="s">
        <v>74</v>
      </c>
      <c r="BA356" t="s">
        <v>74</v>
      </c>
      <c r="BB356">
        <v>216</v>
      </c>
      <c r="BC356">
        <v>231</v>
      </c>
      <c r="BD356" t="s">
        <v>74</v>
      </c>
      <c r="BE356" t="s">
        <v>7228</v>
      </c>
      <c r="BF356" t="str">
        <f>HYPERLINK("http://dx.doi.org/10.1016/j.icarus.2018.11.020","http://dx.doi.org/10.1016/j.icarus.2018.11.020")</f>
        <v>http://dx.doi.org/10.1016/j.icarus.2018.11.020</v>
      </c>
      <c r="BG356" t="s">
        <v>74</v>
      </c>
      <c r="BH356" t="s">
        <v>74</v>
      </c>
      <c r="BI356">
        <v>16</v>
      </c>
      <c r="BJ356" t="s">
        <v>2579</v>
      </c>
      <c r="BK356" t="s">
        <v>102</v>
      </c>
      <c r="BL356" t="s">
        <v>2579</v>
      </c>
      <c r="BM356" t="s">
        <v>7229</v>
      </c>
      <c r="BN356" t="s">
        <v>74</v>
      </c>
      <c r="BO356" t="s">
        <v>74</v>
      </c>
      <c r="BP356" t="s">
        <v>74</v>
      </c>
      <c r="BQ356" t="s">
        <v>74</v>
      </c>
      <c r="BR356" t="s">
        <v>107</v>
      </c>
      <c r="BS356" t="s">
        <v>7230</v>
      </c>
      <c r="BT356" t="str">
        <f>HYPERLINK("https%3A%2F%2Fwww.webofscience.com%2Fwos%2Fwoscc%2Ffull-record%2FWOS:000460367200019","View Full Record in Web of Science")</f>
        <v>View Full Record in Web of Science</v>
      </c>
    </row>
    <row r="357" spans="1:72" x14ac:dyDescent="0.15">
      <c r="A357" t="s">
        <v>72</v>
      </c>
      <c r="B357" t="s">
        <v>7231</v>
      </c>
      <c r="C357" t="s">
        <v>74</v>
      </c>
      <c r="D357" t="s">
        <v>74</v>
      </c>
      <c r="E357" t="s">
        <v>74</v>
      </c>
      <c r="F357" t="s">
        <v>7232</v>
      </c>
      <c r="G357" t="s">
        <v>74</v>
      </c>
      <c r="H357" t="s">
        <v>74</v>
      </c>
      <c r="I357" t="s">
        <v>7233</v>
      </c>
      <c r="J357" t="s">
        <v>1740</v>
      </c>
      <c r="K357" t="s">
        <v>74</v>
      </c>
      <c r="L357" t="s">
        <v>74</v>
      </c>
      <c r="M357" t="s">
        <v>78</v>
      </c>
      <c r="N357" t="s">
        <v>79</v>
      </c>
      <c r="O357" t="s">
        <v>74</v>
      </c>
      <c r="P357" t="s">
        <v>74</v>
      </c>
      <c r="Q357" t="s">
        <v>74</v>
      </c>
      <c r="R357" t="s">
        <v>74</v>
      </c>
      <c r="S357" t="s">
        <v>74</v>
      </c>
      <c r="T357" t="s">
        <v>7234</v>
      </c>
      <c r="U357" t="s">
        <v>7235</v>
      </c>
      <c r="V357" t="s">
        <v>7236</v>
      </c>
      <c r="W357" t="s">
        <v>7237</v>
      </c>
      <c r="X357" t="s">
        <v>7238</v>
      </c>
      <c r="Y357" t="s">
        <v>7239</v>
      </c>
      <c r="Z357" t="s">
        <v>7240</v>
      </c>
      <c r="AA357" t="s">
        <v>7241</v>
      </c>
      <c r="AB357" t="s">
        <v>7242</v>
      </c>
      <c r="AC357" t="s">
        <v>7243</v>
      </c>
      <c r="AD357" t="s">
        <v>7243</v>
      </c>
      <c r="AE357" t="s">
        <v>7244</v>
      </c>
      <c r="AF357" t="s">
        <v>74</v>
      </c>
      <c r="AG357">
        <v>99</v>
      </c>
      <c r="AH357">
        <v>6</v>
      </c>
      <c r="AI357">
        <v>6</v>
      </c>
      <c r="AJ357">
        <v>0</v>
      </c>
      <c r="AK357">
        <v>17</v>
      </c>
      <c r="AL357" t="s">
        <v>634</v>
      </c>
      <c r="AM357" t="s">
        <v>635</v>
      </c>
      <c r="AN357" t="s">
        <v>636</v>
      </c>
      <c r="AO357" t="s">
        <v>1751</v>
      </c>
      <c r="AP357" t="s">
        <v>1752</v>
      </c>
      <c r="AQ357" t="s">
        <v>74</v>
      </c>
      <c r="AR357" t="s">
        <v>1753</v>
      </c>
      <c r="AS357" t="s">
        <v>1754</v>
      </c>
      <c r="AT357" t="s">
        <v>7134</v>
      </c>
      <c r="AU357">
        <v>2019</v>
      </c>
      <c r="AV357">
        <v>518</v>
      </c>
      <c r="AW357" t="s">
        <v>74</v>
      </c>
      <c r="AX357" t="s">
        <v>74</v>
      </c>
      <c r="AY357" t="s">
        <v>74</v>
      </c>
      <c r="AZ357" t="s">
        <v>74</v>
      </c>
      <c r="BA357" t="s">
        <v>74</v>
      </c>
      <c r="BB357">
        <v>134</v>
      </c>
      <c r="BC357">
        <v>142</v>
      </c>
      <c r="BD357" t="s">
        <v>74</v>
      </c>
      <c r="BE357" t="s">
        <v>7245</v>
      </c>
      <c r="BF357" t="str">
        <f>HYPERLINK("http://dx.doi.org/10.1016/j.palaeo.2019.01.006","http://dx.doi.org/10.1016/j.palaeo.2019.01.006")</f>
        <v>http://dx.doi.org/10.1016/j.palaeo.2019.01.006</v>
      </c>
      <c r="BG357" t="s">
        <v>74</v>
      </c>
      <c r="BH357" t="s">
        <v>74</v>
      </c>
      <c r="BI357">
        <v>9</v>
      </c>
      <c r="BJ357" t="s">
        <v>1756</v>
      </c>
      <c r="BK357" t="s">
        <v>102</v>
      </c>
      <c r="BL357" t="s">
        <v>1757</v>
      </c>
      <c r="BM357" t="s">
        <v>7246</v>
      </c>
      <c r="BN357" t="s">
        <v>74</v>
      </c>
      <c r="BO357" t="s">
        <v>74</v>
      </c>
      <c r="BP357" t="s">
        <v>74</v>
      </c>
      <c r="BQ357" t="s">
        <v>74</v>
      </c>
      <c r="BR357" t="s">
        <v>107</v>
      </c>
      <c r="BS357" t="s">
        <v>7247</v>
      </c>
      <c r="BT357" t="str">
        <f>HYPERLINK("https%3A%2F%2Fwww.webofscience.com%2Fwos%2Fwoscc%2Ffull-record%2FWOS:000459841500012","View Full Record in Web of Science")</f>
        <v>View Full Record in Web of Science</v>
      </c>
    </row>
    <row r="358" spans="1:72" x14ac:dyDescent="0.15">
      <c r="A358" t="s">
        <v>72</v>
      </c>
      <c r="B358" t="s">
        <v>7248</v>
      </c>
      <c r="C358" t="s">
        <v>74</v>
      </c>
      <c r="D358" t="s">
        <v>74</v>
      </c>
      <c r="E358" t="s">
        <v>74</v>
      </c>
      <c r="F358" t="s">
        <v>7249</v>
      </c>
      <c r="G358" t="s">
        <v>74</v>
      </c>
      <c r="H358" t="s">
        <v>74</v>
      </c>
      <c r="I358" t="s">
        <v>7250</v>
      </c>
      <c r="J358" t="s">
        <v>2511</v>
      </c>
      <c r="K358" t="s">
        <v>74</v>
      </c>
      <c r="L358" t="s">
        <v>74</v>
      </c>
      <c r="M358" t="s">
        <v>78</v>
      </c>
      <c r="N358" t="s">
        <v>79</v>
      </c>
      <c r="O358" t="s">
        <v>74</v>
      </c>
      <c r="P358" t="s">
        <v>74</v>
      </c>
      <c r="Q358" t="s">
        <v>74</v>
      </c>
      <c r="R358" t="s">
        <v>74</v>
      </c>
      <c r="S358" t="s">
        <v>74</v>
      </c>
      <c r="T358" t="s">
        <v>74</v>
      </c>
      <c r="U358" t="s">
        <v>7251</v>
      </c>
      <c r="V358" t="s">
        <v>7252</v>
      </c>
      <c r="W358" t="s">
        <v>7253</v>
      </c>
      <c r="X358" t="s">
        <v>7254</v>
      </c>
      <c r="Y358" t="s">
        <v>7255</v>
      </c>
      <c r="Z358" t="s">
        <v>7256</v>
      </c>
      <c r="AA358" t="s">
        <v>7257</v>
      </c>
      <c r="AB358" t="s">
        <v>7258</v>
      </c>
      <c r="AC358" t="s">
        <v>7259</v>
      </c>
      <c r="AD358" t="s">
        <v>7260</v>
      </c>
      <c r="AE358" t="s">
        <v>7261</v>
      </c>
      <c r="AF358" t="s">
        <v>74</v>
      </c>
      <c r="AG358">
        <v>90</v>
      </c>
      <c r="AH358">
        <v>14</v>
      </c>
      <c r="AI358">
        <v>15</v>
      </c>
      <c r="AJ358">
        <v>1</v>
      </c>
      <c r="AK358">
        <v>15</v>
      </c>
      <c r="AL358" t="s">
        <v>2523</v>
      </c>
      <c r="AM358" t="s">
        <v>2524</v>
      </c>
      <c r="AN358" t="s">
        <v>2525</v>
      </c>
      <c r="AO358" t="s">
        <v>2526</v>
      </c>
      <c r="AP358" t="s">
        <v>74</v>
      </c>
      <c r="AQ358" t="s">
        <v>74</v>
      </c>
      <c r="AR358" t="s">
        <v>2511</v>
      </c>
      <c r="AS358" t="s">
        <v>2527</v>
      </c>
      <c r="AT358" t="s">
        <v>7134</v>
      </c>
      <c r="AU358">
        <v>2019</v>
      </c>
      <c r="AV358">
        <v>14</v>
      </c>
      <c r="AW358">
        <v>3</v>
      </c>
      <c r="AX358" t="s">
        <v>74</v>
      </c>
      <c r="AY358" t="s">
        <v>74</v>
      </c>
      <c r="AZ358" t="s">
        <v>74</v>
      </c>
      <c r="BA358" t="s">
        <v>74</v>
      </c>
      <c r="BB358" t="s">
        <v>74</v>
      </c>
      <c r="BC358" t="s">
        <v>74</v>
      </c>
      <c r="BD358" t="s">
        <v>7262</v>
      </c>
      <c r="BE358" t="s">
        <v>7263</v>
      </c>
      <c r="BF358" t="str">
        <f>HYPERLINK("http://dx.doi.org/10.1371/journal.pone.0206778","http://dx.doi.org/10.1371/journal.pone.0206778")</f>
        <v>http://dx.doi.org/10.1371/journal.pone.0206778</v>
      </c>
      <c r="BG358" t="s">
        <v>74</v>
      </c>
      <c r="BH358" t="s">
        <v>74</v>
      </c>
      <c r="BI358">
        <v>20</v>
      </c>
      <c r="BJ358" t="s">
        <v>460</v>
      </c>
      <c r="BK358" t="s">
        <v>102</v>
      </c>
      <c r="BL358" t="s">
        <v>461</v>
      </c>
      <c r="BM358" t="s">
        <v>7264</v>
      </c>
      <c r="BN358">
        <v>30875385</v>
      </c>
      <c r="BO358" t="s">
        <v>879</v>
      </c>
      <c r="BP358" t="s">
        <v>74</v>
      </c>
      <c r="BQ358" t="s">
        <v>74</v>
      </c>
      <c r="BR358" t="s">
        <v>107</v>
      </c>
      <c r="BS358" t="s">
        <v>7265</v>
      </c>
      <c r="BT358" t="str">
        <f>HYPERLINK("https%3A%2F%2Fwww.webofscience.com%2Fwos%2Fwoscc%2Ffull-record%2FWOS:000461316400002","View Full Record in Web of Science")</f>
        <v>View Full Record in Web of Science</v>
      </c>
    </row>
    <row r="359" spans="1:72" x14ac:dyDescent="0.15">
      <c r="A359" t="s">
        <v>72</v>
      </c>
      <c r="B359" t="s">
        <v>7266</v>
      </c>
      <c r="C359" t="s">
        <v>74</v>
      </c>
      <c r="D359" t="s">
        <v>74</v>
      </c>
      <c r="E359" t="s">
        <v>74</v>
      </c>
      <c r="F359" t="s">
        <v>7267</v>
      </c>
      <c r="G359" t="s">
        <v>74</v>
      </c>
      <c r="H359" t="s">
        <v>74</v>
      </c>
      <c r="I359" t="s">
        <v>7268</v>
      </c>
      <c r="J359" t="s">
        <v>621</v>
      </c>
      <c r="K359" t="s">
        <v>74</v>
      </c>
      <c r="L359" t="s">
        <v>74</v>
      </c>
      <c r="M359" t="s">
        <v>78</v>
      </c>
      <c r="N359" t="s">
        <v>79</v>
      </c>
      <c r="O359" t="s">
        <v>74</v>
      </c>
      <c r="P359" t="s">
        <v>74</v>
      </c>
      <c r="Q359" t="s">
        <v>74</v>
      </c>
      <c r="R359" t="s">
        <v>74</v>
      </c>
      <c r="S359" t="s">
        <v>74</v>
      </c>
      <c r="T359" t="s">
        <v>7269</v>
      </c>
      <c r="U359" t="s">
        <v>7270</v>
      </c>
      <c r="V359" t="s">
        <v>7271</v>
      </c>
      <c r="W359" t="s">
        <v>7272</v>
      </c>
      <c r="X359" t="s">
        <v>7273</v>
      </c>
      <c r="Y359" t="s">
        <v>7274</v>
      </c>
      <c r="Z359" t="s">
        <v>7275</v>
      </c>
      <c r="AA359" t="s">
        <v>7276</v>
      </c>
      <c r="AB359" t="s">
        <v>7277</v>
      </c>
      <c r="AC359" t="s">
        <v>7278</v>
      </c>
      <c r="AD359" t="s">
        <v>7279</v>
      </c>
      <c r="AE359" t="s">
        <v>7280</v>
      </c>
      <c r="AF359" t="s">
        <v>74</v>
      </c>
      <c r="AG359">
        <v>51</v>
      </c>
      <c r="AH359">
        <v>16</v>
      </c>
      <c r="AI359">
        <v>17</v>
      </c>
      <c r="AJ359">
        <v>2</v>
      </c>
      <c r="AK359">
        <v>17</v>
      </c>
      <c r="AL359" t="s">
        <v>662</v>
      </c>
      <c r="AM359" t="s">
        <v>635</v>
      </c>
      <c r="AN359" t="s">
        <v>663</v>
      </c>
      <c r="AO359" t="s">
        <v>637</v>
      </c>
      <c r="AP359" t="s">
        <v>638</v>
      </c>
      <c r="AQ359" t="s">
        <v>74</v>
      </c>
      <c r="AR359" t="s">
        <v>639</v>
      </c>
      <c r="AS359" t="s">
        <v>640</v>
      </c>
      <c r="AT359" t="s">
        <v>7134</v>
      </c>
      <c r="AU359">
        <v>2019</v>
      </c>
      <c r="AV359">
        <v>510</v>
      </c>
      <c r="AW359" t="s">
        <v>74</v>
      </c>
      <c r="AX359" t="s">
        <v>74</v>
      </c>
      <c r="AY359" t="s">
        <v>74</v>
      </c>
      <c r="AZ359" t="s">
        <v>74</v>
      </c>
      <c r="BA359" t="s">
        <v>74</v>
      </c>
      <c r="BB359">
        <v>1</v>
      </c>
      <c r="BC359">
        <v>11</v>
      </c>
      <c r="BD359" t="s">
        <v>74</v>
      </c>
      <c r="BE359" t="s">
        <v>7281</v>
      </c>
      <c r="BF359" t="str">
        <f>HYPERLINK("http://dx.doi.org/10.1016/j.epsl.2018.12.022","http://dx.doi.org/10.1016/j.epsl.2018.12.022")</f>
        <v>http://dx.doi.org/10.1016/j.epsl.2018.12.022</v>
      </c>
      <c r="BG359" t="s">
        <v>74</v>
      </c>
      <c r="BH359" t="s">
        <v>74</v>
      </c>
      <c r="BI359">
        <v>11</v>
      </c>
      <c r="BJ359" t="s">
        <v>643</v>
      </c>
      <c r="BK359" t="s">
        <v>102</v>
      </c>
      <c r="BL359" t="s">
        <v>643</v>
      </c>
      <c r="BM359" t="s">
        <v>7282</v>
      </c>
      <c r="BN359" t="s">
        <v>74</v>
      </c>
      <c r="BO359" t="s">
        <v>7283</v>
      </c>
      <c r="BP359" t="s">
        <v>74</v>
      </c>
      <c r="BQ359" t="s">
        <v>74</v>
      </c>
      <c r="BR359" t="s">
        <v>107</v>
      </c>
      <c r="BS359" t="s">
        <v>7284</v>
      </c>
      <c r="BT359" t="str">
        <f>HYPERLINK("https%3A%2F%2Fwww.webofscience.com%2Fwos%2Fwoscc%2Ffull-record%2FWOS:000460069800001","View Full Record in Web of Science")</f>
        <v>View Full Record in Web of Science</v>
      </c>
    </row>
    <row r="360" spans="1:72" x14ac:dyDescent="0.15">
      <c r="A360" t="s">
        <v>72</v>
      </c>
      <c r="B360" t="s">
        <v>7285</v>
      </c>
      <c r="C360" t="s">
        <v>74</v>
      </c>
      <c r="D360" t="s">
        <v>74</v>
      </c>
      <c r="E360" t="s">
        <v>74</v>
      </c>
      <c r="F360" t="s">
        <v>7286</v>
      </c>
      <c r="G360" t="s">
        <v>74</v>
      </c>
      <c r="H360" t="s">
        <v>74</v>
      </c>
      <c r="I360" t="s">
        <v>7287</v>
      </c>
      <c r="J360" t="s">
        <v>621</v>
      </c>
      <c r="K360" t="s">
        <v>74</v>
      </c>
      <c r="L360" t="s">
        <v>74</v>
      </c>
      <c r="M360" t="s">
        <v>78</v>
      </c>
      <c r="N360" t="s">
        <v>79</v>
      </c>
      <c r="O360" t="s">
        <v>74</v>
      </c>
      <c r="P360" t="s">
        <v>74</v>
      </c>
      <c r="Q360" t="s">
        <v>74</v>
      </c>
      <c r="R360" t="s">
        <v>74</v>
      </c>
      <c r="S360" t="s">
        <v>74</v>
      </c>
      <c r="T360" t="s">
        <v>7288</v>
      </c>
      <c r="U360" t="s">
        <v>7289</v>
      </c>
      <c r="V360" t="s">
        <v>7290</v>
      </c>
      <c r="W360" t="s">
        <v>7291</v>
      </c>
      <c r="X360" t="s">
        <v>7292</v>
      </c>
      <c r="Y360" t="s">
        <v>7293</v>
      </c>
      <c r="Z360" t="s">
        <v>7294</v>
      </c>
      <c r="AA360" t="s">
        <v>7295</v>
      </c>
      <c r="AB360" t="s">
        <v>7296</v>
      </c>
      <c r="AC360" t="s">
        <v>7297</v>
      </c>
      <c r="AD360" t="s">
        <v>7298</v>
      </c>
      <c r="AE360" t="s">
        <v>7299</v>
      </c>
      <c r="AF360" t="s">
        <v>74</v>
      </c>
      <c r="AG360">
        <v>50</v>
      </c>
      <c r="AH360">
        <v>18</v>
      </c>
      <c r="AI360">
        <v>19</v>
      </c>
      <c r="AJ360">
        <v>0</v>
      </c>
      <c r="AK360">
        <v>38</v>
      </c>
      <c r="AL360" t="s">
        <v>634</v>
      </c>
      <c r="AM360" t="s">
        <v>635</v>
      </c>
      <c r="AN360" t="s">
        <v>636</v>
      </c>
      <c r="AO360" t="s">
        <v>637</v>
      </c>
      <c r="AP360" t="s">
        <v>638</v>
      </c>
      <c r="AQ360" t="s">
        <v>74</v>
      </c>
      <c r="AR360" t="s">
        <v>639</v>
      </c>
      <c r="AS360" t="s">
        <v>640</v>
      </c>
      <c r="AT360" t="s">
        <v>7134</v>
      </c>
      <c r="AU360">
        <v>2019</v>
      </c>
      <c r="AV360">
        <v>510</v>
      </c>
      <c r="AW360" t="s">
        <v>74</v>
      </c>
      <c r="AX360" t="s">
        <v>74</v>
      </c>
      <c r="AY360" t="s">
        <v>74</v>
      </c>
      <c r="AZ360" t="s">
        <v>74</v>
      </c>
      <c r="BA360" t="s">
        <v>74</v>
      </c>
      <c r="BB360">
        <v>94</v>
      </c>
      <c r="BC360">
        <v>102</v>
      </c>
      <c r="BD360" t="s">
        <v>74</v>
      </c>
      <c r="BE360" t="s">
        <v>7300</v>
      </c>
      <c r="BF360" t="str">
        <f>HYPERLINK("http://dx.doi.org/10.1016/j.epsl.2018.12.025","http://dx.doi.org/10.1016/j.epsl.2018.12.025")</f>
        <v>http://dx.doi.org/10.1016/j.epsl.2018.12.025</v>
      </c>
      <c r="BG360" t="s">
        <v>74</v>
      </c>
      <c r="BH360" t="s">
        <v>74</v>
      </c>
      <c r="BI360">
        <v>9</v>
      </c>
      <c r="BJ360" t="s">
        <v>643</v>
      </c>
      <c r="BK360" t="s">
        <v>102</v>
      </c>
      <c r="BL360" t="s">
        <v>643</v>
      </c>
      <c r="BM360" t="s">
        <v>7282</v>
      </c>
      <c r="BN360" t="s">
        <v>74</v>
      </c>
      <c r="BO360" t="s">
        <v>3785</v>
      </c>
      <c r="BP360" t="s">
        <v>74</v>
      </c>
      <c r="BQ360" t="s">
        <v>74</v>
      </c>
      <c r="BR360" t="s">
        <v>107</v>
      </c>
      <c r="BS360" t="s">
        <v>7301</v>
      </c>
      <c r="BT360" t="str">
        <f>HYPERLINK("https%3A%2F%2Fwww.webofscience.com%2Fwos%2Fwoscc%2Ffull-record%2FWOS:000460069800010","View Full Record in Web of Science")</f>
        <v>View Full Record in Web of Science</v>
      </c>
    </row>
    <row r="361" spans="1:72" x14ac:dyDescent="0.15">
      <c r="A361" t="s">
        <v>72</v>
      </c>
      <c r="B361" t="s">
        <v>7302</v>
      </c>
      <c r="C361" t="s">
        <v>74</v>
      </c>
      <c r="D361" t="s">
        <v>74</v>
      </c>
      <c r="E361" t="s">
        <v>74</v>
      </c>
      <c r="F361" t="s">
        <v>7303</v>
      </c>
      <c r="G361" t="s">
        <v>74</v>
      </c>
      <c r="H361" t="s">
        <v>74</v>
      </c>
      <c r="I361" t="s">
        <v>7304</v>
      </c>
      <c r="J361" t="s">
        <v>1829</v>
      </c>
      <c r="K361" t="s">
        <v>74</v>
      </c>
      <c r="L361" t="s">
        <v>74</v>
      </c>
      <c r="M361" t="s">
        <v>78</v>
      </c>
      <c r="N361" t="s">
        <v>79</v>
      </c>
      <c r="O361" t="s">
        <v>74</v>
      </c>
      <c r="P361" t="s">
        <v>74</v>
      </c>
      <c r="Q361" t="s">
        <v>74</v>
      </c>
      <c r="R361" t="s">
        <v>74</v>
      </c>
      <c r="S361" t="s">
        <v>74</v>
      </c>
      <c r="T361" t="s">
        <v>7305</v>
      </c>
      <c r="U361" t="s">
        <v>7306</v>
      </c>
      <c r="V361" t="s">
        <v>7307</v>
      </c>
      <c r="W361" t="s">
        <v>7308</v>
      </c>
      <c r="X361" t="s">
        <v>7309</v>
      </c>
      <c r="Y361" t="s">
        <v>7310</v>
      </c>
      <c r="Z361" t="s">
        <v>7311</v>
      </c>
      <c r="AA361" t="s">
        <v>7312</v>
      </c>
      <c r="AB361" t="s">
        <v>7313</v>
      </c>
      <c r="AC361" t="s">
        <v>7314</v>
      </c>
      <c r="AD361" t="s">
        <v>7315</v>
      </c>
      <c r="AE361" t="s">
        <v>7316</v>
      </c>
      <c r="AF361" t="s">
        <v>74</v>
      </c>
      <c r="AG361">
        <v>181</v>
      </c>
      <c r="AH361">
        <v>20</v>
      </c>
      <c r="AI361">
        <v>22</v>
      </c>
      <c r="AJ361">
        <v>2</v>
      </c>
      <c r="AK361">
        <v>41</v>
      </c>
      <c r="AL361" t="s">
        <v>378</v>
      </c>
      <c r="AM361" t="s">
        <v>93</v>
      </c>
      <c r="AN361" t="s">
        <v>379</v>
      </c>
      <c r="AO361" t="s">
        <v>1842</v>
      </c>
      <c r="AP361" t="s">
        <v>1843</v>
      </c>
      <c r="AQ361" t="s">
        <v>74</v>
      </c>
      <c r="AR361" t="s">
        <v>1844</v>
      </c>
      <c r="AS361" t="s">
        <v>1845</v>
      </c>
      <c r="AT361" t="s">
        <v>7134</v>
      </c>
      <c r="AU361">
        <v>2019</v>
      </c>
      <c r="AV361">
        <v>249</v>
      </c>
      <c r="AW361" t="s">
        <v>74</v>
      </c>
      <c r="AX361" t="s">
        <v>74</v>
      </c>
      <c r="AY361" t="s">
        <v>74</v>
      </c>
      <c r="AZ361" t="s">
        <v>74</v>
      </c>
      <c r="BA361" t="s">
        <v>74</v>
      </c>
      <c r="BB361">
        <v>199</v>
      </c>
      <c r="BC361">
        <v>224</v>
      </c>
      <c r="BD361" t="s">
        <v>74</v>
      </c>
      <c r="BE361" t="s">
        <v>7317</v>
      </c>
      <c r="BF361" t="str">
        <f>HYPERLINK("http://dx.doi.org/10.1016/j.gca.2019.01.028","http://dx.doi.org/10.1016/j.gca.2019.01.028")</f>
        <v>http://dx.doi.org/10.1016/j.gca.2019.01.028</v>
      </c>
      <c r="BG361" t="s">
        <v>74</v>
      </c>
      <c r="BH361" t="s">
        <v>74</v>
      </c>
      <c r="BI361">
        <v>26</v>
      </c>
      <c r="BJ361" t="s">
        <v>643</v>
      </c>
      <c r="BK361" t="s">
        <v>102</v>
      </c>
      <c r="BL361" t="s">
        <v>643</v>
      </c>
      <c r="BM361" t="s">
        <v>7318</v>
      </c>
      <c r="BN361" t="s">
        <v>74</v>
      </c>
      <c r="BO361" t="s">
        <v>74</v>
      </c>
      <c r="BP361" t="s">
        <v>74</v>
      </c>
      <c r="BQ361" t="s">
        <v>74</v>
      </c>
      <c r="BR361" t="s">
        <v>107</v>
      </c>
      <c r="BS361" t="s">
        <v>7319</v>
      </c>
      <c r="BT361" t="str">
        <f>HYPERLINK("https%3A%2F%2Fwww.webofscience.com%2Fwos%2Fwoscc%2Ffull-record%2FWOS:000458862600011","View Full Record in Web of Science")</f>
        <v>View Full Record in Web of Science</v>
      </c>
    </row>
    <row r="362" spans="1:72" x14ac:dyDescent="0.15">
      <c r="A362" t="s">
        <v>72</v>
      </c>
      <c r="B362" t="s">
        <v>7320</v>
      </c>
      <c r="C362" t="s">
        <v>74</v>
      </c>
      <c r="D362" t="s">
        <v>74</v>
      </c>
      <c r="E362" t="s">
        <v>74</v>
      </c>
      <c r="F362" t="s">
        <v>7321</v>
      </c>
      <c r="G362" t="s">
        <v>74</v>
      </c>
      <c r="H362" t="s">
        <v>74</v>
      </c>
      <c r="I362" t="s">
        <v>7322</v>
      </c>
      <c r="J362" t="s">
        <v>6074</v>
      </c>
      <c r="K362" t="s">
        <v>74</v>
      </c>
      <c r="L362" t="s">
        <v>74</v>
      </c>
      <c r="M362" t="s">
        <v>78</v>
      </c>
      <c r="N362" t="s">
        <v>79</v>
      </c>
      <c r="O362" t="s">
        <v>74</v>
      </c>
      <c r="P362" t="s">
        <v>74</v>
      </c>
      <c r="Q362" t="s">
        <v>74</v>
      </c>
      <c r="R362" t="s">
        <v>74</v>
      </c>
      <c r="S362" t="s">
        <v>74</v>
      </c>
      <c r="T362" t="s">
        <v>7323</v>
      </c>
      <c r="U362" t="s">
        <v>7324</v>
      </c>
      <c r="V362" t="s">
        <v>7325</v>
      </c>
      <c r="W362" t="s">
        <v>7326</v>
      </c>
      <c r="X362" t="s">
        <v>7327</v>
      </c>
      <c r="Y362" t="s">
        <v>7328</v>
      </c>
      <c r="Z362" t="s">
        <v>7329</v>
      </c>
      <c r="AA362" t="s">
        <v>7330</v>
      </c>
      <c r="AB362" t="s">
        <v>7331</v>
      </c>
      <c r="AC362" t="s">
        <v>74</v>
      </c>
      <c r="AD362" t="s">
        <v>74</v>
      </c>
      <c r="AE362" t="s">
        <v>74</v>
      </c>
      <c r="AF362" t="s">
        <v>74</v>
      </c>
      <c r="AG362">
        <v>47</v>
      </c>
      <c r="AH362">
        <v>3</v>
      </c>
      <c r="AI362">
        <v>3</v>
      </c>
      <c r="AJ362">
        <v>0</v>
      </c>
      <c r="AK362">
        <v>16</v>
      </c>
      <c r="AL362" t="s">
        <v>662</v>
      </c>
      <c r="AM362" t="s">
        <v>635</v>
      </c>
      <c r="AN362" t="s">
        <v>663</v>
      </c>
      <c r="AO362" t="s">
        <v>6087</v>
      </c>
      <c r="AP362" t="s">
        <v>6088</v>
      </c>
      <c r="AQ362" t="s">
        <v>74</v>
      </c>
      <c r="AR362" t="s">
        <v>6074</v>
      </c>
      <c r="AS362" t="s">
        <v>6089</v>
      </c>
      <c r="AT362" t="s">
        <v>7134</v>
      </c>
      <c r="AU362">
        <v>2019</v>
      </c>
      <c r="AV362">
        <v>502</v>
      </c>
      <c r="AW362" t="s">
        <v>74</v>
      </c>
      <c r="AX362" t="s">
        <v>74</v>
      </c>
      <c r="AY362" t="s">
        <v>74</v>
      </c>
      <c r="AZ362" t="s">
        <v>74</v>
      </c>
      <c r="BA362" t="s">
        <v>74</v>
      </c>
      <c r="BB362">
        <v>128</v>
      </c>
      <c r="BC362">
        <v>133</v>
      </c>
      <c r="BD362" t="s">
        <v>74</v>
      </c>
      <c r="BE362" t="s">
        <v>7332</v>
      </c>
      <c r="BF362" t="str">
        <f>HYPERLINK("http://dx.doi.org/10.1016/j.aquaculture.2018.12.027","http://dx.doi.org/10.1016/j.aquaculture.2018.12.027")</f>
        <v>http://dx.doi.org/10.1016/j.aquaculture.2018.12.027</v>
      </c>
      <c r="BG362" t="s">
        <v>74</v>
      </c>
      <c r="BH362" t="s">
        <v>74</v>
      </c>
      <c r="BI362">
        <v>6</v>
      </c>
      <c r="BJ362" t="s">
        <v>4669</v>
      </c>
      <c r="BK362" t="s">
        <v>102</v>
      </c>
      <c r="BL362" t="s">
        <v>4669</v>
      </c>
      <c r="BM362" t="s">
        <v>7333</v>
      </c>
      <c r="BN362" t="s">
        <v>74</v>
      </c>
      <c r="BO362" t="s">
        <v>74</v>
      </c>
      <c r="BP362" t="s">
        <v>74</v>
      </c>
      <c r="BQ362" t="s">
        <v>74</v>
      </c>
      <c r="BR362" t="s">
        <v>107</v>
      </c>
      <c r="BS362" t="s">
        <v>7334</v>
      </c>
      <c r="BT362" t="str">
        <f>HYPERLINK("https%3A%2F%2Fwww.webofscience.com%2Fwos%2Fwoscc%2Ffull-record%2FWOS:000455344800017","View Full Record in Web of Science")</f>
        <v>View Full Record in Web of Science</v>
      </c>
    </row>
    <row r="363" spans="1:72" x14ac:dyDescent="0.15">
      <c r="A363" t="s">
        <v>72</v>
      </c>
      <c r="B363" t="s">
        <v>7335</v>
      </c>
      <c r="C363" t="s">
        <v>74</v>
      </c>
      <c r="D363" t="s">
        <v>74</v>
      </c>
      <c r="E363" t="s">
        <v>74</v>
      </c>
      <c r="F363" t="s">
        <v>7336</v>
      </c>
      <c r="G363" t="s">
        <v>74</v>
      </c>
      <c r="H363" t="s">
        <v>74</v>
      </c>
      <c r="I363" t="s">
        <v>7337</v>
      </c>
      <c r="J363" t="s">
        <v>6074</v>
      </c>
      <c r="K363" t="s">
        <v>74</v>
      </c>
      <c r="L363" t="s">
        <v>74</v>
      </c>
      <c r="M363" t="s">
        <v>78</v>
      </c>
      <c r="N363" t="s">
        <v>79</v>
      </c>
      <c r="O363" t="s">
        <v>74</v>
      </c>
      <c r="P363" t="s">
        <v>74</v>
      </c>
      <c r="Q363" t="s">
        <v>74</v>
      </c>
      <c r="R363" t="s">
        <v>74</v>
      </c>
      <c r="S363" t="s">
        <v>74</v>
      </c>
      <c r="T363" t="s">
        <v>7338</v>
      </c>
      <c r="U363" t="s">
        <v>7339</v>
      </c>
      <c r="V363" t="s">
        <v>7340</v>
      </c>
      <c r="W363" t="s">
        <v>7341</v>
      </c>
      <c r="X363" t="s">
        <v>7342</v>
      </c>
      <c r="Y363" t="s">
        <v>7343</v>
      </c>
      <c r="Z363" t="s">
        <v>7344</v>
      </c>
      <c r="AA363" t="s">
        <v>7345</v>
      </c>
      <c r="AB363" t="s">
        <v>7346</v>
      </c>
      <c r="AC363" t="s">
        <v>74</v>
      </c>
      <c r="AD363" t="s">
        <v>74</v>
      </c>
      <c r="AE363" t="s">
        <v>74</v>
      </c>
      <c r="AF363" t="s">
        <v>74</v>
      </c>
      <c r="AG363">
        <v>42</v>
      </c>
      <c r="AH363">
        <v>5</v>
      </c>
      <c r="AI363">
        <v>5</v>
      </c>
      <c r="AJ363">
        <v>1</v>
      </c>
      <c r="AK363">
        <v>31</v>
      </c>
      <c r="AL363" t="s">
        <v>662</v>
      </c>
      <c r="AM363" t="s">
        <v>635</v>
      </c>
      <c r="AN363" t="s">
        <v>663</v>
      </c>
      <c r="AO363" t="s">
        <v>6087</v>
      </c>
      <c r="AP363" t="s">
        <v>6088</v>
      </c>
      <c r="AQ363" t="s">
        <v>74</v>
      </c>
      <c r="AR363" t="s">
        <v>6074</v>
      </c>
      <c r="AS363" t="s">
        <v>6089</v>
      </c>
      <c r="AT363" t="s">
        <v>7134</v>
      </c>
      <c r="AU363">
        <v>2019</v>
      </c>
      <c r="AV363">
        <v>502</v>
      </c>
      <c r="AW363" t="s">
        <v>74</v>
      </c>
      <c r="AX363" t="s">
        <v>74</v>
      </c>
      <c r="AY363" t="s">
        <v>74</v>
      </c>
      <c r="AZ363" t="s">
        <v>74</v>
      </c>
      <c r="BA363" t="s">
        <v>74</v>
      </c>
      <c r="BB363">
        <v>189</v>
      </c>
      <c r="BC363">
        <v>195</v>
      </c>
      <c r="BD363" t="s">
        <v>74</v>
      </c>
      <c r="BE363" t="s">
        <v>7347</v>
      </c>
      <c r="BF363" t="str">
        <f>HYPERLINK("http://dx.doi.org/10.1016/j.aquaculture.2018.12.041","http://dx.doi.org/10.1016/j.aquaculture.2018.12.041")</f>
        <v>http://dx.doi.org/10.1016/j.aquaculture.2018.12.041</v>
      </c>
      <c r="BG363" t="s">
        <v>74</v>
      </c>
      <c r="BH363" t="s">
        <v>74</v>
      </c>
      <c r="BI363">
        <v>7</v>
      </c>
      <c r="BJ363" t="s">
        <v>4669</v>
      </c>
      <c r="BK363" t="s">
        <v>102</v>
      </c>
      <c r="BL363" t="s">
        <v>4669</v>
      </c>
      <c r="BM363" t="s">
        <v>7333</v>
      </c>
      <c r="BN363" t="s">
        <v>74</v>
      </c>
      <c r="BO363" t="s">
        <v>74</v>
      </c>
      <c r="BP363" t="s">
        <v>74</v>
      </c>
      <c r="BQ363" t="s">
        <v>74</v>
      </c>
      <c r="BR363" t="s">
        <v>107</v>
      </c>
      <c r="BS363" t="s">
        <v>7348</v>
      </c>
      <c r="BT363" t="str">
        <f>HYPERLINK("https%3A%2F%2Fwww.webofscience.com%2Fwos%2Fwoscc%2Ffull-record%2FWOS:000455344800024","View Full Record in Web of Science")</f>
        <v>View Full Record in Web of Science</v>
      </c>
    </row>
    <row r="364" spans="1:72" x14ac:dyDescent="0.15">
      <c r="A364" t="s">
        <v>72</v>
      </c>
      <c r="B364" t="s">
        <v>7349</v>
      </c>
      <c r="C364" t="s">
        <v>74</v>
      </c>
      <c r="D364" t="s">
        <v>74</v>
      </c>
      <c r="E364" t="s">
        <v>74</v>
      </c>
      <c r="F364" t="s">
        <v>7350</v>
      </c>
      <c r="G364" t="s">
        <v>74</v>
      </c>
      <c r="H364" t="s">
        <v>74</v>
      </c>
      <c r="I364" t="s">
        <v>7351</v>
      </c>
      <c r="J364" t="s">
        <v>5999</v>
      </c>
      <c r="K364" t="s">
        <v>74</v>
      </c>
      <c r="L364" t="s">
        <v>74</v>
      </c>
      <c r="M364" t="s">
        <v>78</v>
      </c>
      <c r="N364" t="s">
        <v>79</v>
      </c>
      <c r="O364" t="s">
        <v>74</v>
      </c>
      <c r="P364" t="s">
        <v>74</v>
      </c>
      <c r="Q364" t="s">
        <v>74</v>
      </c>
      <c r="R364" t="s">
        <v>74</v>
      </c>
      <c r="S364" t="s">
        <v>74</v>
      </c>
      <c r="T364" t="s">
        <v>7352</v>
      </c>
      <c r="U364" t="s">
        <v>7353</v>
      </c>
      <c r="V364" t="s">
        <v>7354</v>
      </c>
      <c r="W364" t="s">
        <v>7355</v>
      </c>
      <c r="X364" t="s">
        <v>7356</v>
      </c>
      <c r="Y364" t="s">
        <v>7357</v>
      </c>
      <c r="Z364" t="s">
        <v>7358</v>
      </c>
      <c r="AA364" t="s">
        <v>7359</v>
      </c>
      <c r="AB364" t="s">
        <v>7360</v>
      </c>
      <c r="AC364" t="s">
        <v>7361</v>
      </c>
      <c r="AD364" t="s">
        <v>7362</v>
      </c>
      <c r="AE364" t="s">
        <v>7363</v>
      </c>
      <c r="AF364" t="s">
        <v>74</v>
      </c>
      <c r="AG364">
        <v>55</v>
      </c>
      <c r="AH364">
        <v>9</v>
      </c>
      <c r="AI364">
        <v>10</v>
      </c>
      <c r="AJ364">
        <v>0</v>
      </c>
      <c r="AK364">
        <v>30</v>
      </c>
      <c r="AL364" t="s">
        <v>662</v>
      </c>
      <c r="AM364" t="s">
        <v>635</v>
      </c>
      <c r="AN364" t="s">
        <v>663</v>
      </c>
      <c r="AO364" t="s">
        <v>6012</v>
      </c>
      <c r="AP364" t="s">
        <v>6013</v>
      </c>
      <c r="AQ364" t="s">
        <v>74</v>
      </c>
      <c r="AR364" t="s">
        <v>6014</v>
      </c>
      <c r="AS364" t="s">
        <v>6015</v>
      </c>
      <c r="AT364" t="s">
        <v>7134</v>
      </c>
      <c r="AU364">
        <v>2019</v>
      </c>
      <c r="AV364">
        <v>656</v>
      </c>
      <c r="AW364" t="s">
        <v>74</v>
      </c>
      <c r="AX364" t="s">
        <v>74</v>
      </c>
      <c r="AY364" t="s">
        <v>74</v>
      </c>
      <c r="AZ364" t="s">
        <v>74</v>
      </c>
      <c r="BA364" t="s">
        <v>74</v>
      </c>
      <c r="BB364">
        <v>1121</v>
      </c>
      <c r="BC364">
        <v>1132</v>
      </c>
      <c r="BD364" t="s">
        <v>74</v>
      </c>
      <c r="BE364" t="s">
        <v>7364</v>
      </c>
      <c r="BF364" t="str">
        <f>HYPERLINK("http://dx.doi.org/10.1016/j.scitotenv.2018.11.456","http://dx.doi.org/10.1016/j.scitotenv.2018.11.456")</f>
        <v>http://dx.doi.org/10.1016/j.scitotenv.2018.11.456</v>
      </c>
      <c r="BG364" t="s">
        <v>74</v>
      </c>
      <c r="BH364" t="s">
        <v>74</v>
      </c>
      <c r="BI364">
        <v>12</v>
      </c>
      <c r="BJ364" t="s">
        <v>2296</v>
      </c>
      <c r="BK364" t="s">
        <v>102</v>
      </c>
      <c r="BL364" t="s">
        <v>2297</v>
      </c>
      <c r="BM364" t="s">
        <v>7365</v>
      </c>
      <c r="BN364">
        <v>30625644</v>
      </c>
      <c r="BO364" t="s">
        <v>74</v>
      </c>
      <c r="BP364" t="s">
        <v>74</v>
      </c>
      <c r="BQ364" t="s">
        <v>74</v>
      </c>
      <c r="BR364" t="s">
        <v>107</v>
      </c>
      <c r="BS364" t="s">
        <v>7366</v>
      </c>
      <c r="BT364" t="str">
        <f>HYPERLINK("https%3A%2F%2Fwww.webofscience.com%2Fwos%2Fwoscc%2Ffull-record%2FWOS:000455039600109","View Full Record in Web of Science")</f>
        <v>View Full Record in Web of Science</v>
      </c>
    </row>
    <row r="365" spans="1:72" x14ac:dyDescent="0.15">
      <c r="A365" t="s">
        <v>72</v>
      </c>
      <c r="B365" t="s">
        <v>7367</v>
      </c>
      <c r="C365" t="s">
        <v>74</v>
      </c>
      <c r="D365" t="s">
        <v>74</v>
      </c>
      <c r="E365" t="s">
        <v>74</v>
      </c>
      <c r="F365" t="s">
        <v>7368</v>
      </c>
      <c r="G365" t="s">
        <v>74</v>
      </c>
      <c r="H365" t="s">
        <v>74</v>
      </c>
      <c r="I365" t="s">
        <v>7369</v>
      </c>
      <c r="J365" t="s">
        <v>5999</v>
      </c>
      <c r="K365" t="s">
        <v>74</v>
      </c>
      <c r="L365" t="s">
        <v>74</v>
      </c>
      <c r="M365" t="s">
        <v>78</v>
      </c>
      <c r="N365" t="s">
        <v>79</v>
      </c>
      <c r="O365" t="s">
        <v>74</v>
      </c>
      <c r="P365" t="s">
        <v>74</v>
      </c>
      <c r="Q365" t="s">
        <v>74</v>
      </c>
      <c r="R365" t="s">
        <v>74</v>
      </c>
      <c r="S365" t="s">
        <v>74</v>
      </c>
      <c r="T365" t="s">
        <v>7370</v>
      </c>
      <c r="U365" t="s">
        <v>7371</v>
      </c>
      <c r="V365" t="s">
        <v>7372</v>
      </c>
      <c r="W365" t="s">
        <v>7373</v>
      </c>
      <c r="X365" t="s">
        <v>7374</v>
      </c>
      <c r="Y365" t="s">
        <v>7375</v>
      </c>
      <c r="Z365" t="s">
        <v>7376</v>
      </c>
      <c r="AA365" t="s">
        <v>7377</v>
      </c>
      <c r="AB365" t="s">
        <v>7378</v>
      </c>
      <c r="AC365" t="s">
        <v>7379</v>
      </c>
      <c r="AD365" t="s">
        <v>7380</v>
      </c>
      <c r="AE365" t="s">
        <v>7381</v>
      </c>
      <c r="AF365" t="s">
        <v>74</v>
      </c>
      <c r="AG365">
        <v>46</v>
      </c>
      <c r="AH365">
        <v>7</v>
      </c>
      <c r="AI365">
        <v>8</v>
      </c>
      <c r="AJ365">
        <v>5</v>
      </c>
      <c r="AK365">
        <v>76</v>
      </c>
      <c r="AL365" t="s">
        <v>662</v>
      </c>
      <c r="AM365" t="s">
        <v>635</v>
      </c>
      <c r="AN365" t="s">
        <v>663</v>
      </c>
      <c r="AO365" t="s">
        <v>6012</v>
      </c>
      <c r="AP365" t="s">
        <v>6013</v>
      </c>
      <c r="AQ365" t="s">
        <v>74</v>
      </c>
      <c r="AR365" t="s">
        <v>6014</v>
      </c>
      <c r="AS365" t="s">
        <v>6015</v>
      </c>
      <c r="AT365" t="s">
        <v>7134</v>
      </c>
      <c r="AU365">
        <v>2019</v>
      </c>
      <c r="AV365">
        <v>656</v>
      </c>
      <c r="AW365" t="s">
        <v>74</v>
      </c>
      <c r="AX365" t="s">
        <v>74</v>
      </c>
      <c r="AY365" t="s">
        <v>74</v>
      </c>
      <c r="AZ365" t="s">
        <v>74</v>
      </c>
      <c r="BA365" t="s">
        <v>74</v>
      </c>
      <c r="BB365">
        <v>1199</v>
      </c>
      <c r="BC365">
        <v>1206</v>
      </c>
      <c r="BD365" t="s">
        <v>74</v>
      </c>
      <c r="BE365" t="s">
        <v>7382</v>
      </c>
      <c r="BF365" t="str">
        <f>HYPERLINK("http://dx.doi.org/10.1016/j.scitotenv.2018.11.452","http://dx.doi.org/10.1016/j.scitotenv.2018.11.452")</f>
        <v>http://dx.doi.org/10.1016/j.scitotenv.2018.11.452</v>
      </c>
      <c r="BG365" t="s">
        <v>74</v>
      </c>
      <c r="BH365" t="s">
        <v>74</v>
      </c>
      <c r="BI365">
        <v>8</v>
      </c>
      <c r="BJ365" t="s">
        <v>2296</v>
      </c>
      <c r="BK365" t="s">
        <v>102</v>
      </c>
      <c r="BL365" t="s">
        <v>2297</v>
      </c>
      <c r="BM365" t="s">
        <v>7365</v>
      </c>
      <c r="BN365">
        <v>30625651</v>
      </c>
      <c r="BO365" t="s">
        <v>74</v>
      </c>
      <c r="BP365" t="s">
        <v>74</v>
      </c>
      <c r="BQ365" t="s">
        <v>74</v>
      </c>
      <c r="BR365" t="s">
        <v>107</v>
      </c>
      <c r="BS365" t="s">
        <v>7383</v>
      </c>
      <c r="BT365" t="str">
        <f>HYPERLINK("https%3A%2F%2Fwww.webofscience.com%2Fwos%2Fwoscc%2Ffull-record%2FWOS:000455039600116","View Full Record in Web of Science")</f>
        <v>View Full Record in Web of Science</v>
      </c>
    </row>
    <row r="366" spans="1:72" x14ac:dyDescent="0.15">
      <c r="A366" t="s">
        <v>72</v>
      </c>
      <c r="B366" t="s">
        <v>7384</v>
      </c>
      <c r="C366" t="s">
        <v>74</v>
      </c>
      <c r="D366" t="s">
        <v>74</v>
      </c>
      <c r="E366" t="s">
        <v>74</v>
      </c>
      <c r="F366" t="s">
        <v>7385</v>
      </c>
      <c r="G366" t="s">
        <v>74</v>
      </c>
      <c r="H366" t="s">
        <v>74</v>
      </c>
      <c r="I366" t="s">
        <v>7386</v>
      </c>
      <c r="J366" t="s">
        <v>856</v>
      </c>
      <c r="K366" t="s">
        <v>74</v>
      </c>
      <c r="L366" t="s">
        <v>74</v>
      </c>
      <c r="M366" t="s">
        <v>78</v>
      </c>
      <c r="N366" t="s">
        <v>79</v>
      </c>
      <c r="O366" t="s">
        <v>74</v>
      </c>
      <c r="P366" t="s">
        <v>74</v>
      </c>
      <c r="Q366" t="s">
        <v>74</v>
      </c>
      <c r="R366" t="s">
        <v>74</v>
      </c>
      <c r="S366" t="s">
        <v>74</v>
      </c>
      <c r="T366" t="s">
        <v>74</v>
      </c>
      <c r="U366" t="s">
        <v>7387</v>
      </c>
      <c r="V366" t="s">
        <v>7388</v>
      </c>
      <c r="W366" t="s">
        <v>7389</v>
      </c>
      <c r="X366" t="s">
        <v>7390</v>
      </c>
      <c r="Y366" t="s">
        <v>7391</v>
      </c>
      <c r="Z366" t="s">
        <v>7392</v>
      </c>
      <c r="AA366" t="s">
        <v>7393</v>
      </c>
      <c r="AB366" t="s">
        <v>7394</v>
      </c>
      <c r="AC366" t="s">
        <v>7395</v>
      </c>
      <c r="AD366" t="s">
        <v>7396</v>
      </c>
      <c r="AE366" t="s">
        <v>7397</v>
      </c>
      <c r="AF366" t="s">
        <v>74</v>
      </c>
      <c r="AG366">
        <v>114</v>
      </c>
      <c r="AH366">
        <v>17</v>
      </c>
      <c r="AI366">
        <v>17</v>
      </c>
      <c r="AJ366">
        <v>0</v>
      </c>
      <c r="AK366">
        <v>12</v>
      </c>
      <c r="AL366" t="s">
        <v>868</v>
      </c>
      <c r="AM366" t="s">
        <v>869</v>
      </c>
      <c r="AN366" t="s">
        <v>870</v>
      </c>
      <c r="AO366" t="s">
        <v>871</v>
      </c>
      <c r="AP366" t="s">
        <v>872</v>
      </c>
      <c r="AQ366" t="s">
        <v>74</v>
      </c>
      <c r="AR366" t="s">
        <v>873</v>
      </c>
      <c r="AS366" t="s">
        <v>874</v>
      </c>
      <c r="AT366" t="s">
        <v>7398</v>
      </c>
      <c r="AU366">
        <v>2019</v>
      </c>
      <c r="AV366">
        <v>15</v>
      </c>
      <c r="AW366">
        <v>2</v>
      </c>
      <c r="AX366" t="s">
        <v>74</v>
      </c>
      <c r="AY366" t="s">
        <v>74</v>
      </c>
      <c r="AZ366" t="s">
        <v>74</v>
      </c>
      <c r="BA366" t="s">
        <v>74</v>
      </c>
      <c r="BB366">
        <v>423</v>
      </c>
      <c r="BC366">
        <v>448</v>
      </c>
      <c r="BD366" t="s">
        <v>74</v>
      </c>
      <c r="BE366" t="s">
        <v>7399</v>
      </c>
      <c r="BF366" t="str">
        <f>HYPERLINK("http://dx.doi.org/10.5194/cp-15-423-2019","http://dx.doi.org/10.5194/cp-15-423-2019")</f>
        <v>http://dx.doi.org/10.5194/cp-15-423-2019</v>
      </c>
      <c r="BG366" t="s">
        <v>74</v>
      </c>
      <c r="BH366" t="s">
        <v>74</v>
      </c>
      <c r="BI366">
        <v>26</v>
      </c>
      <c r="BJ366" t="s">
        <v>876</v>
      </c>
      <c r="BK366" t="s">
        <v>337</v>
      </c>
      <c r="BL366" t="s">
        <v>877</v>
      </c>
      <c r="BM366" t="s">
        <v>7400</v>
      </c>
      <c r="BN366" t="s">
        <v>74</v>
      </c>
      <c r="BO366" t="s">
        <v>7401</v>
      </c>
      <c r="BP366" t="s">
        <v>74</v>
      </c>
      <c r="BQ366" t="s">
        <v>74</v>
      </c>
      <c r="BR366" t="s">
        <v>107</v>
      </c>
      <c r="BS366" t="s">
        <v>7402</v>
      </c>
      <c r="BT366" t="str">
        <f>HYPERLINK("https%3A%2F%2Fwww.webofscience.com%2Fwos%2Fwoscc%2Ffull-record%2FWOS:000461282600001","View Full Record in Web of Science")</f>
        <v>View Full Record in Web of Science</v>
      </c>
    </row>
    <row r="367" spans="1:72" x14ac:dyDescent="0.15">
      <c r="A367" t="s">
        <v>72</v>
      </c>
      <c r="B367" t="s">
        <v>7403</v>
      </c>
      <c r="C367" t="s">
        <v>74</v>
      </c>
      <c r="D367" t="s">
        <v>74</v>
      </c>
      <c r="E367" t="s">
        <v>74</v>
      </c>
      <c r="F367" t="s">
        <v>7404</v>
      </c>
      <c r="G367" t="s">
        <v>74</v>
      </c>
      <c r="H367" t="s">
        <v>74</v>
      </c>
      <c r="I367" t="s">
        <v>7405</v>
      </c>
      <c r="J367" t="s">
        <v>1125</v>
      </c>
      <c r="K367" t="s">
        <v>74</v>
      </c>
      <c r="L367" t="s">
        <v>74</v>
      </c>
      <c r="M367" t="s">
        <v>78</v>
      </c>
      <c r="N367" t="s">
        <v>79</v>
      </c>
      <c r="O367" t="s">
        <v>74</v>
      </c>
      <c r="P367" t="s">
        <v>74</v>
      </c>
      <c r="Q367" t="s">
        <v>74</v>
      </c>
      <c r="R367" t="s">
        <v>74</v>
      </c>
      <c r="S367" t="s">
        <v>74</v>
      </c>
      <c r="T367" t="s">
        <v>74</v>
      </c>
      <c r="U367" t="s">
        <v>7406</v>
      </c>
      <c r="V367" t="s">
        <v>7407</v>
      </c>
      <c r="W367" t="s">
        <v>7408</v>
      </c>
      <c r="X367" t="s">
        <v>7409</v>
      </c>
      <c r="Y367" t="s">
        <v>7410</v>
      </c>
      <c r="Z367" t="s">
        <v>7411</v>
      </c>
      <c r="AA367" t="s">
        <v>74</v>
      </c>
      <c r="AB367" t="s">
        <v>74</v>
      </c>
      <c r="AC367" t="s">
        <v>7412</v>
      </c>
      <c r="AD367" t="s">
        <v>7412</v>
      </c>
      <c r="AE367" t="s">
        <v>7413</v>
      </c>
      <c r="AF367" t="s">
        <v>74</v>
      </c>
      <c r="AG367">
        <v>68</v>
      </c>
      <c r="AH367">
        <v>16</v>
      </c>
      <c r="AI367">
        <v>18</v>
      </c>
      <c r="AJ367">
        <v>1</v>
      </c>
      <c r="AK367">
        <v>5</v>
      </c>
      <c r="AL367" t="s">
        <v>868</v>
      </c>
      <c r="AM367" t="s">
        <v>869</v>
      </c>
      <c r="AN367" t="s">
        <v>870</v>
      </c>
      <c r="AO367" t="s">
        <v>1137</v>
      </c>
      <c r="AP367" t="s">
        <v>1138</v>
      </c>
      <c r="AQ367" t="s">
        <v>74</v>
      </c>
      <c r="AR367" t="s">
        <v>1125</v>
      </c>
      <c r="AS367" t="s">
        <v>1139</v>
      </c>
      <c r="AT367" t="s">
        <v>7398</v>
      </c>
      <c r="AU367">
        <v>2019</v>
      </c>
      <c r="AV367">
        <v>13</v>
      </c>
      <c r="AW367">
        <v>3</v>
      </c>
      <c r="AX367" t="s">
        <v>74</v>
      </c>
      <c r="AY367" t="s">
        <v>74</v>
      </c>
      <c r="AZ367" t="s">
        <v>74</v>
      </c>
      <c r="BA367" t="s">
        <v>74</v>
      </c>
      <c r="BB367">
        <v>861</v>
      </c>
      <c r="BC367">
        <v>878</v>
      </c>
      <c r="BD367" t="s">
        <v>74</v>
      </c>
      <c r="BE367" t="s">
        <v>7414</v>
      </c>
      <c r="BF367" t="str">
        <f>HYPERLINK("http://dx.doi.org/10.5194/tc-13-861-2019","http://dx.doi.org/10.5194/tc-13-861-2019")</f>
        <v>http://dx.doi.org/10.5194/tc-13-861-2019</v>
      </c>
      <c r="BG367" t="s">
        <v>74</v>
      </c>
      <c r="BH367" t="s">
        <v>74</v>
      </c>
      <c r="BI367">
        <v>18</v>
      </c>
      <c r="BJ367" t="s">
        <v>1142</v>
      </c>
      <c r="BK367" t="s">
        <v>102</v>
      </c>
      <c r="BL367" t="s">
        <v>1143</v>
      </c>
      <c r="BM367" t="s">
        <v>7415</v>
      </c>
      <c r="BN367" t="s">
        <v>74</v>
      </c>
      <c r="BO367" t="s">
        <v>3093</v>
      </c>
      <c r="BP367" t="s">
        <v>74</v>
      </c>
      <c r="BQ367" t="s">
        <v>74</v>
      </c>
      <c r="BR367" t="s">
        <v>107</v>
      </c>
      <c r="BS367" t="s">
        <v>7416</v>
      </c>
      <c r="BT367" t="str">
        <f>HYPERLINK("https%3A%2F%2Fwww.webofscience.com%2Fwos%2Fwoscc%2Ffull-record%2FWOS:000461199300001","View Full Record in Web of Science")</f>
        <v>View Full Record in Web of Science</v>
      </c>
    </row>
    <row r="368" spans="1:72" x14ac:dyDescent="0.15">
      <c r="A368" t="s">
        <v>72</v>
      </c>
      <c r="B368" t="s">
        <v>7417</v>
      </c>
      <c r="C368" t="s">
        <v>74</v>
      </c>
      <c r="D368" t="s">
        <v>74</v>
      </c>
      <c r="E368" t="s">
        <v>74</v>
      </c>
      <c r="F368" t="s">
        <v>7418</v>
      </c>
      <c r="G368" t="s">
        <v>74</v>
      </c>
      <c r="H368" t="s">
        <v>74</v>
      </c>
      <c r="I368" t="s">
        <v>7419</v>
      </c>
      <c r="J368" t="s">
        <v>1720</v>
      </c>
      <c r="K368" t="s">
        <v>74</v>
      </c>
      <c r="L368" t="s">
        <v>74</v>
      </c>
      <c r="M368" t="s">
        <v>78</v>
      </c>
      <c r="N368" t="s">
        <v>79</v>
      </c>
      <c r="O368" t="s">
        <v>74</v>
      </c>
      <c r="P368" t="s">
        <v>74</v>
      </c>
      <c r="Q368" t="s">
        <v>74</v>
      </c>
      <c r="R368" t="s">
        <v>74</v>
      </c>
      <c r="S368" t="s">
        <v>74</v>
      </c>
      <c r="T368" t="s">
        <v>74</v>
      </c>
      <c r="U368" t="s">
        <v>7420</v>
      </c>
      <c r="V368" t="s">
        <v>7421</v>
      </c>
      <c r="W368" t="s">
        <v>7422</v>
      </c>
      <c r="X368" t="s">
        <v>7423</v>
      </c>
      <c r="Y368" t="s">
        <v>7424</v>
      </c>
      <c r="Z368" t="s">
        <v>7425</v>
      </c>
      <c r="AA368" t="s">
        <v>7426</v>
      </c>
      <c r="AB368" t="s">
        <v>7427</v>
      </c>
      <c r="AC368" t="s">
        <v>7428</v>
      </c>
      <c r="AD368" t="s">
        <v>7429</v>
      </c>
      <c r="AE368" t="s">
        <v>7430</v>
      </c>
      <c r="AF368" t="s">
        <v>74</v>
      </c>
      <c r="AG368">
        <v>95</v>
      </c>
      <c r="AH368">
        <v>16</v>
      </c>
      <c r="AI368">
        <v>16</v>
      </c>
      <c r="AJ368">
        <v>0</v>
      </c>
      <c r="AK368">
        <v>13</v>
      </c>
      <c r="AL368" t="s">
        <v>1393</v>
      </c>
      <c r="AM368" t="s">
        <v>1371</v>
      </c>
      <c r="AN368" t="s">
        <v>1372</v>
      </c>
      <c r="AO368" t="s">
        <v>1731</v>
      </c>
      <c r="AP368" t="s">
        <v>74</v>
      </c>
      <c r="AQ368" t="s">
        <v>74</v>
      </c>
      <c r="AR368" t="s">
        <v>1732</v>
      </c>
      <c r="AS368" t="s">
        <v>1733</v>
      </c>
      <c r="AT368" t="s">
        <v>7398</v>
      </c>
      <c r="AU368">
        <v>2019</v>
      </c>
      <c r="AV368">
        <v>9</v>
      </c>
      <c r="AW368" t="s">
        <v>74</v>
      </c>
      <c r="AX368" t="s">
        <v>74</v>
      </c>
      <c r="AY368" t="s">
        <v>74</v>
      </c>
      <c r="AZ368" t="s">
        <v>74</v>
      </c>
      <c r="BA368" t="s">
        <v>74</v>
      </c>
      <c r="BB368" t="s">
        <v>74</v>
      </c>
      <c r="BC368" t="s">
        <v>74</v>
      </c>
      <c r="BD368">
        <v>4458</v>
      </c>
      <c r="BE368" t="s">
        <v>7431</v>
      </c>
      <c r="BF368" t="str">
        <f>HYPERLINK("http://dx.doi.org/10.1038/s41598-019-41013-7","http://dx.doi.org/10.1038/s41598-019-41013-7")</f>
        <v>http://dx.doi.org/10.1038/s41598-019-41013-7</v>
      </c>
      <c r="BG368" t="s">
        <v>74</v>
      </c>
      <c r="BH368" t="s">
        <v>74</v>
      </c>
      <c r="BI368">
        <v>11</v>
      </c>
      <c r="BJ368" t="s">
        <v>460</v>
      </c>
      <c r="BK368" t="s">
        <v>102</v>
      </c>
      <c r="BL368" t="s">
        <v>461</v>
      </c>
      <c r="BM368" t="s">
        <v>7432</v>
      </c>
      <c r="BN368">
        <v>30872690</v>
      </c>
      <c r="BO368" t="s">
        <v>851</v>
      </c>
      <c r="BP368" t="s">
        <v>74</v>
      </c>
      <c r="BQ368" t="s">
        <v>74</v>
      </c>
      <c r="BR368" t="s">
        <v>107</v>
      </c>
      <c r="BS368" t="s">
        <v>7433</v>
      </c>
      <c r="BT368" t="str">
        <f>HYPERLINK("https%3A%2F%2Fwww.webofscience.com%2Fwos%2Fwoscc%2Ffull-record%2FWOS:000461151800042","View Full Record in Web of Science")</f>
        <v>View Full Record in Web of Science</v>
      </c>
    </row>
    <row r="369" spans="1:72" x14ac:dyDescent="0.15">
      <c r="A369" t="s">
        <v>72</v>
      </c>
      <c r="B369" t="s">
        <v>7434</v>
      </c>
      <c r="C369" t="s">
        <v>74</v>
      </c>
      <c r="D369" t="s">
        <v>74</v>
      </c>
      <c r="E369" t="s">
        <v>74</v>
      </c>
      <c r="F369" t="s">
        <v>7435</v>
      </c>
      <c r="G369" t="s">
        <v>74</v>
      </c>
      <c r="H369" t="s">
        <v>74</v>
      </c>
      <c r="I369" t="s">
        <v>7436</v>
      </c>
      <c r="J369" t="s">
        <v>7437</v>
      </c>
      <c r="K369" t="s">
        <v>74</v>
      </c>
      <c r="L369" t="s">
        <v>74</v>
      </c>
      <c r="M369" t="s">
        <v>78</v>
      </c>
      <c r="N369" t="s">
        <v>79</v>
      </c>
      <c r="O369" t="s">
        <v>74</v>
      </c>
      <c r="P369" t="s">
        <v>74</v>
      </c>
      <c r="Q369" t="s">
        <v>74</v>
      </c>
      <c r="R369" t="s">
        <v>74</v>
      </c>
      <c r="S369" t="s">
        <v>74</v>
      </c>
      <c r="T369" t="s">
        <v>7438</v>
      </c>
      <c r="U369" t="s">
        <v>7439</v>
      </c>
      <c r="V369" t="s">
        <v>7440</v>
      </c>
      <c r="W369" t="s">
        <v>7441</v>
      </c>
      <c r="X369" t="s">
        <v>7442</v>
      </c>
      <c r="Y369" t="s">
        <v>7443</v>
      </c>
      <c r="Z369" t="s">
        <v>7444</v>
      </c>
      <c r="AA369" t="s">
        <v>7445</v>
      </c>
      <c r="AB369" t="s">
        <v>7446</v>
      </c>
      <c r="AC369" t="s">
        <v>7447</v>
      </c>
      <c r="AD369" t="s">
        <v>7448</v>
      </c>
      <c r="AE369" t="s">
        <v>7449</v>
      </c>
      <c r="AF369" t="s">
        <v>74</v>
      </c>
      <c r="AG369">
        <v>80</v>
      </c>
      <c r="AH369">
        <v>24</v>
      </c>
      <c r="AI369">
        <v>25</v>
      </c>
      <c r="AJ369">
        <v>3</v>
      </c>
      <c r="AK369">
        <v>30</v>
      </c>
      <c r="AL369" t="s">
        <v>2011</v>
      </c>
      <c r="AM369" t="s">
        <v>2012</v>
      </c>
      <c r="AN369" t="s">
        <v>2013</v>
      </c>
      <c r="AO369" t="s">
        <v>74</v>
      </c>
      <c r="AP369" t="s">
        <v>7450</v>
      </c>
      <c r="AQ369" t="s">
        <v>74</v>
      </c>
      <c r="AR369" t="s">
        <v>7451</v>
      </c>
      <c r="AS369" t="s">
        <v>7452</v>
      </c>
      <c r="AT369" t="s">
        <v>7453</v>
      </c>
      <c r="AU369">
        <v>2019</v>
      </c>
      <c r="AV369">
        <v>20</v>
      </c>
      <c r="AW369">
        <v>6</v>
      </c>
      <c r="AX369" t="s">
        <v>74</v>
      </c>
      <c r="AY369" t="s">
        <v>74</v>
      </c>
      <c r="AZ369" t="s">
        <v>74</v>
      </c>
      <c r="BA369" t="s">
        <v>74</v>
      </c>
      <c r="BB369" t="s">
        <v>74</v>
      </c>
      <c r="BC369" t="s">
        <v>74</v>
      </c>
      <c r="BD369">
        <v>1264</v>
      </c>
      <c r="BE369" t="s">
        <v>7454</v>
      </c>
      <c r="BF369" t="str">
        <f>HYPERLINK("http://dx.doi.org/10.3390/ijms20061264","http://dx.doi.org/10.3390/ijms20061264")</f>
        <v>http://dx.doi.org/10.3390/ijms20061264</v>
      </c>
      <c r="BG369" t="s">
        <v>74</v>
      </c>
      <c r="BH369" t="s">
        <v>74</v>
      </c>
      <c r="BI369">
        <v>21</v>
      </c>
      <c r="BJ369" t="s">
        <v>2017</v>
      </c>
      <c r="BK369" t="s">
        <v>102</v>
      </c>
      <c r="BL369" t="s">
        <v>2018</v>
      </c>
      <c r="BM369" t="s">
        <v>7455</v>
      </c>
      <c r="BN369">
        <v>30871178</v>
      </c>
      <c r="BO369" t="s">
        <v>7401</v>
      </c>
      <c r="BP369" t="s">
        <v>74</v>
      </c>
      <c r="BQ369" t="s">
        <v>74</v>
      </c>
      <c r="BR369" t="s">
        <v>107</v>
      </c>
      <c r="BS369" t="s">
        <v>7456</v>
      </c>
      <c r="BT369" t="str">
        <f>HYPERLINK("https%3A%2F%2Fwww.webofscience.com%2Fwos%2Fwoscc%2Ffull-record%2FWOS:000464292500014","View Full Record in Web of Science")</f>
        <v>View Full Record in Web of Science</v>
      </c>
    </row>
    <row r="370" spans="1:72" x14ac:dyDescent="0.15">
      <c r="A370" t="s">
        <v>72</v>
      </c>
      <c r="B370" t="s">
        <v>7457</v>
      </c>
      <c r="C370" t="s">
        <v>74</v>
      </c>
      <c r="D370" t="s">
        <v>74</v>
      </c>
      <c r="E370" t="s">
        <v>74</v>
      </c>
      <c r="F370" t="s">
        <v>7458</v>
      </c>
      <c r="G370" t="s">
        <v>74</v>
      </c>
      <c r="H370" t="s">
        <v>74</v>
      </c>
      <c r="I370" t="s">
        <v>7459</v>
      </c>
      <c r="J370" t="s">
        <v>7460</v>
      </c>
      <c r="K370" t="s">
        <v>74</v>
      </c>
      <c r="L370" t="s">
        <v>74</v>
      </c>
      <c r="M370" t="s">
        <v>78</v>
      </c>
      <c r="N370" t="s">
        <v>79</v>
      </c>
      <c r="O370" t="s">
        <v>74</v>
      </c>
      <c r="P370" t="s">
        <v>74</v>
      </c>
      <c r="Q370" t="s">
        <v>74</v>
      </c>
      <c r="R370" t="s">
        <v>74</v>
      </c>
      <c r="S370" t="s">
        <v>74</v>
      </c>
      <c r="T370" t="s">
        <v>74</v>
      </c>
      <c r="U370" t="s">
        <v>7461</v>
      </c>
      <c r="V370" t="s">
        <v>7462</v>
      </c>
      <c r="W370" t="s">
        <v>7463</v>
      </c>
      <c r="X370" t="s">
        <v>7464</v>
      </c>
      <c r="Y370" t="s">
        <v>7465</v>
      </c>
      <c r="Z370" t="s">
        <v>7466</v>
      </c>
      <c r="AA370" t="s">
        <v>7467</v>
      </c>
      <c r="AB370" t="s">
        <v>7468</v>
      </c>
      <c r="AC370" t="s">
        <v>7469</v>
      </c>
      <c r="AD370" t="s">
        <v>7470</v>
      </c>
      <c r="AE370" t="s">
        <v>7471</v>
      </c>
      <c r="AF370" t="s">
        <v>74</v>
      </c>
      <c r="AG370">
        <v>101</v>
      </c>
      <c r="AH370">
        <v>16</v>
      </c>
      <c r="AI370">
        <v>18</v>
      </c>
      <c r="AJ370">
        <v>1</v>
      </c>
      <c r="AK370">
        <v>11</v>
      </c>
      <c r="AL370" t="s">
        <v>868</v>
      </c>
      <c r="AM370" t="s">
        <v>869</v>
      </c>
      <c r="AN370" t="s">
        <v>870</v>
      </c>
      <c r="AO370" t="s">
        <v>7472</v>
      </c>
      <c r="AP370" t="s">
        <v>7473</v>
      </c>
      <c r="AQ370" t="s">
        <v>74</v>
      </c>
      <c r="AR370" t="s">
        <v>7460</v>
      </c>
      <c r="AS370" t="s">
        <v>7474</v>
      </c>
      <c r="AT370" t="s">
        <v>7453</v>
      </c>
      <c r="AU370">
        <v>2019</v>
      </c>
      <c r="AV370">
        <v>16</v>
      </c>
      <c r="AW370">
        <v>5</v>
      </c>
      <c r="AX370" t="s">
        <v>74</v>
      </c>
      <c r="AY370" t="s">
        <v>74</v>
      </c>
      <c r="AZ370" t="s">
        <v>74</v>
      </c>
      <c r="BA370" t="s">
        <v>74</v>
      </c>
      <c r="BB370">
        <v>999</v>
      </c>
      <c r="BC370">
        <v>1017</v>
      </c>
      <c r="BD370" t="s">
        <v>74</v>
      </c>
      <c r="BE370" t="s">
        <v>7475</v>
      </c>
      <c r="BF370" t="str">
        <f>HYPERLINK("http://dx.doi.org/10.5194/bg-16-999-2019","http://dx.doi.org/10.5194/bg-16-999-2019")</f>
        <v>http://dx.doi.org/10.5194/bg-16-999-2019</v>
      </c>
      <c r="BG370" t="s">
        <v>74</v>
      </c>
      <c r="BH370" t="s">
        <v>74</v>
      </c>
      <c r="BI370">
        <v>19</v>
      </c>
      <c r="BJ370" t="s">
        <v>7476</v>
      </c>
      <c r="BK370" t="s">
        <v>102</v>
      </c>
      <c r="BL370" t="s">
        <v>221</v>
      </c>
      <c r="BM370" t="s">
        <v>7477</v>
      </c>
      <c r="BN370" t="s">
        <v>74</v>
      </c>
      <c r="BO370" t="s">
        <v>2531</v>
      </c>
      <c r="BP370" t="s">
        <v>74</v>
      </c>
      <c r="BQ370" t="s">
        <v>74</v>
      </c>
      <c r="BR370" t="s">
        <v>107</v>
      </c>
      <c r="BS370" t="s">
        <v>7478</v>
      </c>
      <c r="BT370" t="str">
        <f>HYPERLINK("https%3A%2F%2Fwww.webofscience.com%2Fwos%2Fwoscc%2Ffull-record%2FWOS:000461174100003","View Full Record in Web of Science")</f>
        <v>View Full Record in Web of Science</v>
      </c>
    </row>
    <row r="371" spans="1:72" x14ac:dyDescent="0.15">
      <c r="A371" t="s">
        <v>72</v>
      </c>
      <c r="B371" t="s">
        <v>7479</v>
      </c>
      <c r="C371" t="s">
        <v>74</v>
      </c>
      <c r="D371" t="s">
        <v>74</v>
      </c>
      <c r="E371" t="s">
        <v>74</v>
      </c>
      <c r="F371" t="s">
        <v>7480</v>
      </c>
      <c r="G371" t="s">
        <v>74</v>
      </c>
      <c r="H371" t="s">
        <v>74</v>
      </c>
      <c r="I371" t="s">
        <v>7481</v>
      </c>
      <c r="J371" t="s">
        <v>2511</v>
      </c>
      <c r="K371" t="s">
        <v>74</v>
      </c>
      <c r="L371" t="s">
        <v>74</v>
      </c>
      <c r="M371" t="s">
        <v>78</v>
      </c>
      <c r="N371" t="s">
        <v>79</v>
      </c>
      <c r="O371" t="s">
        <v>74</v>
      </c>
      <c r="P371" t="s">
        <v>74</v>
      </c>
      <c r="Q371" t="s">
        <v>74</v>
      </c>
      <c r="R371" t="s">
        <v>74</v>
      </c>
      <c r="S371" t="s">
        <v>74</v>
      </c>
      <c r="T371" t="s">
        <v>74</v>
      </c>
      <c r="U371" t="s">
        <v>7482</v>
      </c>
      <c r="V371" t="s">
        <v>7483</v>
      </c>
      <c r="W371" t="s">
        <v>7484</v>
      </c>
      <c r="X371" t="s">
        <v>7485</v>
      </c>
      <c r="Y371" t="s">
        <v>7486</v>
      </c>
      <c r="Z371" t="s">
        <v>7487</v>
      </c>
      <c r="AA371" t="s">
        <v>7488</v>
      </c>
      <c r="AB371" t="s">
        <v>7489</v>
      </c>
      <c r="AC371" t="s">
        <v>7490</v>
      </c>
      <c r="AD371" t="s">
        <v>7490</v>
      </c>
      <c r="AE371" t="s">
        <v>7491</v>
      </c>
      <c r="AF371" t="s">
        <v>74</v>
      </c>
      <c r="AG371">
        <v>72</v>
      </c>
      <c r="AH371">
        <v>40</v>
      </c>
      <c r="AI371">
        <v>41</v>
      </c>
      <c r="AJ371">
        <v>4</v>
      </c>
      <c r="AK371">
        <v>21</v>
      </c>
      <c r="AL371" t="s">
        <v>2523</v>
      </c>
      <c r="AM371" t="s">
        <v>2524</v>
      </c>
      <c r="AN371" t="s">
        <v>2525</v>
      </c>
      <c r="AO371" t="s">
        <v>2526</v>
      </c>
      <c r="AP371" t="s">
        <v>74</v>
      </c>
      <c r="AQ371" t="s">
        <v>74</v>
      </c>
      <c r="AR371" t="s">
        <v>2511</v>
      </c>
      <c r="AS371" t="s">
        <v>2527</v>
      </c>
      <c r="AT371" t="s">
        <v>7492</v>
      </c>
      <c r="AU371">
        <v>2019</v>
      </c>
      <c r="AV371">
        <v>14</v>
      </c>
      <c r="AW371">
        <v>3</v>
      </c>
      <c r="AX371" t="s">
        <v>74</v>
      </c>
      <c r="AY371" t="s">
        <v>74</v>
      </c>
      <c r="AZ371" t="s">
        <v>74</v>
      </c>
      <c r="BA371" t="s">
        <v>74</v>
      </c>
      <c r="BB371" t="s">
        <v>74</v>
      </c>
      <c r="BC371" t="s">
        <v>74</v>
      </c>
      <c r="BD371" t="s">
        <v>7493</v>
      </c>
      <c r="BE371" t="s">
        <v>7494</v>
      </c>
      <c r="BF371" t="str">
        <f>HYPERLINK("http://dx.doi.org/10.1371/journal.pone.0213741","http://dx.doi.org/10.1371/journal.pone.0213741")</f>
        <v>http://dx.doi.org/10.1371/journal.pone.0213741</v>
      </c>
      <c r="BG371" t="s">
        <v>74</v>
      </c>
      <c r="BH371" t="s">
        <v>74</v>
      </c>
      <c r="BI371">
        <v>16</v>
      </c>
      <c r="BJ371" t="s">
        <v>460</v>
      </c>
      <c r="BK371" t="s">
        <v>102</v>
      </c>
      <c r="BL371" t="s">
        <v>461</v>
      </c>
      <c r="BM371" t="s">
        <v>7495</v>
      </c>
      <c r="BN371">
        <v>30861051</v>
      </c>
      <c r="BO371" t="s">
        <v>2343</v>
      </c>
      <c r="BP371" t="s">
        <v>74</v>
      </c>
      <c r="BQ371" t="s">
        <v>74</v>
      </c>
      <c r="BR371" t="s">
        <v>107</v>
      </c>
      <c r="BS371" t="s">
        <v>7496</v>
      </c>
      <c r="BT371" t="str">
        <f>HYPERLINK("https%3A%2F%2Fwww.webofscience.com%2Fwos%2Fwoscc%2Ffull-record%2FWOS:000461035600057","View Full Record in Web of Science")</f>
        <v>View Full Record in Web of Science</v>
      </c>
    </row>
    <row r="372" spans="1:72" x14ac:dyDescent="0.15">
      <c r="A372" t="s">
        <v>72</v>
      </c>
      <c r="B372" t="s">
        <v>7497</v>
      </c>
      <c r="C372" t="s">
        <v>74</v>
      </c>
      <c r="D372" t="s">
        <v>74</v>
      </c>
      <c r="E372" t="s">
        <v>74</v>
      </c>
      <c r="F372" t="s">
        <v>7498</v>
      </c>
      <c r="G372" t="s">
        <v>74</v>
      </c>
      <c r="H372" t="s">
        <v>74</v>
      </c>
      <c r="I372" t="s">
        <v>7499</v>
      </c>
      <c r="J372" t="s">
        <v>1339</v>
      </c>
      <c r="K372" t="s">
        <v>74</v>
      </c>
      <c r="L372" t="s">
        <v>74</v>
      </c>
      <c r="M372" t="s">
        <v>78</v>
      </c>
      <c r="N372" t="s">
        <v>79</v>
      </c>
      <c r="O372" t="s">
        <v>74</v>
      </c>
      <c r="P372" t="s">
        <v>74</v>
      </c>
      <c r="Q372" t="s">
        <v>74</v>
      </c>
      <c r="R372" t="s">
        <v>74</v>
      </c>
      <c r="S372" t="s">
        <v>74</v>
      </c>
      <c r="T372" t="s">
        <v>74</v>
      </c>
      <c r="U372" t="s">
        <v>7500</v>
      </c>
      <c r="V372" t="s">
        <v>7501</v>
      </c>
      <c r="W372" t="s">
        <v>7502</v>
      </c>
      <c r="X372" t="s">
        <v>7503</v>
      </c>
      <c r="Y372" t="s">
        <v>7504</v>
      </c>
      <c r="Z372" t="s">
        <v>7505</v>
      </c>
      <c r="AA372" t="s">
        <v>7506</v>
      </c>
      <c r="AB372" t="s">
        <v>7507</v>
      </c>
      <c r="AC372" t="s">
        <v>7508</v>
      </c>
      <c r="AD372" t="s">
        <v>7509</v>
      </c>
      <c r="AE372" t="s">
        <v>7510</v>
      </c>
      <c r="AF372" t="s">
        <v>74</v>
      </c>
      <c r="AG372">
        <v>90</v>
      </c>
      <c r="AH372">
        <v>10</v>
      </c>
      <c r="AI372">
        <v>10</v>
      </c>
      <c r="AJ372">
        <v>0</v>
      </c>
      <c r="AK372">
        <v>1</v>
      </c>
      <c r="AL372" t="s">
        <v>868</v>
      </c>
      <c r="AM372" t="s">
        <v>869</v>
      </c>
      <c r="AN372" t="s">
        <v>870</v>
      </c>
      <c r="AO372" t="s">
        <v>1348</v>
      </c>
      <c r="AP372" t="s">
        <v>1349</v>
      </c>
      <c r="AQ372" t="s">
        <v>74</v>
      </c>
      <c r="AR372" t="s">
        <v>1350</v>
      </c>
      <c r="AS372" t="s">
        <v>1351</v>
      </c>
      <c r="AT372" t="s">
        <v>7492</v>
      </c>
      <c r="AU372">
        <v>2019</v>
      </c>
      <c r="AV372">
        <v>12</v>
      </c>
      <c r="AW372">
        <v>3</v>
      </c>
      <c r="AX372" t="s">
        <v>74</v>
      </c>
      <c r="AY372" t="s">
        <v>74</v>
      </c>
      <c r="AZ372" t="s">
        <v>74</v>
      </c>
      <c r="BA372" t="s">
        <v>74</v>
      </c>
      <c r="BB372">
        <v>933</v>
      </c>
      <c r="BC372">
        <v>953</v>
      </c>
      <c r="BD372" t="s">
        <v>74</v>
      </c>
      <c r="BE372" t="s">
        <v>7511</v>
      </c>
      <c r="BF372" t="str">
        <f>HYPERLINK("http://dx.doi.org/10.5194/gmd-12-933-2019","http://dx.doi.org/10.5194/gmd-12-933-2019")</f>
        <v>http://dx.doi.org/10.5194/gmd-12-933-2019</v>
      </c>
      <c r="BG372" t="s">
        <v>74</v>
      </c>
      <c r="BH372" t="s">
        <v>74</v>
      </c>
      <c r="BI372">
        <v>21</v>
      </c>
      <c r="BJ372" t="s">
        <v>922</v>
      </c>
      <c r="BK372" t="s">
        <v>102</v>
      </c>
      <c r="BL372" t="s">
        <v>923</v>
      </c>
      <c r="BM372" t="s">
        <v>7512</v>
      </c>
      <c r="BN372" t="s">
        <v>74</v>
      </c>
      <c r="BO372" t="s">
        <v>3241</v>
      </c>
      <c r="BP372" t="s">
        <v>74</v>
      </c>
      <c r="BQ372" t="s">
        <v>74</v>
      </c>
      <c r="BR372" t="s">
        <v>107</v>
      </c>
      <c r="BS372" t="s">
        <v>7513</v>
      </c>
      <c r="BT372" t="str">
        <f>HYPERLINK("https%3A%2F%2Fwww.webofscience.com%2Fwos%2Fwoscc%2Ffull-record%2FWOS:000460949000001","View Full Record in Web of Science")</f>
        <v>View Full Record in Web of Science</v>
      </c>
    </row>
    <row r="373" spans="1:72" x14ac:dyDescent="0.15">
      <c r="A373" t="s">
        <v>72</v>
      </c>
      <c r="B373" t="s">
        <v>7514</v>
      </c>
      <c r="C373" t="s">
        <v>74</v>
      </c>
      <c r="D373" t="s">
        <v>74</v>
      </c>
      <c r="E373" t="s">
        <v>74</v>
      </c>
      <c r="F373" t="s">
        <v>7515</v>
      </c>
      <c r="G373" t="s">
        <v>74</v>
      </c>
      <c r="H373" t="s">
        <v>74</v>
      </c>
      <c r="I373" t="s">
        <v>7516</v>
      </c>
      <c r="J373" t="s">
        <v>2511</v>
      </c>
      <c r="K373" t="s">
        <v>74</v>
      </c>
      <c r="L373" t="s">
        <v>74</v>
      </c>
      <c r="M373" t="s">
        <v>78</v>
      </c>
      <c r="N373" t="s">
        <v>79</v>
      </c>
      <c r="O373" t="s">
        <v>74</v>
      </c>
      <c r="P373" t="s">
        <v>74</v>
      </c>
      <c r="Q373" t="s">
        <v>74</v>
      </c>
      <c r="R373" t="s">
        <v>74</v>
      </c>
      <c r="S373" t="s">
        <v>74</v>
      </c>
      <c r="T373" t="s">
        <v>74</v>
      </c>
      <c r="U373" t="s">
        <v>7517</v>
      </c>
      <c r="V373" t="s">
        <v>7518</v>
      </c>
      <c r="W373" t="s">
        <v>7519</v>
      </c>
      <c r="X373" t="s">
        <v>7520</v>
      </c>
      <c r="Y373" t="s">
        <v>7521</v>
      </c>
      <c r="Z373" t="s">
        <v>7522</v>
      </c>
      <c r="AA373" t="s">
        <v>74</v>
      </c>
      <c r="AB373" t="s">
        <v>74</v>
      </c>
      <c r="AC373" t="s">
        <v>7523</v>
      </c>
      <c r="AD373" t="s">
        <v>7524</v>
      </c>
      <c r="AE373" t="s">
        <v>7525</v>
      </c>
      <c r="AF373" t="s">
        <v>74</v>
      </c>
      <c r="AG373">
        <v>39</v>
      </c>
      <c r="AH373">
        <v>10</v>
      </c>
      <c r="AI373">
        <v>12</v>
      </c>
      <c r="AJ373">
        <v>0</v>
      </c>
      <c r="AK373">
        <v>10</v>
      </c>
      <c r="AL373" t="s">
        <v>2523</v>
      </c>
      <c r="AM373" t="s">
        <v>2524</v>
      </c>
      <c r="AN373" t="s">
        <v>2525</v>
      </c>
      <c r="AO373" t="s">
        <v>2526</v>
      </c>
      <c r="AP373" t="s">
        <v>74</v>
      </c>
      <c r="AQ373" t="s">
        <v>74</v>
      </c>
      <c r="AR373" t="s">
        <v>2511</v>
      </c>
      <c r="AS373" t="s">
        <v>2527</v>
      </c>
      <c r="AT373" t="s">
        <v>7526</v>
      </c>
      <c r="AU373">
        <v>2019</v>
      </c>
      <c r="AV373">
        <v>14</v>
      </c>
      <c r="AW373">
        <v>3</v>
      </c>
      <c r="AX373" t="s">
        <v>74</v>
      </c>
      <c r="AY373" t="s">
        <v>74</v>
      </c>
      <c r="AZ373" t="s">
        <v>74</v>
      </c>
      <c r="BA373" t="s">
        <v>74</v>
      </c>
      <c r="BB373" t="s">
        <v>74</v>
      </c>
      <c r="BC373" t="s">
        <v>74</v>
      </c>
      <c r="BD373" t="s">
        <v>7527</v>
      </c>
      <c r="BE373" t="s">
        <v>7528</v>
      </c>
      <c r="BF373" t="str">
        <f>HYPERLINK("http://dx.doi.org/10.1371/journal.pone.0213398","http://dx.doi.org/10.1371/journal.pone.0213398")</f>
        <v>http://dx.doi.org/10.1371/journal.pone.0213398</v>
      </c>
      <c r="BG373" t="s">
        <v>74</v>
      </c>
      <c r="BH373" t="s">
        <v>74</v>
      </c>
      <c r="BI373">
        <v>17</v>
      </c>
      <c r="BJ373" t="s">
        <v>460</v>
      </c>
      <c r="BK373" t="s">
        <v>102</v>
      </c>
      <c r="BL373" t="s">
        <v>461</v>
      </c>
      <c r="BM373" t="s">
        <v>7529</v>
      </c>
      <c r="BN373">
        <v>30856222</v>
      </c>
      <c r="BO373" t="s">
        <v>2020</v>
      </c>
      <c r="BP373" t="s">
        <v>74</v>
      </c>
      <c r="BQ373" t="s">
        <v>74</v>
      </c>
      <c r="BR373" t="s">
        <v>107</v>
      </c>
      <c r="BS373" t="s">
        <v>7530</v>
      </c>
      <c r="BT373" t="str">
        <f>HYPERLINK("https%3A%2F%2Fwww.webofscience.com%2Fwos%2Fwoscc%2Ffull-record%2FWOS:000461030300035","View Full Record in Web of Science")</f>
        <v>View Full Record in Web of Science</v>
      </c>
    </row>
    <row r="374" spans="1:72" x14ac:dyDescent="0.15">
      <c r="A374" t="s">
        <v>72</v>
      </c>
      <c r="B374" t="s">
        <v>7531</v>
      </c>
      <c r="C374" t="s">
        <v>74</v>
      </c>
      <c r="D374" t="s">
        <v>74</v>
      </c>
      <c r="E374" t="s">
        <v>74</v>
      </c>
      <c r="F374" t="s">
        <v>7532</v>
      </c>
      <c r="G374" t="s">
        <v>74</v>
      </c>
      <c r="H374" t="s">
        <v>74</v>
      </c>
      <c r="I374" t="s">
        <v>7533</v>
      </c>
      <c r="J374" t="s">
        <v>7534</v>
      </c>
      <c r="K374" t="s">
        <v>74</v>
      </c>
      <c r="L374" t="s">
        <v>74</v>
      </c>
      <c r="M374" t="s">
        <v>78</v>
      </c>
      <c r="N374" t="s">
        <v>6706</v>
      </c>
      <c r="O374" t="s">
        <v>74</v>
      </c>
      <c r="P374" t="s">
        <v>74</v>
      </c>
      <c r="Q374" t="s">
        <v>74</v>
      </c>
      <c r="R374" t="s">
        <v>74</v>
      </c>
      <c r="S374" t="s">
        <v>74</v>
      </c>
      <c r="T374" t="s">
        <v>7535</v>
      </c>
      <c r="U374" t="s">
        <v>74</v>
      </c>
      <c r="V374" t="s">
        <v>74</v>
      </c>
      <c r="W374" t="s">
        <v>7536</v>
      </c>
      <c r="X374" t="s">
        <v>7537</v>
      </c>
      <c r="Y374" t="s">
        <v>7538</v>
      </c>
      <c r="Z374" t="s">
        <v>7539</v>
      </c>
      <c r="AA374" t="s">
        <v>7540</v>
      </c>
      <c r="AB374" t="s">
        <v>7541</v>
      </c>
      <c r="AC374" t="s">
        <v>74</v>
      </c>
      <c r="AD374" t="s">
        <v>74</v>
      </c>
      <c r="AE374" t="s">
        <v>74</v>
      </c>
      <c r="AF374" t="s">
        <v>74</v>
      </c>
      <c r="AG374">
        <v>1</v>
      </c>
      <c r="AH374">
        <v>2</v>
      </c>
      <c r="AI374">
        <v>2</v>
      </c>
      <c r="AJ374">
        <v>2</v>
      </c>
      <c r="AK374">
        <v>8</v>
      </c>
      <c r="AL374" t="s">
        <v>1514</v>
      </c>
      <c r="AM374" t="s">
        <v>329</v>
      </c>
      <c r="AN374" t="s">
        <v>1515</v>
      </c>
      <c r="AO374" t="s">
        <v>7542</v>
      </c>
      <c r="AP374" t="s">
        <v>74</v>
      </c>
      <c r="AQ374" t="s">
        <v>74</v>
      </c>
      <c r="AR374" t="s">
        <v>7534</v>
      </c>
      <c r="AS374" t="s">
        <v>7543</v>
      </c>
      <c r="AT374" t="s">
        <v>7526</v>
      </c>
      <c r="AU374">
        <v>2019</v>
      </c>
      <c r="AV374">
        <v>7</v>
      </c>
      <c r="AW374" t="s">
        <v>74</v>
      </c>
      <c r="AX374" t="s">
        <v>74</v>
      </c>
      <c r="AY374" t="s">
        <v>74</v>
      </c>
      <c r="AZ374" t="s">
        <v>74</v>
      </c>
      <c r="BA374" t="s">
        <v>74</v>
      </c>
      <c r="BB374" t="s">
        <v>74</v>
      </c>
      <c r="BC374" t="s">
        <v>74</v>
      </c>
      <c r="BD374">
        <v>38</v>
      </c>
      <c r="BE374" t="s">
        <v>7544</v>
      </c>
      <c r="BF374" t="str">
        <f>HYPERLINK("http://dx.doi.org/10.1186/s40168-019-0655-0","http://dx.doi.org/10.1186/s40168-019-0655-0")</f>
        <v>http://dx.doi.org/10.1186/s40168-019-0655-0</v>
      </c>
      <c r="BG374" t="s">
        <v>74</v>
      </c>
      <c r="BH374" t="s">
        <v>74</v>
      </c>
      <c r="BI374">
        <v>1</v>
      </c>
      <c r="BJ374" t="s">
        <v>901</v>
      </c>
      <c r="BK374" t="s">
        <v>102</v>
      </c>
      <c r="BL374" t="s">
        <v>901</v>
      </c>
      <c r="BM374" t="s">
        <v>7545</v>
      </c>
      <c r="BN374">
        <v>30857548</v>
      </c>
      <c r="BO374" t="s">
        <v>851</v>
      </c>
      <c r="BP374" t="s">
        <v>74</v>
      </c>
      <c r="BQ374" t="s">
        <v>74</v>
      </c>
      <c r="BR374" t="s">
        <v>107</v>
      </c>
      <c r="BS374" t="s">
        <v>7546</v>
      </c>
      <c r="BT374" t="str">
        <f>HYPERLINK("https%3A%2F%2Fwww.webofscience.com%2Fwos%2Fwoscc%2Ffull-record%2FWOS:000461044700002","View Full Record in Web of Science")</f>
        <v>View Full Record in Web of Science</v>
      </c>
    </row>
    <row r="375" spans="1:72" x14ac:dyDescent="0.15">
      <c r="A375" t="s">
        <v>72</v>
      </c>
      <c r="B375" t="s">
        <v>7547</v>
      </c>
      <c r="C375" t="s">
        <v>74</v>
      </c>
      <c r="D375" t="s">
        <v>74</v>
      </c>
      <c r="E375" t="s">
        <v>74</v>
      </c>
      <c r="F375" t="s">
        <v>7548</v>
      </c>
      <c r="G375" t="s">
        <v>74</v>
      </c>
      <c r="H375" t="s">
        <v>74</v>
      </c>
      <c r="I375" t="s">
        <v>7549</v>
      </c>
      <c r="J375" t="s">
        <v>7550</v>
      </c>
      <c r="K375" t="s">
        <v>74</v>
      </c>
      <c r="L375" t="s">
        <v>74</v>
      </c>
      <c r="M375" t="s">
        <v>78</v>
      </c>
      <c r="N375" t="s">
        <v>79</v>
      </c>
      <c r="O375" t="s">
        <v>74</v>
      </c>
      <c r="P375" t="s">
        <v>74</v>
      </c>
      <c r="Q375" t="s">
        <v>74</v>
      </c>
      <c r="R375" t="s">
        <v>74</v>
      </c>
      <c r="S375" t="s">
        <v>74</v>
      </c>
      <c r="T375" t="s">
        <v>74</v>
      </c>
      <c r="U375" t="s">
        <v>7551</v>
      </c>
      <c r="V375" t="s">
        <v>74</v>
      </c>
      <c r="W375" t="s">
        <v>7552</v>
      </c>
      <c r="X375" t="s">
        <v>7553</v>
      </c>
      <c r="Y375" t="s">
        <v>7554</v>
      </c>
      <c r="Z375" t="s">
        <v>7555</v>
      </c>
      <c r="AA375" t="s">
        <v>74</v>
      </c>
      <c r="AB375" t="s">
        <v>74</v>
      </c>
      <c r="AC375" t="s">
        <v>7556</v>
      </c>
      <c r="AD375" t="s">
        <v>7557</v>
      </c>
      <c r="AE375" t="s">
        <v>7558</v>
      </c>
      <c r="AF375" t="s">
        <v>74</v>
      </c>
      <c r="AG375">
        <v>33</v>
      </c>
      <c r="AH375">
        <v>1</v>
      </c>
      <c r="AI375">
        <v>1</v>
      </c>
      <c r="AJ375">
        <v>0</v>
      </c>
      <c r="AK375">
        <v>1</v>
      </c>
      <c r="AL375" t="s">
        <v>5632</v>
      </c>
      <c r="AM375" t="s">
        <v>5633</v>
      </c>
      <c r="AN375" t="s">
        <v>5634</v>
      </c>
      <c r="AO375" t="s">
        <v>7559</v>
      </c>
      <c r="AP375" t="s">
        <v>74</v>
      </c>
      <c r="AQ375" t="s">
        <v>74</v>
      </c>
      <c r="AR375" t="s">
        <v>7560</v>
      </c>
      <c r="AS375" t="s">
        <v>7561</v>
      </c>
      <c r="AT375" t="s">
        <v>7562</v>
      </c>
      <c r="AU375">
        <v>2019</v>
      </c>
      <c r="AV375">
        <v>116</v>
      </c>
      <c r="AW375">
        <v>5</v>
      </c>
      <c r="AX375" t="s">
        <v>74</v>
      </c>
      <c r="AY375" t="s">
        <v>74</v>
      </c>
      <c r="AZ375" t="s">
        <v>74</v>
      </c>
      <c r="BA375" t="s">
        <v>74</v>
      </c>
      <c r="BB375">
        <v>711</v>
      </c>
      <c r="BC375">
        <v>713</v>
      </c>
      <c r="BD375" t="s">
        <v>74</v>
      </c>
      <c r="BE375" t="s">
        <v>74</v>
      </c>
      <c r="BF375" t="s">
        <v>74</v>
      </c>
      <c r="BG375" t="s">
        <v>74</v>
      </c>
      <c r="BH375" t="s">
        <v>74</v>
      </c>
      <c r="BI375">
        <v>4</v>
      </c>
      <c r="BJ375" t="s">
        <v>460</v>
      </c>
      <c r="BK375" t="s">
        <v>102</v>
      </c>
      <c r="BL375" t="s">
        <v>461</v>
      </c>
      <c r="BM375" t="s">
        <v>7563</v>
      </c>
      <c r="BN375" t="s">
        <v>74</v>
      </c>
      <c r="BO375" t="s">
        <v>74</v>
      </c>
      <c r="BP375" t="s">
        <v>74</v>
      </c>
      <c r="BQ375" t="s">
        <v>74</v>
      </c>
      <c r="BR375" t="s">
        <v>107</v>
      </c>
      <c r="BS375" t="s">
        <v>7564</v>
      </c>
      <c r="BT375" t="str">
        <f>HYPERLINK("https%3A%2F%2Fwww.webofscience.com%2Fwos%2Fwoscc%2Ffull-record%2FWOS:000461059900016","View Full Record in Web of Science")</f>
        <v>View Full Record in Web of Science</v>
      </c>
    </row>
    <row r="376" spans="1:72" x14ac:dyDescent="0.15">
      <c r="A376" t="s">
        <v>72</v>
      </c>
      <c r="B376" t="s">
        <v>7565</v>
      </c>
      <c r="C376" t="s">
        <v>74</v>
      </c>
      <c r="D376" t="s">
        <v>74</v>
      </c>
      <c r="E376" t="s">
        <v>74</v>
      </c>
      <c r="F376" t="s">
        <v>7566</v>
      </c>
      <c r="G376" t="s">
        <v>74</v>
      </c>
      <c r="H376" t="s">
        <v>74</v>
      </c>
      <c r="I376" t="s">
        <v>7567</v>
      </c>
      <c r="J376" t="s">
        <v>5999</v>
      </c>
      <c r="K376" t="s">
        <v>74</v>
      </c>
      <c r="L376" t="s">
        <v>74</v>
      </c>
      <c r="M376" t="s">
        <v>78</v>
      </c>
      <c r="N376" t="s">
        <v>79</v>
      </c>
      <c r="O376" t="s">
        <v>74</v>
      </c>
      <c r="P376" t="s">
        <v>74</v>
      </c>
      <c r="Q376" t="s">
        <v>74</v>
      </c>
      <c r="R376" t="s">
        <v>74</v>
      </c>
      <c r="S376" t="s">
        <v>74</v>
      </c>
      <c r="T376" t="s">
        <v>7568</v>
      </c>
      <c r="U376" t="s">
        <v>7569</v>
      </c>
      <c r="V376" t="s">
        <v>7570</v>
      </c>
      <c r="W376" t="s">
        <v>7571</v>
      </c>
      <c r="X376" t="s">
        <v>7572</v>
      </c>
      <c r="Y376" t="s">
        <v>7573</v>
      </c>
      <c r="Z376" t="s">
        <v>7574</v>
      </c>
      <c r="AA376" t="s">
        <v>7575</v>
      </c>
      <c r="AB376" t="s">
        <v>7576</v>
      </c>
      <c r="AC376" t="s">
        <v>7577</v>
      </c>
      <c r="AD376" t="s">
        <v>7578</v>
      </c>
      <c r="AE376" t="s">
        <v>7579</v>
      </c>
      <c r="AF376" t="s">
        <v>74</v>
      </c>
      <c r="AG376">
        <v>72</v>
      </c>
      <c r="AH376">
        <v>38</v>
      </c>
      <c r="AI376">
        <v>46</v>
      </c>
      <c r="AJ376">
        <v>2</v>
      </c>
      <c r="AK376">
        <v>79</v>
      </c>
      <c r="AL376" t="s">
        <v>634</v>
      </c>
      <c r="AM376" t="s">
        <v>635</v>
      </c>
      <c r="AN376" t="s">
        <v>636</v>
      </c>
      <c r="AO376" t="s">
        <v>6012</v>
      </c>
      <c r="AP376" t="s">
        <v>6013</v>
      </c>
      <c r="AQ376" t="s">
        <v>74</v>
      </c>
      <c r="AR376" t="s">
        <v>6014</v>
      </c>
      <c r="AS376" t="s">
        <v>6015</v>
      </c>
      <c r="AT376" t="s">
        <v>7562</v>
      </c>
      <c r="AU376">
        <v>2019</v>
      </c>
      <c r="AV376">
        <v>655</v>
      </c>
      <c r="AW376" t="s">
        <v>74</v>
      </c>
      <c r="AX376" t="s">
        <v>74</v>
      </c>
      <c r="AY376" t="s">
        <v>74</v>
      </c>
      <c r="AZ376" t="s">
        <v>74</v>
      </c>
      <c r="BA376" t="s">
        <v>74</v>
      </c>
      <c r="BB376">
        <v>924</v>
      </c>
      <c r="BC376">
        <v>938</v>
      </c>
      <c r="BD376" t="s">
        <v>74</v>
      </c>
      <c r="BE376" t="s">
        <v>7580</v>
      </c>
      <c r="BF376" t="str">
        <f>HYPERLINK("http://dx.doi.org/10.1016/j.scitotenv.2018.11.165","http://dx.doi.org/10.1016/j.scitotenv.2018.11.165")</f>
        <v>http://dx.doi.org/10.1016/j.scitotenv.2018.11.165</v>
      </c>
      <c r="BG376" t="s">
        <v>74</v>
      </c>
      <c r="BH376" t="s">
        <v>74</v>
      </c>
      <c r="BI376">
        <v>15</v>
      </c>
      <c r="BJ376" t="s">
        <v>2296</v>
      </c>
      <c r="BK376" t="s">
        <v>102</v>
      </c>
      <c r="BL376" t="s">
        <v>2297</v>
      </c>
      <c r="BM376" t="s">
        <v>7581</v>
      </c>
      <c r="BN376">
        <v>30577143</v>
      </c>
      <c r="BO376" t="s">
        <v>74</v>
      </c>
      <c r="BP376" t="s">
        <v>74</v>
      </c>
      <c r="BQ376" t="s">
        <v>74</v>
      </c>
      <c r="BR376" t="s">
        <v>107</v>
      </c>
      <c r="BS376" t="s">
        <v>7582</v>
      </c>
      <c r="BT376" t="str">
        <f>HYPERLINK("https%3A%2F%2Fwww.webofscience.com%2Fwos%2Fwoscc%2Ffull-record%2FWOS:000455034600093","View Full Record in Web of Science")</f>
        <v>View Full Record in Web of Science</v>
      </c>
    </row>
    <row r="377" spans="1:72" x14ac:dyDescent="0.15">
      <c r="A377" t="s">
        <v>72</v>
      </c>
      <c r="B377" t="s">
        <v>7583</v>
      </c>
      <c r="C377" t="s">
        <v>74</v>
      </c>
      <c r="D377" t="s">
        <v>74</v>
      </c>
      <c r="E377" t="s">
        <v>74</v>
      </c>
      <c r="F377" t="s">
        <v>7584</v>
      </c>
      <c r="G377" t="s">
        <v>74</v>
      </c>
      <c r="H377" t="s">
        <v>74</v>
      </c>
      <c r="I377" t="s">
        <v>7585</v>
      </c>
      <c r="J377" t="s">
        <v>1339</v>
      </c>
      <c r="K377" t="s">
        <v>74</v>
      </c>
      <c r="L377" t="s">
        <v>74</v>
      </c>
      <c r="M377" t="s">
        <v>78</v>
      </c>
      <c r="N377" t="s">
        <v>79</v>
      </c>
      <c r="O377" t="s">
        <v>74</v>
      </c>
      <c r="P377" t="s">
        <v>74</v>
      </c>
      <c r="Q377" t="s">
        <v>74</v>
      </c>
      <c r="R377" t="s">
        <v>74</v>
      </c>
      <c r="S377" t="s">
        <v>74</v>
      </c>
      <c r="T377" t="s">
        <v>74</v>
      </c>
      <c r="U377" t="s">
        <v>7586</v>
      </c>
      <c r="V377" t="s">
        <v>7587</v>
      </c>
      <c r="W377" t="s">
        <v>7588</v>
      </c>
      <c r="X377" t="s">
        <v>7589</v>
      </c>
      <c r="Y377" t="s">
        <v>7590</v>
      </c>
      <c r="Z377" t="s">
        <v>7591</v>
      </c>
      <c r="AA377" t="s">
        <v>7592</v>
      </c>
      <c r="AB377" t="s">
        <v>7593</v>
      </c>
      <c r="AC377" t="s">
        <v>7594</v>
      </c>
      <c r="AD377" t="s">
        <v>7595</v>
      </c>
      <c r="AE377" t="s">
        <v>7596</v>
      </c>
      <c r="AF377" t="s">
        <v>74</v>
      </c>
      <c r="AG377">
        <v>71</v>
      </c>
      <c r="AH377">
        <v>122</v>
      </c>
      <c r="AI377">
        <v>132</v>
      </c>
      <c r="AJ377">
        <v>19</v>
      </c>
      <c r="AK377">
        <v>66</v>
      </c>
      <c r="AL377" t="s">
        <v>868</v>
      </c>
      <c r="AM377" t="s">
        <v>869</v>
      </c>
      <c r="AN377" t="s">
        <v>870</v>
      </c>
      <c r="AO377" t="s">
        <v>1348</v>
      </c>
      <c r="AP377" t="s">
        <v>1349</v>
      </c>
      <c r="AQ377" t="s">
        <v>74</v>
      </c>
      <c r="AR377" t="s">
        <v>1350</v>
      </c>
      <c r="AS377" t="s">
        <v>1351</v>
      </c>
      <c r="AT377" t="s">
        <v>7597</v>
      </c>
      <c r="AU377">
        <v>2019</v>
      </c>
      <c r="AV377">
        <v>12</v>
      </c>
      <c r="AW377">
        <v>3</v>
      </c>
      <c r="AX377" t="s">
        <v>74</v>
      </c>
      <c r="AY377" t="s">
        <v>74</v>
      </c>
      <c r="AZ377" t="s">
        <v>74</v>
      </c>
      <c r="BA377" t="s">
        <v>74</v>
      </c>
      <c r="BB377">
        <v>909</v>
      </c>
      <c r="BC377">
        <v>931</v>
      </c>
      <c r="BD377" t="s">
        <v>74</v>
      </c>
      <c r="BE377" t="s">
        <v>7598</v>
      </c>
      <c r="BF377" t="str">
        <f>HYPERLINK("http://dx.doi.org/10.5194/gmd-12-909-2019","http://dx.doi.org/10.5194/gmd-12-909-2019")</f>
        <v>http://dx.doi.org/10.5194/gmd-12-909-2019</v>
      </c>
      <c r="BG377" t="s">
        <v>74</v>
      </c>
      <c r="BH377" t="s">
        <v>74</v>
      </c>
      <c r="BI377">
        <v>23</v>
      </c>
      <c r="BJ377" t="s">
        <v>922</v>
      </c>
      <c r="BK377" t="s">
        <v>102</v>
      </c>
      <c r="BL377" t="s">
        <v>923</v>
      </c>
      <c r="BM377" t="s">
        <v>7599</v>
      </c>
      <c r="BN377" t="s">
        <v>74</v>
      </c>
      <c r="BO377" t="s">
        <v>7600</v>
      </c>
      <c r="BP377" t="s">
        <v>74</v>
      </c>
      <c r="BQ377" t="s">
        <v>74</v>
      </c>
      <c r="BR377" t="s">
        <v>107</v>
      </c>
      <c r="BS377" t="s">
        <v>7601</v>
      </c>
      <c r="BT377" t="str">
        <f>HYPERLINK("https%3A%2F%2Fwww.webofscience.com%2Fwos%2Fwoscc%2Ffull-record%2FWOS:000460819400001","View Full Record in Web of Science")</f>
        <v>View Full Record in Web of Science</v>
      </c>
    </row>
    <row r="378" spans="1:72" x14ac:dyDescent="0.15">
      <c r="A378" t="s">
        <v>72</v>
      </c>
      <c r="B378" t="s">
        <v>7602</v>
      </c>
      <c r="C378" t="s">
        <v>74</v>
      </c>
      <c r="D378" t="s">
        <v>74</v>
      </c>
      <c r="E378" t="s">
        <v>74</v>
      </c>
      <c r="F378" t="s">
        <v>7603</v>
      </c>
      <c r="G378" t="s">
        <v>74</v>
      </c>
      <c r="H378" t="s">
        <v>74</v>
      </c>
      <c r="I378" t="s">
        <v>7604</v>
      </c>
      <c r="J378" t="s">
        <v>1300</v>
      </c>
      <c r="K378" t="s">
        <v>74</v>
      </c>
      <c r="L378" t="s">
        <v>74</v>
      </c>
      <c r="M378" t="s">
        <v>78</v>
      </c>
      <c r="N378" t="s">
        <v>79</v>
      </c>
      <c r="O378" t="s">
        <v>74</v>
      </c>
      <c r="P378" t="s">
        <v>74</v>
      </c>
      <c r="Q378" t="s">
        <v>74</v>
      </c>
      <c r="R378" t="s">
        <v>74</v>
      </c>
      <c r="S378" t="s">
        <v>74</v>
      </c>
      <c r="T378" t="s">
        <v>74</v>
      </c>
      <c r="U378" t="s">
        <v>7605</v>
      </c>
      <c r="V378" t="s">
        <v>7606</v>
      </c>
      <c r="W378" t="s">
        <v>7607</v>
      </c>
      <c r="X378" t="s">
        <v>7608</v>
      </c>
      <c r="Y378" t="s">
        <v>7609</v>
      </c>
      <c r="Z378" t="s">
        <v>7610</v>
      </c>
      <c r="AA378" t="s">
        <v>7611</v>
      </c>
      <c r="AB378" t="s">
        <v>7612</v>
      </c>
      <c r="AC378" t="s">
        <v>7613</v>
      </c>
      <c r="AD378" t="s">
        <v>7614</v>
      </c>
      <c r="AE378" t="s">
        <v>7615</v>
      </c>
      <c r="AF378" t="s">
        <v>74</v>
      </c>
      <c r="AG378">
        <v>84</v>
      </c>
      <c r="AH378">
        <v>50</v>
      </c>
      <c r="AI378">
        <v>60</v>
      </c>
      <c r="AJ378">
        <v>2</v>
      </c>
      <c r="AK378">
        <v>62</v>
      </c>
      <c r="AL378" t="s">
        <v>453</v>
      </c>
      <c r="AM378" t="s">
        <v>126</v>
      </c>
      <c r="AN378" t="s">
        <v>454</v>
      </c>
      <c r="AO378" t="s">
        <v>1302</v>
      </c>
      <c r="AP378" t="s">
        <v>1303</v>
      </c>
      <c r="AQ378" t="s">
        <v>74</v>
      </c>
      <c r="AR378" t="s">
        <v>1300</v>
      </c>
      <c r="AS378" t="s">
        <v>1304</v>
      </c>
      <c r="AT378" t="s">
        <v>7597</v>
      </c>
      <c r="AU378">
        <v>2019</v>
      </c>
      <c r="AV378">
        <v>363</v>
      </c>
      <c r="AW378">
        <v>6431</v>
      </c>
      <c r="AX378" t="s">
        <v>74</v>
      </c>
      <c r="AY378" t="s">
        <v>74</v>
      </c>
      <c r="AZ378" t="s">
        <v>74</v>
      </c>
      <c r="BA378" t="s">
        <v>74</v>
      </c>
      <c r="BB378">
        <v>1080</v>
      </c>
      <c r="BC378" t="s">
        <v>1394</v>
      </c>
      <c r="BD378" t="s">
        <v>74</v>
      </c>
      <c r="BE378" t="s">
        <v>7616</v>
      </c>
      <c r="BF378" t="str">
        <f>HYPERLINK("http://dx.doi.org/10.1126/science.aat7067","http://dx.doi.org/10.1126/science.aat7067")</f>
        <v>http://dx.doi.org/10.1126/science.aat7067</v>
      </c>
      <c r="BG378" t="s">
        <v>74</v>
      </c>
      <c r="BH378" t="s">
        <v>74</v>
      </c>
      <c r="BI378">
        <v>43</v>
      </c>
      <c r="BJ378" t="s">
        <v>460</v>
      </c>
      <c r="BK378" t="s">
        <v>102</v>
      </c>
      <c r="BL378" t="s">
        <v>461</v>
      </c>
      <c r="BM378" t="s">
        <v>7617</v>
      </c>
      <c r="BN378">
        <v>30846597</v>
      </c>
      <c r="BO378" t="s">
        <v>279</v>
      </c>
      <c r="BP378" t="s">
        <v>74</v>
      </c>
      <c r="BQ378" t="s">
        <v>74</v>
      </c>
      <c r="BR378" t="s">
        <v>107</v>
      </c>
      <c r="BS378" t="s">
        <v>7618</v>
      </c>
      <c r="BT378" t="str">
        <f>HYPERLINK("https%3A%2F%2Fwww.webofscience.com%2Fwos%2Fwoscc%2Ffull-record%2FWOS:000460750100043","View Full Record in Web of Science")</f>
        <v>View Full Record in Web of Science</v>
      </c>
    </row>
    <row r="379" spans="1:72" x14ac:dyDescent="0.15">
      <c r="A379" t="s">
        <v>72</v>
      </c>
      <c r="B379" t="s">
        <v>7619</v>
      </c>
      <c r="C379" t="s">
        <v>74</v>
      </c>
      <c r="D379" t="s">
        <v>74</v>
      </c>
      <c r="E379" t="s">
        <v>74</v>
      </c>
      <c r="F379" t="s">
        <v>7620</v>
      </c>
      <c r="G379" t="s">
        <v>74</v>
      </c>
      <c r="H379" t="s">
        <v>74</v>
      </c>
      <c r="I379" t="s">
        <v>7621</v>
      </c>
      <c r="J379" t="s">
        <v>1720</v>
      </c>
      <c r="K379" t="s">
        <v>74</v>
      </c>
      <c r="L379" t="s">
        <v>74</v>
      </c>
      <c r="M379" t="s">
        <v>78</v>
      </c>
      <c r="N379" t="s">
        <v>79</v>
      </c>
      <c r="O379" t="s">
        <v>74</v>
      </c>
      <c r="P379" t="s">
        <v>74</v>
      </c>
      <c r="Q379" t="s">
        <v>74</v>
      </c>
      <c r="R379" t="s">
        <v>74</v>
      </c>
      <c r="S379" t="s">
        <v>74</v>
      </c>
      <c r="T379" t="s">
        <v>74</v>
      </c>
      <c r="U379" t="s">
        <v>7622</v>
      </c>
      <c r="V379" t="s">
        <v>7623</v>
      </c>
      <c r="W379" t="s">
        <v>7624</v>
      </c>
      <c r="X379" t="s">
        <v>7625</v>
      </c>
      <c r="Y379" t="s">
        <v>7626</v>
      </c>
      <c r="Z379" t="s">
        <v>7627</v>
      </c>
      <c r="AA379" t="s">
        <v>7628</v>
      </c>
      <c r="AB379" t="s">
        <v>7629</v>
      </c>
      <c r="AC379" t="s">
        <v>7630</v>
      </c>
      <c r="AD379" t="s">
        <v>7631</v>
      </c>
      <c r="AE379" t="s">
        <v>7632</v>
      </c>
      <c r="AF379" t="s">
        <v>74</v>
      </c>
      <c r="AG379">
        <v>56</v>
      </c>
      <c r="AH379">
        <v>189</v>
      </c>
      <c r="AI379">
        <v>209</v>
      </c>
      <c r="AJ379">
        <v>17</v>
      </c>
      <c r="AK379">
        <v>109</v>
      </c>
      <c r="AL379" t="s">
        <v>328</v>
      </c>
      <c r="AM379" t="s">
        <v>329</v>
      </c>
      <c r="AN379" t="s">
        <v>330</v>
      </c>
      <c r="AO379" t="s">
        <v>1731</v>
      </c>
      <c r="AP379" t="s">
        <v>74</v>
      </c>
      <c r="AQ379" t="s">
        <v>74</v>
      </c>
      <c r="AR379" t="s">
        <v>1732</v>
      </c>
      <c r="AS379" t="s">
        <v>1733</v>
      </c>
      <c r="AT379" t="s">
        <v>7597</v>
      </c>
      <c r="AU379">
        <v>2019</v>
      </c>
      <c r="AV379">
        <v>9</v>
      </c>
      <c r="AW379" t="s">
        <v>74</v>
      </c>
      <c r="AX379" t="s">
        <v>74</v>
      </c>
      <c r="AY379" t="s">
        <v>74</v>
      </c>
      <c r="AZ379" t="s">
        <v>74</v>
      </c>
      <c r="BA379" t="s">
        <v>74</v>
      </c>
      <c r="BB379" t="s">
        <v>74</v>
      </c>
      <c r="BC379" t="s">
        <v>74</v>
      </c>
      <c r="BD379">
        <v>3977</v>
      </c>
      <c r="BE379" t="s">
        <v>7633</v>
      </c>
      <c r="BF379" t="str">
        <f>HYPERLINK("http://dx.doi.org/10.1038/s41598-019-40311-4","http://dx.doi.org/10.1038/s41598-019-40311-4")</f>
        <v>http://dx.doi.org/10.1038/s41598-019-40311-4</v>
      </c>
      <c r="BG379" t="s">
        <v>74</v>
      </c>
      <c r="BH379" t="s">
        <v>74</v>
      </c>
      <c r="BI379">
        <v>12</v>
      </c>
      <c r="BJ379" t="s">
        <v>460</v>
      </c>
      <c r="BK379" t="s">
        <v>102</v>
      </c>
      <c r="BL379" t="s">
        <v>461</v>
      </c>
      <c r="BM379" t="s">
        <v>7634</v>
      </c>
      <c r="BN379">
        <v>30850657</v>
      </c>
      <c r="BO379" t="s">
        <v>851</v>
      </c>
      <c r="BP379" t="s">
        <v>105</v>
      </c>
      <c r="BQ379" t="s">
        <v>106</v>
      </c>
      <c r="BR379" t="s">
        <v>107</v>
      </c>
      <c r="BS379" t="s">
        <v>7635</v>
      </c>
      <c r="BT379" t="str">
        <f>HYPERLINK("https%3A%2F%2Fwww.webofscience.com%2Fwos%2Fwoscc%2Ffull-record%2FWOS:000460627700065","View Full Record in Web of Science")</f>
        <v>View Full Record in Web of Science</v>
      </c>
    </row>
    <row r="380" spans="1:72" x14ac:dyDescent="0.15">
      <c r="A380" t="s">
        <v>72</v>
      </c>
      <c r="B380" t="s">
        <v>7636</v>
      </c>
      <c r="C380" t="s">
        <v>74</v>
      </c>
      <c r="D380" t="s">
        <v>74</v>
      </c>
      <c r="E380" t="s">
        <v>74</v>
      </c>
      <c r="F380" t="s">
        <v>7637</v>
      </c>
      <c r="G380" t="s">
        <v>74</v>
      </c>
      <c r="H380" t="s">
        <v>74</v>
      </c>
      <c r="I380" t="s">
        <v>7638</v>
      </c>
      <c r="J380" t="s">
        <v>1311</v>
      </c>
      <c r="K380" t="s">
        <v>74</v>
      </c>
      <c r="L380" t="s">
        <v>74</v>
      </c>
      <c r="M380" t="s">
        <v>78</v>
      </c>
      <c r="N380" t="s">
        <v>79</v>
      </c>
      <c r="O380" t="s">
        <v>74</v>
      </c>
      <c r="P380" t="s">
        <v>74</v>
      </c>
      <c r="Q380" t="s">
        <v>74</v>
      </c>
      <c r="R380" t="s">
        <v>74</v>
      </c>
      <c r="S380" t="s">
        <v>74</v>
      </c>
      <c r="T380" t="s">
        <v>7639</v>
      </c>
      <c r="U380" t="s">
        <v>7640</v>
      </c>
      <c r="V380" t="s">
        <v>7641</v>
      </c>
      <c r="W380" t="s">
        <v>7642</v>
      </c>
      <c r="X380" t="s">
        <v>7643</v>
      </c>
      <c r="Y380" t="s">
        <v>7644</v>
      </c>
      <c r="Z380" t="s">
        <v>7645</v>
      </c>
      <c r="AA380" t="s">
        <v>7646</v>
      </c>
      <c r="AB380" t="s">
        <v>7647</v>
      </c>
      <c r="AC380" t="s">
        <v>7648</v>
      </c>
      <c r="AD380" t="s">
        <v>7649</v>
      </c>
      <c r="AE380" t="s">
        <v>7650</v>
      </c>
      <c r="AF380" t="s">
        <v>74</v>
      </c>
      <c r="AG380">
        <v>72</v>
      </c>
      <c r="AH380">
        <v>45</v>
      </c>
      <c r="AI380">
        <v>48</v>
      </c>
      <c r="AJ380">
        <v>1</v>
      </c>
      <c r="AK380">
        <v>22</v>
      </c>
      <c r="AL380" t="s">
        <v>1323</v>
      </c>
      <c r="AM380" t="s">
        <v>1324</v>
      </c>
      <c r="AN380" t="s">
        <v>1325</v>
      </c>
      <c r="AO380" t="s">
        <v>1326</v>
      </c>
      <c r="AP380" t="s">
        <v>1327</v>
      </c>
      <c r="AQ380" t="s">
        <v>74</v>
      </c>
      <c r="AR380" t="s">
        <v>1328</v>
      </c>
      <c r="AS380" t="s">
        <v>1329</v>
      </c>
      <c r="AT380" t="s">
        <v>7651</v>
      </c>
      <c r="AU380">
        <v>2019</v>
      </c>
      <c r="AV380">
        <v>612</v>
      </c>
      <c r="AW380" t="s">
        <v>74</v>
      </c>
      <c r="AX380" t="s">
        <v>74</v>
      </c>
      <c r="AY380" t="s">
        <v>74</v>
      </c>
      <c r="AZ380" t="s">
        <v>74</v>
      </c>
      <c r="BA380" t="s">
        <v>74</v>
      </c>
      <c r="BB380">
        <v>167</v>
      </c>
      <c r="BC380">
        <v>192</v>
      </c>
      <c r="BD380" t="s">
        <v>74</v>
      </c>
      <c r="BE380" t="s">
        <v>7652</v>
      </c>
      <c r="BF380" t="str">
        <f>HYPERLINK("http://dx.doi.org/10.3354/meps12874","http://dx.doi.org/10.3354/meps12874")</f>
        <v>http://dx.doi.org/10.3354/meps12874</v>
      </c>
      <c r="BG380" t="s">
        <v>74</v>
      </c>
      <c r="BH380" t="s">
        <v>74</v>
      </c>
      <c r="BI380">
        <v>26</v>
      </c>
      <c r="BJ380" t="s">
        <v>1332</v>
      </c>
      <c r="BK380" t="s">
        <v>102</v>
      </c>
      <c r="BL380" t="s">
        <v>1333</v>
      </c>
      <c r="BM380" t="s">
        <v>7653</v>
      </c>
      <c r="BN380" t="s">
        <v>74</v>
      </c>
      <c r="BO380" t="s">
        <v>5108</v>
      </c>
      <c r="BP380" t="s">
        <v>74</v>
      </c>
      <c r="BQ380" t="s">
        <v>74</v>
      </c>
      <c r="BR380" t="s">
        <v>107</v>
      </c>
      <c r="BS380" t="s">
        <v>7654</v>
      </c>
      <c r="BT380" t="str">
        <f>HYPERLINK("https%3A%2F%2Fwww.webofscience.com%2Fwos%2Fwoscc%2Ffull-record%2FWOS:000464518900012","View Full Record in Web of Science")</f>
        <v>View Full Record in Web of Science</v>
      </c>
    </row>
    <row r="381" spans="1:72" x14ac:dyDescent="0.15">
      <c r="A381" t="s">
        <v>72</v>
      </c>
      <c r="B381" t="s">
        <v>7655</v>
      </c>
      <c r="C381" t="s">
        <v>74</v>
      </c>
      <c r="D381" t="s">
        <v>74</v>
      </c>
      <c r="E381" t="s">
        <v>74</v>
      </c>
      <c r="F381" t="s">
        <v>7656</v>
      </c>
      <c r="G381" t="s">
        <v>74</v>
      </c>
      <c r="H381" t="s">
        <v>74</v>
      </c>
      <c r="I381" t="s">
        <v>7657</v>
      </c>
      <c r="J381" t="s">
        <v>7658</v>
      </c>
      <c r="K381" t="s">
        <v>74</v>
      </c>
      <c r="L381" t="s">
        <v>74</v>
      </c>
      <c r="M381" t="s">
        <v>78</v>
      </c>
      <c r="N381" t="s">
        <v>79</v>
      </c>
      <c r="O381" t="s">
        <v>74</v>
      </c>
      <c r="P381" t="s">
        <v>74</v>
      </c>
      <c r="Q381" t="s">
        <v>74</v>
      </c>
      <c r="R381" t="s">
        <v>74</v>
      </c>
      <c r="S381" t="s">
        <v>74</v>
      </c>
      <c r="T381" t="s">
        <v>7659</v>
      </c>
      <c r="U381" t="s">
        <v>7660</v>
      </c>
      <c r="V381" t="s">
        <v>7661</v>
      </c>
      <c r="W381" t="s">
        <v>7662</v>
      </c>
      <c r="X381" t="s">
        <v>7663</v>
      </c>
      <c r="Y381" t="s">
        <v>7664</v>
      </c>
      <c r="Z381" t="s">
        <v>7665</v>
      </c>
      <c r="AA381" t="s">
        <v>7666</v>
      </c>
      <c r="AB381" t="s">
        <v>7667</v>
      </c>
      <c r="AC381" t="s">
        <v>7668</v>
      </c>
      <c r="AD381" t="s">
        <v>7669</v>
      </c>
      <c r="AE381" t="s">
        <v>7670</v>
      </c>
      <c r="AF381" t="s">
        <v>74</v>
      </c>
      <c r="AG381">
        <v>31</v>
      </c>
      <c r="AH381">
        <v>38</v>
      </c>
      <c r="AI381">
        <v>42</v>
      </c>
      <c r="AJ381">
        <v>3</v>
      </c>
      <c r="AK381">
        <v>35</v>
      </c>
      <c r="AL381" t="s">
        <v>821</v>
      </c>
      <c r="AM381" t="s">
        <v>822</v>
      </c>
      <c r="AN381" t="s">
        <v>823</v>
      </c>
      <c r="AO381" t="s">
        <v>7671</v>
      </c>
      <c r="AP381" t="s">
        <v>74</v>
      </c>
      <c r="AQ381" t="s">
        <v>74</v>
      </c>
      <c r="AR381" t="s">
        <v>7672</v>
      </c>
      <c r="AS381" t="s">
        <v>7673</v>
      </c>
      <c r="AT381" t="s">
        <v>7651</v>
      </c>
      <c r="AU381">
        <v>2019</v>
      </c>
      <c r="AV381">
        <v>7</v>
      </c>
      <c r="AW381" t="s">
        <v>74</v>
      </c>
      <c r="AX381" t="s">
        <v>74</v>
      </c>
      <c r="AY381" t="s">
        <v>74</v>
      </c>
      <c r="AZ381" t="s">
        <v>74</v>
      </c>
      <c r="BA381" t="s">
        <v>74</v>
      </c>
      <c r="BB381" t="s">
        <v>74</v>
      </c>
      <c r="BC381" t="s">
        <v>74</v>
      </c>
      <c r="BD381">
        <v>28</v>
      </c>
      <c r="BE381" t="s">
        <v>7674</v>
      </c>
      <c r="BF381" t="str">
        <f>HYPERLINK("http://dx.doi.org/10.3389/fbioe.2019.00028","http://dx.doi.org/10.3389/fbioe.2019.00028")</f>
        <v>http://dx.doi.org/10.3389/fbioe.2019.00028</v>
      </c>
      <c r="BG381" t="s">
        <v>74</v>
      </c>
      <c r="BH381" t="s">
        <v>74</v>
      </c>
      <c r="BI381">
        <v>12</v>
      </c>
      <c r="BJ381" t="s">
        <v>7675</v>
      </c>
      <c r="BK381" t="s">
        <v>102</v>
      </c>
      <c r="BL381" t="s">
        <v>7676</v>
      </c>
      <c r="BM381" t="s">
        <v>7677</v>
      </c>
      <c r="BN381">
        <v>30899757</v>
      </c>
      <c r="BO381" t="s">
        <v>851</v>
      </c>
      <c r="BP381" t="s">
        <v>74</v>
      </c>
      <c r="BQ381" t="s">
        <v>74</v>
      </c>
      <c r="BR381" t="s">
        <v>107</v>
      </c>
      <c r="BS381" t="s">
        <v>7678</v>
      </c>
      <c r="BT381" t="str">
        <f>HYPERLINK("https%3A%2F%2Fwww.webofscience.com%2Fwos%2Fwoscc%2Ffull-record%2FWOS:000461234900001","View Full Record in Web of Science")</f>
        <v>View Full Record in Web of Science</v>
      </c>
    </row>
    <row r="382" spans="1:72" x14ac:dyDescent="0.15">
      <c r="A382" t="s">
        <v>72</v>
      </c>
      <c r="B382" t="s">
        <v>7679</v>
      </c>
      <c r="C382" t="s">
        <v>74</v>
      </c>
      <c r="D382" t="s">
        <v>74</v>
      </c>
      <c r="E382" t="s">
        <v>74</v>
      </c>
      <c r="F382" t="s">
        <v>7680</v>
      </c>
      <c r="G382" t="s">
        <v>74</v>
      </c>
      <c r="H382" t="s">
        <v>74</v>
      </c>
      <c r="I382" t="s">
        <v>7681</v>
      </c>
      <c r="J382" t="s">
        <v>1311</v>
      </c>
      <c r="K382" t="s">
        <v>74</v>
      </c>
      <c r="L382" t="s">
        <v>74</v>
      </c>
      <c r="M382" t="s">
        <v>78</v>
      </c>
      <c r="N382" t="s">
        <v>79</v>
      </c>
      <c r="O382" t="s">
        <v>74</v>
      </c>
      <c r="P382" t="s">
        <v>74</v>
      </c>
      <c r="Q382" t="s">
        <v>74</v>
      </c>
      <c r="R382" t="s">
        <v>74</v>
      </c>
      <c r="S382" t="s">
        <v>74</v>
      </c>
      <c r="T382" t="s">
        <v>7682</v>
      </c>
      <c r="U382" t="s">
        <v>7683</v>
      </c>
      <c r="V382" t="s">
        <v>7684</v>
      </c>
      <c r="W382" t="s">
        <v>7685</v>
      </c>
      <c r="X382" t="s">
        <v>7686</v>
      </c>
      <c r="Y382" t="s">
        <v>7687</v>
      </c>
      <c r="Z382" t="s">
        <v>7688</v>
      </c>
      <c r="AA382" t="s">
        <v>74</v>
      </c>
      <c r="AB382" t="s">
        <v>74</v>
      </c>
      <c r="AC382" t="s">
        <v>7689</v>
      </c>
      <c r="AD382" t="s">
        <v>7690</v>
      </c>
      <c r="AE382" t="s">
        <v>7691</v>
      </c>
      <c r="AF382" t="s">
        <v>74</v>
      </c>
      <c r="AG382">
        <v>79</v>
      </c>
      <c r="AH382">
        <v>27</v>
      </c>
      <c r="AI382">
        <v>29</v>
      </c>
      <c r="AJ382">
        <v>5</v>
      </c>
      <c r="AK382">
        <v>36</v>
      </c>
      <c r="AL382" t="s">
        <v>1323</v>
      </c>
      <c r="AM382" t="s">
        <v>1324</v>
      </c>
      <c r="AN382" t="s">
        <v>1325</v>
      </c>
      <c r="AO382" t="s">
        <v>1326</v>
      </c>
      <c r="AP382" t="s">
        <v>1327</v>
      </c>
      <c r="AQ382" t="s">
        <v>74</v>
      </c>
      <c r="AR382" t="s">
        <v>1328</v>
      </c>
      <c r="AS382" t="s">
        <v>1329</v>
      </c>
      <c r="AT382" t="s">
        <v>7651</v>
      </c>
      <c r="AU382">
        <v>2019</v>
      </c>
      <c r="AV382">
        <v>612</v>
      </c>
      <c r="AW382" t="s">
        <v>74</v>
      </c>
      <c r="AX382" t="s">
        <v>74</v>
      </c>
      <c r="AY382" t="s">
        <v>74</v>
      </c>
      <c r="AZ382" t="s">
        <v>74</v>
      </c>
      <c r="BA382" t="s">
        <v>74</v>
      </c>
      <c r="BB382">
        <v>193</v>
      </c>
      <c r="BC382">
        <v>208</v>
      </c>
      <c r="BD382" t="s">
        <v>74</v>
      </c>
      <c r="BE382" t="s">
        <v>7692</v>
      </c>
      <c r="BF382" t="str">
        <f>HYPERLINK("http://dx.doi.org/10.3354/meps12877","http://dx.doi.org/10.3354/meps12877")</f>
        <v>http://dx.doi.org/10.3354/meps12877</v>
      </c>
      <c r="BG382" t="s">
        <v>74</v>
      </c>
      <c r="BH382" t="s">
        <v>74</v>
      </c>
      <c r="BI382">
        <v>16</v>
      </c>
      <c r="BJ382" t="s">
        <v>1332</v>
      </c>
      <c r="BK382" t="s">
        <v>102</v>
      </c>
      <c r="BL382" t="s">
        <v>1333</v>
      </c>
      <c r="BM382" t="s">
        <v>7653</v>
      </c>
      <c r="BN382" t="s">
        <v>74</v>
      </c>
      <c r="BO382" t="s">
        <v>74</v>
      </c>
      <c r="BP382" t="s">
        <v>74</v>
      </c>
      <c r="BQ382" t="s">
        <v>74</v>
      </c>
      <c r="BR382" t="s">
        <v>107</v>
      </c>
      <c r="BS382" t="s">
        <v>7693</v>
      </c>
      <c r="BT382" t="str">
        <f>HYPERLINK("https%3A%2F%2Fwww.webofscience.com%2Fwos%2Fwoscc%2Ffull-record%2FWOS:000464518900013","View Full Record in Web of Science")</f>
        <v>View Full Record in Web of Science</v>
      </c>
    </row>
    <row r="383" spans="1:72" x14ac:dyDescent="0.15">
      <c r="A383" t="s">
        <v>72</v>
      </c>
      <c r="B383" t="s">
        <v>7694</v>
      </c>
      <c r="C383" t="s">
        <v>74</v>
      </c>
      <c r="D383" t="s">
        <v>74</v>
      </c>
      <c r="E383" t="s">
        <v>74</v>
      </c>
      <c r="F383" t="s">
        <v>7695</v>
      </c>
      <c r="G383" t="s">
        <v>74</v>
      </c>
      <c r="H383" t="s">
        <v>74</v>
      </c>
      <c r="I383" t="s">
        <v>7696</v>
      </c>
      <c r="J383" t="s">
        <v>7697</v>
      </c>
      <c r="K383" t="s">
        <v>74</v>
      </c>
      <c r="L383" t="s">
        <v>74</v>
      </c>
      <c r="M383" t="s">
        <v>78</v>
      </c>
      <c r="N383" t="s">
        <v>469</v>
      </c>
      <c r="O383" t="s">
        <v>74</v>
      </c>
      <c r="P383" t="s">
        <v>74</v>
      </c>
      <c r="Q383" t="s">
        <v>74</v>
      </c>
      <c r="R383" t="s">
        <v>74</v>
      </c>
      <c r="S383" t="s">
        <v>74</v>
      </c>
      <c r="T383" t="s">
        <v>7698</v>
      </c>
      <c r="U383" t="s">
        <v>7699</v>
      </c>
      <c r="V383" t="s">
        <v>7700</v>
      </c>
      <c r="W383" t="s">
        <v>7701</v>
      </c>
      <c r="X383" t="s">
        <v>7702</v>
      </c>
      <c r="Y383" t="s">
        <v>7703</v>
      </c>
      <c r="Z383" t="s">
        <v>7704</v>
      </c>
      <c r="AA383" t="s">
        <v>7705</v>
      </c>
      <c r="AB383" t="s">
        <v>7706</v>
      </c>
      <c r="AC383" t="s">
        <v>7707</v>
      </c>
      <c r="AD383" t="s">
        <v>7708</v>
      </c>
      <c r="AE383" t="s">
        <v>7709</v>
      </c>
      <c r="AF383" t="s">
        <v>74</v>
      </c>
      <c r="AG383">
        <v>35</v>
      </c>
      <c r="AH383">
        <v>35</v>
      </c>
      <c r="AI383">
        <v>39</v>
      </c>
      <c r="AJ383">
        <v>2</v>
      </c>
      <c r="AK383">
        <v>49</v>
      </c>
      <c r="AL383" t="s">
        <v>1667</v>
      </c>
      <c r="AM383" t="s">
        <v>1668</v>
      </c>
      <c r="AN383" t="s">
        <v>4946</v>
      </c>
      <c r="AO383" t="s">
        <v>7710</v>
      </c>
      <c r="AP383" t="s">
        <v>7711</v>
      </c>
      <c r="AQ383" t="s">
        <v>74</v>
      </c>
      <c r="AR383" t="s">
        <v>7697</v>
      </c>
      <c r="AS383" t="s">
        <v>7712</v>
      </c>
      <c r="AT383" t="s">
        <v>7713</v>
      </c>
      <c r="AU383">
        <v>2019</v>
      </c>
      <c r="AV383">
        <v>395</v>
      </c>
      <c r="AW383">
        <v>1</v>
      </c>
      <c r="AX383" t="s">
        <v>74</v>
      </c>
      <c r="AY383" t="s">
        <v>74</v>
      </c>
      <c r="AZ383" t="s">
        <v>74</v>
      </c>
      <c r="BA383" t="s">
        <v>74</v>
      </c>
      <c r="BB383">
        <v>1</v>
      </c>
      <c r="BC383">
        <v>16</v>
      </c>
      <c r="BD383" t="s">
        <v>74</v>
      </c>
      <c r="BE383" t="s">
        <v>7714</v>
      </c>
      <c r="BF383" t="str">
        <f>HYPERLINK("http://dx.doi.org/10.11646/phytotaxa.395.1.1","http://dx.doi.org/10.11646/phytotaxa.395.1.1")</f>
        <v>http://dx.doi.org/10.11646/phytotaxa.395.1.1</v>
      </c>
      <c r="BG383" t="s">
        <v>74</v>
      </c>
      <c r="BH383" t="s">
        <v>74</v>
      </c>
      <c r="BI383">
        <v>16</v>
      </c>
      <c r="BJ383" t="s">
        <v>362</v>
      </c>
      <c r="BK383" t="s">
        <v>102</v>
      </c>
      <c r="BL383" t="s">
        <v>362</v>
      </c>
      <c r="BM383" t="s">
        <v>7715</v>
      </c>
      <c r="BN383" t="s">
        <v>74</v>
      </c>
      <c r="BO383" t="s">
        <v>74</v>
      </c>
      <c r="BP383" t="s">
        <v>74</v>
      </c>
      <c r="BQ383" t="s">
        <v>74</v>
      </c>
      <c r="BR383" t="s">
        <v>107</v>
      </c>
      <c r="BS383" t="s">
        <v>7716</v>
      </c>
      <c r="BT383" t="str">
        <f>HYPERLINK("https%3A%2F%2Fwww.webofscience.com%2Fwos%2Fwoscc%2Ffull-record%2FWOS:000460472200001","View Full Record in Web of Science")</f>
        <v>View Full Record in Web of Science</v>
      </c>
    </row>
    <row r="384" spans="1:72" x14ac:dyDescent="0.15">
      <c r="A384" t="s">
        <v>72</v>
      </c>
      <c r="B384" t="s">
        <v>7717</v>
      </c>
      <c r="C384" t="s">
        <v>74</v>
      </c>
      <c r="D384" t="s">
        <v>74</v>
      </c>
      <c r="E384" t="s">
        <v>74</v>
      </c>
      <c r="F384" t="s">
        <v>7718</v>
      </c>
      <c r="G384" t="s">
        <v>74</v>
      </c>
      <c r="H384" t="s">
        <v>74</v>
      </c>
      <c r="I384" t="s">
        <v>7719</v>
      </c>
      <c r="J384" t="s">
        <v>7720</v>
      </c>
      <c r="K384" t="s">
        <v>74</v>
      </c>
      <c r="L384" t="s">
        <v>74</v>
      </c>
      <c r="M384" t="s">
        <v>78</v>
      </c>
      <c r="N384" t="s">
        <v>79</v>
      </c>
      <c r="O384" t="s">
        <v>74</v>
      </c>
      <c r="P384" t="s">
        <v>74</v>
      </c>
      <c r="Q384" t="s">
        <v>74</v>
      </c>
      <c r="R384" t="s">
        <v>74</v>
      </c>
      <c r="S384" t="s">
        <v>74</v>
      </c>
      <c r="T384" t="s">
        <v>74</v>
      </c>
      <c r="U384" t="s">
        <v>7721</v>
      </c>
      <c r="V384" t="s">
        <v>7722</v>
      </c>
      <c r="W384" t="s">
        <v>7723</v>
      </c>
      <c r="X384" t="s">
        <v>7724</v>
      </c>
      <c r="Y384" t="s">
        <v>7725</v>
      </c>
      <c r="Z384" t="s">
        <v>7726</v>
      </c>
      <c r="AA384" t="s">
        <v>7727</v>
      </c>
      <c r="AB384" t="s">
        <v>7728</v>
      </c>
      <c r="AC384" t="s">
        <v>7729</v>
      </c>
      <c r="AD384" t="s">
        <v>7730</v>
      </c>
      <c r="AE384" t="s">
        <v>7731</v>
      </c>
      <c r="AF384" t="s">
        <v>74</v>
      </c>
      <c r="AG384">
        <v>59</v>
      </c>
      <c r="AH384">
        <v>6</v>
      </c>
      <c r="AI384">
        <v>7</v>
      </c>
      <c r="AJ384">
        <v>3</v>
      </c>
      <c r="AK384">
        <v>13</v>
      </c>
      <c r="AL384" t="s">
        <v>868</v>
      </c>
      <c r="AM384" t="s">
        <v>869</v>
      </c>
      <c r="AN384" t="s">
        <v>870</v>
      </c>
      <c r="AO384" t="s">
        <v>7732</v>
      </c>
      <c r="AP384" t="s">
        <v>7733</v>
      </c>
      <c r="AQ384" t="s">
        <v>74</v>
      </c>
      <c r="AR384" t="s">
        <v>7734</v>
      </c>
      <c r="AS384" t="s">
        <v>7735</v>
      </c>
      <c r="AT384" t="s">
        <v>7713</v>
      </c>
      <c r="AU384">
        <v>2019</v>
      </c>
      <c r="AV384">
        <v>37</v>
      </c>
      <c r="AW384">
        <v>2</v>
      </c>
      <c r="AX384" t="s">
        <v>74</v>
      </c>
      <c r="AY384" t="s">
        <v>74</v>
      </c>
      <c r="AZ384" t="s">
        <v>74</v>
      </c>
      <c r="BA384" t="s">
        <v>74</v>
      </c>
      <c r="BB384">
        <v>129</v>
      </c>
      <c r="BC384">
        <v>141</v>
      </c>
      <c r="BD384" t="s">
        <v>74</v>
      </c>
      <c r="BE384" t="s">
        <v>7736</v>
      </c>
      <c r="BF384" t="str">
        <f>HYPERLINK("http://dx.doi.org/10.5194/angeo-37-129-2019","http://dx.doi.org/10.5194/angeo-37-129-2019")</f>
        <v>http://dx.doi.org/10.5194/angeo-37-129-2019</v>
      </c>
      <c r="BG384" t="s">
        <v>74</v>
      </c>
      <c r="BH384" t="s">
        <v>74</v>
      </c>
      <c r="BI384">
        <v>13</v>
      </c>
      <c r="BJ384" t="s">
        <v>7737</v>
      </c>
      <c r="BK384" t="s">
        <v>102</v>
      </c>
      <c r="BL384" t="s">
        <v>7738</v>
      </c>
      <c r="BM384" t="s">
        <v>7739</v>
      </c>
      <c r="BN384" t="s">
        <v>74</v>
      </c>
      <c r="BO384" t="s">
        <v>2531</v>
      </c>
      <c r="BP384" t="s">
        <v>74</v>
      </c>
      <c r="BQ384" t="s">
        <v>74</v>
      </c>
      <c r="BR384" t="s">
        <v>107</v>
      </c>
      <c r="BS384" t="s">
        <v>7740</v>
      </c>
      <c r="BT384" t="str">
        <f>HYPERLINK("https%3A%2F%2Fwww.webofscience.com%2Fwos%2Fwoscc%2Ffull-record%2FWOS:000460444400001","View Full Record in Web of Science")</f>
        <v>View Full Record in Web of Science</v>
      </c>
    </row>
    <row r="385" spans="1:72" x14ac:dyDescent="0.15">
      <c r="A385" t="s">
        <v>72</v>
      </c>
      <c r="B385" t="s">
        <v>7741</v>
      </c>
      <c r="C385" t="s">
        <v>74</v>
      </c>
      <c r="D385" t="s">
        <v>74</v>
      </c>
      <c r="E385" t="s">
        <v>74</v>
      </c>
      <c r="F385" t="s">
        <v>7742</v>
      </c>
      <c r="G385" t="s">
        <v>74</v>
      </c>
      <c r="H385" t="s">
        <v>74</v>
      </c>
      <c r="I385" t="s">
        <v>7743</v>
      </c>
      <c r="J385" t="s">
        <v>7744</v>
      </c>
      <c r="K385" t="s">
        <v>74</v>
      </c>
      <c r="L385" t="s">
        <v>74</v>
      </c>
      <c r="M385" t="s">
        <v>78</v>
      </c>
      <c r="N385" t="s">
        <v>79</v>
      </c>
      <c r="O385" t="s">
        <v>74</v>
      </c>
      <c r="P385" t="s">
        <v>74</v>
      </c>
      <c r="Q385" t="s">
        <v>74</v>
      </c>
      <c r="R385" t="s">
        <v>74</v>
      </c>
      <c r="S385" t="s">
        <v>74</v>
      </c>
      <c r="T385" t="s">
        <v>7745</v>
      </c>
      <c r="U385" t="s">
        <v>7746</v>
      </c>
      <c r="V385" t="s">
        <v>7747</v>
      </c>
      <c r="W385" t="s">
        <v>7748</v>
      </c>
      <c r="X385" t="s">
        <v>7749</v>
      </c>
      <c r="Y385" t="s">
        <v>7750</v>
      </c>
      <c r="Z385" t="s">
        <v>7751</v>
      </c>
      <c r="AA385" t="s">
        <v>74</v>
      </c>
      <c r="AB385" t="s">
        <v>7752</v>
      </c>
      <c r="AC385" t="s">
        <v>74</v>
      </c>
      <c r="AD385" t="s">
        <v>74</v>
      </c>
      <c r="AE385" t="s">
        <v>74</v>
      </c>
      <c r="AF385" t="s">
        <v>74</v>
      </c>
      <c r="AG385">
        <v>82</v>
      </c>
      <c r="AH385">
        <v>7</v>
      </c>
      <c r="AI385">
        <v>8</v>
      </c>
      <c r="AJ385">
        <v>0</v>
      </c>
      <c r="AK385">
        <v>11</v>
      </c>
      <c r="AL385" t="s">
        <v>634</v>
      </c>
      <c r="AM385" t="s">
        <v>635</v>
      </c>
      <c r="AN385" t="s">
        <v>636</v>
      </c>
      <c r="AO385" t="s">
        <v>7753</v>
      </c>
      <c r="AP385" t="s">
        <v>7754</v>
      </c>
      <c r="AQ385" t="s">
        <v>74</v>
      </c>
      <c r="AR385" t="s">
        <v>7744</v>
      </c>
      <c r="AS385" t="s">
        <v>7755</v>
      </c>
      <c r="AT385" t="s">
        <v>7756</v>
      </c>
      <c r="AU385">
        <v>2019</v>
      </c>
      <c r="AV385">
        <v>754</v>
      </c>
      <c r="AW385" t="s">
        <v>74</v>
      </c>
      <c r="AX385" t="s">
        <v>74</v>
      </c>
      <c r="AY385" t="s">
        <v>74</v>
      </c>
      <c r="AZ385" t="s">
        <v>74</v>
      </c>
      <c r="BA385" t="s">
        <v>74</v>
      </c>
      <c r="BB385">
        <v>80</v>
      </c>
      <c r="BC385">
        <v>100</v>
      </c>
      <c r="BD385" t="s">
        <v>74</v>
      </c>
      <c r="BE385" t="s">
        <v>7757</v>
      </c>
      <c r="BF385" t="str">
        <f>HYPERLINK("http://dx.doi.org/10.1016/j.tecto.2019.01.015","http://dx.doi.org/10.1016/j.tecto.2019.01.015")</f>
        <v>http://dx.doi.org/10.1016/j.tecto.2019.01.015</v>
      </c>
      <c r="BG385" t="s">
        <v>74</v>
      </c>
      <c r="BH385" t="s">
        <v>74</v>
      </c>
      <c r="BI385">
        <v>21</v>
      </c>
      <c r="BJ385" t="s">
        <v>643</v>
      </c>
      <c r="BK385" t="s">
        <v>102</v>
      </c>
      <c r="BL385" t="s">
        <v>643</v>
      </c>
      <c r="BM385" t="s">
        <v>7758</v>
      </c>
      <c r="BN385" t="s">
        <v>74</v>
      </c>
      <c r="BO385" t="s">
        <v>74</v>
      </c>
      <c r="BP385" t="s">
        <v>74</v>
      </c>
      <c r="BQ385" t="s">
        <v>74</v>
      </c>
      <c r="BR385" t="s">
        <v>107</v>
      </c>
      <c r="BS385" t="s">
        <v>7759</v>
      </c>
      <c r="BT385" t="str">
        <f>HYPERLINK("https%3A%2F%2Fwww.webofscience.com%2Fwos%2Fwoscc%2Ffull-record%2FWOS:000461531300007","View Full Record in Web of Science")</f>
        <v>View Full Record in Web of Science</v>
      </c>
    </row>
    <row r="386" spans="1:72" x14ac:dyDescent="0.15">
      <c r="A386" t="s">
        <v>72</v>
      </c>
      <c r="B386" t="s">
        <v>7760</v>
      </c>
      <c r="C386" t="s">
        <v>74</v>
      </c>
      <c r="D386" t="s">
        <v>74</v>
      </c>
      <c r="E386" t="s">
        <v>74</v>
      </c>
      <c r="F386" t="s">
        <v>7761</v>
      </c>
      <c r="G386" t="s">
        <v>74</v>
      </c>
      <c r="H386" t="s">
        <v>74</v>
      </c>
      <c r="I386" t="s">
        <v>7762</v>
      </c>
      <c r="J386" t="s">
        <v>7763</v>
      </c>
      <c r="K386" t="s">
        <v>74</v>
      </c>
      <c r="L386" t="s">
        <v>74</v>
      </c>
      <c r="M386" t="s">
        <v>78</v>
      </c>
      <c r="N386" t="s">
        <v>79</v>
      </c>
      <c r="O386" t="s">
        <v>74</v>
      </c>
      <c r="P386" t="s">
        <v>74</v>
      </c>
      <c r="Q386" t="s">
        <v>74</v>
      </c>
      <c r="R386" t="s">
        <v>74</v>
      </c>
      <c r="S386" t="s">
        <v>74</v>
      </c>
      <c r="T386" t="s">
        <v>7764</v>
      </c>
      <c r="U386" t="s">
        <v>7765</v>
      </c>
      <c r="V386" t="s">
        <v>7766</v>
      </c>
      <c r="W386" t="s">
        <v>7767</v>
      </c>
      <c r="X386" t="s">
        <v>7768</v>
      </c>
      <c r="Y386" t="s">
        <v>7769</v>
      </c>
      <c r="Z386" t="s">
        <v>7770</v>
      </c>
      <c r="AA386" t="s">
        <v>7771</v>
      </c>
      <c r="AB386" t="s">
        <v>7772</v>
      </c>
      <c r="AC386" t="s">
        <v>7773</v>
      </c>
      <c r="AD386" t="s">
        <v>7774</v>
      </c>
      <c r="AE386" t="s">
        <v>7775</v>
      </c>
      <c r="AF386" t="s">
        <v>74</v>
      </c>
      <c r="AG386">
        <v>48</v>
      </c>
      <c r="AH386">
        <v>25</v>
      </c>
      <c r="AI386">
        <v>29</v>
      </c>
      <c r="AJ386">
        <v>0</v>
      </c>
      <c r="AK386">
        <v>18</v>
      </c>
      <c r="AL386" t="s">
        <v>7776</v>
      </c>
      <c r="AM386" t="s">
        <v>126</v>
      </c>
      <c r="AN386" t="s">
        <v>7777</v>
      </c>
      <c r="AO386" t="s">
        <v>7778</v>
      </c>
      <c r="AP386" t="s">
        <v>74</v>
      </c>
      <c r="AQ386" t="s">
        <v>74</v>
      </c>
      <c r="AR386" t="s">
        <v>7779</v>
      </c>
      <c r="AS386" t="s">
        <v>7780</v>
      </c>
      <c r="AT386" t="s">
        <v>7756</v>
      </c>
      <c r="AU386">
        <v>2019</v>
      </c>
      <c r="AV386">
        <v>116</v>
      </c>
      <c r="AW386">
        <v>10</v>
      </c>
      <c r="AX386" t="s">
        <v>74</v>
      </c>
      <c r="AY386" t="s">
        <v>74</v>
      </c>
      <c r="AZ386" t="s">
        <v>74</v>
      </c>
      <c r="BA386" t="s">
        <v>74</v>
      </c>
      <c r="BB386">
        <v>4099</v>
      </c>
      <c r="BC386">
        <v>4104</v>
      </c>
      <c r="BD386" t="s">
        <v>74</v>
      </c>
      <c r="BE386" t="s">
        <v>7781</v>
      </c>
      <c r="BF386" t="str">
        <f>HYPERLINK("http://dx.doi.org/10.1073/pnas.1807261116","http://dx.doi.org/10.1073/pnas.1807261116")</f>
        <v>http://dx.doi.org/10.1073/pnas.1807261116</v>
      </c>
      <c r="BG386" t="s">
        <v>74</v>
      </c>
      <c r="BH386" t="s">
        <v>74</v>
      </c>
      <c r="BI386">
        <v>6</v>
      </c>
      <c r="BJ386" t="s">
        <v>460</v>
      </c>
      <c r="BK386" t="s">
        <v>102</v>
      </c>
      <c r="BL386" t="s">
        <v>461</v>
      </c>
      <c r="BM386" t="s">
        <v>7782</v>
      </c>
      <c r="BN386">
        <v>30760586</v>
      </c>
      <c r="BO386" t="s">
        <v>7783</v>
      </c>
      <c r="BP386" t="s">
        <v>74</v>
      </c>
      <c r="BQ386" t="s">
        <v>74</v>
      </c>
      <c r="BR386" t="s">
        <v>107</v>
      </c>
      <c r="BS386" t="s">
        <v>7784</v>
      </c>
      <c r="BT386" t="str">
        <f>HYPERLINK("https%3A%2F%2Fwww.webofscience.com%2Fwos%2Fwoscc%2Ffull-record%2FWOS:000460242100031","View Full Record in Web of Science")</f>
        <v>View Full Record in Web of Science</v>
      </c>
    </row>
    <row r="387" spans="1:72" x14ac:dyDescent="0.15">
      <c r="A387" t="s">
        <v>72</v>
      </c>
      <c r="B387" t="s">
        <v>7785</v>
      </c>
      <c r="C387" t="s">
        <v>74</v>
      </c>
      <c r="D387" t="s">
        <v>74</v>
      </c>
      <c r="E387" t="s">
        <v>74</v>
      </c>
      <c r="F387" t="s">
        <v>7786</v>
      </c>
      <c r="G387" t="s">
        <v>74</v>
      </c>
      <c r="H387" t="s">
        <v>74</v>
      </c>
      <c r="I387" t="s">
        <v>7787</v>
      </c>
      <c r="J387" t="s">
        <v>7763</v>
      </c>
      <c r="K387" t="s">
        <v>74</v>
      </c>
      <c r="L387" t="s">
        <v>74</v>
      </c>
      <c r="M387" t="s">
        <v>78</v>
      </c>
      <c r="N387" t="s">
        <v>79</v>
      </c>
      <c r="O387" t="s">
        <v>74</v>
      </c>
      <c r="P387" t="s">
        <v>74</v>
      </c>
      <c r="Q387" t="s">
        <v>74</v>
      </c>
      <c r="R387" t="s">
        <v>74</v>
      </c>
      <c r="S387" t="s">
        <v>74</v>
      </c>
      <c r="T387" t="s">
        <v>7788</v>
      </c>
      <c r="U387" t="s">
        <v>7789</v>
      </c>
      <c r="V387" t="s">
        <v>7790</v>
      </c>
      <c r="W387" t="s">
        <v>7791</v>
      </c>
      <c r="X387" t="s">
        <v>7792</v>
      </c>
      <c r="Y387" t="s">
        <v>7793</v>
      </c>
      <c r="Z387" t="s">
        <v>7794</v>
      </c>
      <c r="AA387" t="s">
        <v>7795</v>
      </c>
      <c r="AB387" t="s">
        <v>7796</v>
      </c>
      <c r="AC387" t="s">
        <v>7797</v>
      </c>
      <c r="AD387" t="s">
        <v>7798</v>
      </c>
      <c r="AE387" t="s">
        <v>7799</v>
      </c>
      <c r="AF387" t="s">
        <v>74</v>
      </c>
      <c r="AG387">
        <v>48</v>
      </c>
      <c r="AH387">
        <v>80</v>
      </c>
      <c r="AI387">
        <v>91</v>
      </c>
      <c r="AJ387">
        <v>5</v>
      </c>
      <c r="AK387">
        <v>43</v>
      </c>
      <c r="AL387" t="s">
        <v>7776</v>
      </c>
      <c r="AM387" t="s">
        <v>126</v>
      </c>
      <c r="AN387" t="s">
        <v>7777</v>
      </c>
      <c r="AO387" t="s">
        <v>7778</v>
      </c>
      <c r="AP387" t="s">
        <v>74</v>
      </c>
      <c r="AQ387" t="s">
        <v>74</v>
      </c>
      <c r="AR387" t="s">
        <v>7779</v>
      </c>
      <c r="AS387" t="s">
        <v>7780</v>
      </c>
      <c r="AT387" t="s">
        <v>7756</v>
      </c>
      <c r="AU387">
        <v>2019</v>
      </c>
      <c r="AV387">
        <v>116</v>
      </c>
      <c r="AW387">
        <v>10</v>
      </c>
      <c r="AX387" t="s">
        <v>74</v>
      </c>
      <c r="AY387" t="s">
        <v>74</v>
      </c>
      <c r="AZ387" t="s">
        <v>74</v>
      </c>
      <c r="BA387" t="s">
        <v>74</v>
      </c>
      <c r="BB387">
        <v>4388</v>
      </c>
      <c r="BC387">
        <v>4393</v>
      </c>
      <c r="BD387" t="s">
        <v>74</v>
      </c>
      <c r="BE387" t="s">
        <v>7800</v>
      </c>
      <c r="BF387" t="str">
        <f>HYPERLINK("http://dx.doi.org/10.1073/pnas.1810886116","http://dx.doi.org/10.1073/pnas.1810886116")</f>
        <v>http://dx.doi.org/10.1073/pnas.1810886116</v>
      </c>
      <c r="BG387" t="s">
        <v>74</v>
      </c>
      <c r="BH387" t="s">
        <v>74</v>
      </c>
      <c r="BI387">
        <v>6</v>
      </c>
      <c r="BJ387" t="s">
        <v>460</v>
      </c>
      <c r="BK387" t="s">
        <v>102</v>
      </c>
      <c r="BL387" t="s">
        <v>461</v>
      </c>
      <c r="BM387" t="s">
        <v>7782</v>
      </c>
      <c r="BN387">
        <v>30787187</v>
      </c>
      <c r="BO387" t="s">
        <v>2325</v>
      </c>
      <c r="BP387" t="s">
        <v>74</v>
      </c>
      <c r="BQ387" t="s">
        <v>74</v>
      </c>
      <c r="BR387" t="s">
        <v>107</v>
      </c>
      <c r="BS387" t="s">
        <v>7801</v>
      </c>
      <c r="BT387" t="str">
        <f>HYPERLINK("https%3A%2F%2Fwww.webofscience.com%2Fwos%2Fwoscc%2Ffull-record%2FWOS:000460242100069","View Full Record in Web of Science")</f>
        <v>View Full Record in Web of Science</v>
      </c>
    </row>
    <row r="388" spans="1:72" x14ac:dyDescent="0.15">
      <c r="A388" t="s">
        <v>72</v>
      </c>
      <c r="B388" t="s">
        <v>7802</v>
      </c>
      <c r="C388" t="s">
        <v>74</v>
      </c>
      <c r="D388" t="s">
        <v>74</v>
      </c>
      <c r="E388" t="s">
        <v>74</v>
      </c>
      <c r="F388" t="s">
        <v>7803</v>
      </c>
      <c r="G388" t="s">
        <v>74</v>
      </c>
      <c r="H388" t="s">
        <v>74</v>
      </c>
      <c r="I388" t="s">
        <v>7804</v>
      </c>
      <c r="J388" t="s">
        <v>7805</v>
      </c>
      <c r="K388" t="s">
        <v>74</v>
      </c>
      <c r="L388" t="s">
        <v>74</v>
      </c>
      <c r="M388" t="s">
        <v>78</v>
      </c>
      <c r="N388" t="s">
        <v>79</v>
      </c>
      <c r="O388" t="s">
        <v>74</v>
      </c>
      <c r="P388" t="s">
        <v>74</v>
      </c>
      <c r="Q388" t="s">
        <v>74</v>
      </c>
      <c r="R388" t="s">
        <v>74</v>
      </c>
      <c r="S388" t="s">
        <v>74</v>
      </c>
      <c r="T388" t="s">
        <v>7806</v>
      </c>
      <c r="U388" t="s">
        <v>7807</v>
      </c>
      <c r="V388" t="s">
        <v>7808</v>
      </c>
      <c r="W388" t="s">
        <v>7809</v>
      </c>
      <c r="X388" t="s">
        <v>7810</v>
      </c>
      <c r="Y388" t="s">
        <v>7811</v>
      </c>
      <c r="Z388" t="s">
        <v>7812</v>
      </c>
      <c r="AA388" t="s">
        <v>7813</v>
      </c>
      <c r="AB388" t="s">
        <v>7814</v>
      </c>
      <c r="AC388" t="s">
        <v>7815</v>
      </c>
      <c r="AD388" t="s">
        <v>7816</v>
      </c>
      <c r="AE388" t="s">
        <v>7817</v>
      </c>
      <c r="AF388" t="s">
        <v>74</v>
      </c>
      <c r="AG388">
        <v>101</v>
      </c>
      <c r="AH388">
        <v>23</v>
      </c>
      <c r="AI388">
        <v>23</v>
      </c>
      <c r="AJ388">
        <v>3</v>
      </c>
      <c r="AK388">
        <v>23</v>
      </c>
      <c r="AL388" t="s">
        <v>7818</v>
      </c>
      <c r="AM388" t="s">
        <v>329</v>
      </c>
      <c r="AN388" t="s">
        <v>7819</v>
      </c>
      <c r="AO388" t="s">
        <v>7820</v>
      </c>
      <c r="AP388" t="s">
        <v>7821</v>
      </c>
      <c r="AQ388" t="s">
        <v>74</v>
      </c>
      <c r="AR388" t="s">
        <v>7822</v>
      </c>
      <c r="AS388" t="s">
        <v>7823</v>
      </c>
      <c r="AT388" t="s">
        <v>7756</v>
      </c>
      <c r="AU388">
        <v>2019</v>
      </c>
      <c r="AV388">
        <v>218</v>
      </c>
      <c r="AW388" t="s">
        <v>74</v>
      </c>
      <c r="AX388" t="s">
        <v>74</v>
      </c>
      <c r="AY388" t="s">
        <v>74</v>
      </c>
      <c r="AZ388" t="s">
        <v>74</v>
      </c>
      <c r="BA388" t="s">
        <v>74</v>
      </c>
      <c r="BB388">
        <v>258</v>
      </c>
      <c r="BC388">
        <v>267</v>
      </c>
      <c r="BD388" t="s">
        <v>74</v>
      </c>
      <c r="BE388" t="s">
        <v>7824</v>
      </c>
      <c r="BF388" t="str">
        <f>HYPERLINK("http://dx.doi.org/10.1016/j.ecss.2018.12.020","http://dx.doi.org/10.1016/j.ecss.2018.12.020")</f>
        <v>http://dx.doi.org/10.1016/j.ecss.2018.12.020</v>
      </c>
      <c r="BG388" t="s">
        <v>74</v>
      </c>
      <c r="BH388" t="s">
        <v>74</v>
      </c>
      <c r="BI388">
        <v>10</v>
      </c>
      <c r="BJ388" t="s">
        <v>250</v>
      </c>
      <c r="BK388" t="s">
        <v>102</v>
      </c>
      <c r="BL388" t="s">
        <v>250</v>
      </c>
      <c r="BM388" t="s">
        <v>7825</v>
      </c>
      <c r="BN388" t="s">
        <v>74</v>
      </c>
      <c r="BO388" t="s">
        <v>74</v>
      </c>
      <c r="BP388" t="s">
        <v>74</v>
      </c>
      <c r="BQ388" t="s">
        <v>74</v>
      </c>
      <c r="BR388" t="s">
        <v>107</v>
      </c>
      <c r="BS388" t="s">
        <v>7826</v>
      </c>
      <c r="BT388" t="str">
        <f>HYPERLINK("https%3A%2F%2Fwww.webofscience.com%2Fwos%2Fwoscc%2Ffull-record%2FWOS:000459519700025","View Full Record in Web of Science")</f>
        <v>View Full Record in Web of Science</v>
      </c>
    </row>
    <row r="389" spans="1:72" x14ac:dyDescent="0.15">
      <c r="A389" t="s">
        <v>72</v>
      </c>
      <c r="B389" t="s">
        <v>7827</v>
      </c>
      <c r="C389" t="s">
        <v>74</v>
      </c>
      <c r="D389" t="s">
        <v>74</v>
      </c>
      <c r="E389" t="s">
        <v>74</v>
      </c>
      <c r="F389" t="s">
        <v>7828</v>
      </c>
      <c r="G389" t="s">
        <v>74</v>
      </c>
      <c r="H389" t="s">
        <v>74</v>
      </c>
      <c r="I389" t="s">
        <v>7829</v>
      </c>
      <c r="J389" t="s">
        <v>7830</v>
      </c>
      <c r="K389" t="s">
        <v>74</v>
      </c>
      <c r="L389" t="s">
        <v>74</v>
      </c>
      <c r="M389" t="s">
        <v>78</v>
      </c>
      <c r="N389" t="s">
        <v>79</v>
      </c>
      <c r="O389" t="s">
        <v>74</v>
      </c>
      <c r="P389" t="s">
        <v>74</v>
      </c>
      <c r="Q389" t="s">
        <v>74</v>
      </c>
      <c r="R389" t="s">
        <v>74</v>
      </c>
      <c r="S389" t="s">
        <v>74</v>
      </c>
      <c r="T389" t="s">
        <v>7831</v>
      </c>
      <c r="U389" t="s">
        <v>7832</v>
      </c>
      <c r="V389" t="s">
        <v>7833</v>
      </c>
      <c r="W389" t="s">
        <v>7834</v>
      </c>
      <c r="X389" t="s">
        <v>7835</v>
      </c>
      <c r="Y389" t="s">
        <v>7836</v>
      </c>
      <c r="Z389" t="s">
        <v>7837</v>
      </c>
      <c r="AA389" t="s">
        <v>7838</v>
      </c>
      <c r="AB389" t="s">
        <v>7839</v>
      </c>
      <c r="AC389" t="s">
        <v>7840</v>
      </c>
      <c r="AD389" t="s">
        <v>7840</v>
      </c>
      <c r="AE389" t="s">
        <v>7841</v>
      </c>
      <c r="AF389" t="s">
        <v>74</v>
      </c>
      <c r="AG389">
        <v>70</v>
      </c>
      <c r="AH389">
        <v>5</v>
      </c>
      <c r="AI389">
        <v>5</v>
      </c>
      <c r="AJ389">
        <v>0</v>
      </c>
      <c r="AK389">
        <v>12</v>
      </c>
      <c r="AL389" t="s">
        <v>2288</v>
      </c>
      <c r="AM389" t="s">
        <v>2289</v>
      </c>
      <c r="AN389" t="s">
        <v>2290</v>
      </c>
      <c r="AO389" t="s">
        <v>7842</v>
      </c>
      <c r="AP389" t="s">
        <v>7843</v>
      </c>
      <c r="AQ389" t="s">
        <v>74</v>
      </c>
      <c r="AR389" t="s">
        <v>7844</v>
      </c>
      <c r="AS389" t="s">
        <v>7845</v>
      </c>
      <c r="AT389" t="s">
        <v>7846</v>
      </c>
      <c r="AU389">
        <v>2019</v>
      </c>
      <c r="AV389">
        <v>32</v>
      </c>
      <c r="AW389">
        <v>3</v>
      </c>
      <c r="AX389" t="s">
        <v>74</v>
      </c>
      <c r="AY389" t="s">
        <v>74</v>
      </c>
      <c r="AZ389" t="s">
        <v>74</v>
      </c>
      <c r="BA389" t="s">
        <v>74</v>
      </c>
      <c r="BB389">
        <v>255</v>
      </c>
      <c r="BC389">
        <v>274</v>
      </c>
      <c r="BD389" t="s">
        <v>74</v>
      </c>
      <c r="BE389" t="s">
        <v>7847</v>
      </c>
      <c r="BF389" t="str">
        <f>HYPERLINK("http://dx.doi.org/10.1080/08941920.2018.1517914","http://dx.doi.org/10.1080/08941920.2018.1517914")</f>
        <v>http://dx.doi.org/10.1080/08941920.2018.1517914</v>
      </c>
      <c r="BG389" t="s">
        <v>74</v>
      </c>
      <c r="BH389" t="s">
        <v>74</v>
      </c>
      <c r="BI389">
        <v>20</v>
      </c>
      <c r="BJ389" t="s">
        <v>7848</v>
      </c>
      <c r="BK389" t="s">
        <v>314</v>
      </c>
      <c r="BL389" t="s">
        <v>7849</v>
      </c>
      <c r="BM389" t="s">
        <v>7850</v>
      </c>
      <c r="BN389" t="s">
        <v>74</v>
      </c>
      <c r="BO389" t="s">
        <v>74</v>
      </c>
      <c r="BP389" t="s">
        <v>74</v>
      </c>
      <c r="BQ389" t="s">
        <v>74</v>
      </c>
      <c r="BR389" t="s">
        <v>107</v>
      </c>
      <c r="BS389" t="s">
        <v>7851</v>
      </c>
      <c r="BT389" t="str">
        <f>HYPERLINK("https%3A%2F%2Fwww.webofscience.com%2Fwos%2Fwoscc%2Ffull-record%2FWOS:000461494200002","View Full Record in Web of Science")</f>
        <v>View Full Record in Web of Science</v>
      </c>
    </row>
    <row r="390" spans="1:72" x14ac:dyDescent="0.15">
      <c r="A390" t="s">
        <v>72</v>
      </c>
      <c r="B390" t="s">
        <v>7852</v>
      </c>
      <c r="C390" t="s">
        <v>74</v>
      </c>
      <c r="D390" t="s">
        <v>74</v>
      </c>
      <c r="E390" t="s">
        <v>74</v>
      </c>
      <c r="F390" t="s">
        <v>7853</v>
      </c>
      <c r="G390" t="s">
        <v>74</v>
      </c>
      <c r="H390" t="s">
        <v>74</v>
      </c>
      <c r="I390" t="s">
        <v>7854</v>
      </c>
      <c r="J390" t="s">
        <v>7855</v>
      </c>
      <c r="K390" t="s">
        <v>74</v>
      </c>
      <c r="L390" t="s">
        <v>74</v>
      </c>
      <c r="M390" t="s">
        <v>78</v>
      </c>
      <c r="N390" t="s">
        <v>79</v>
      </c>
      <c r="O390" t="s">
        <v>74</v>
      </c>
      <c r="P390" t="s">
        <v>74</v>
      </c>
      <c r="Q390" t="s">
        <v>74</v>
      </c>
      <c r="R390" t="s">
        <v>74</v>
      </c>
      <c r="S390" t="s">
        <v>74</v>
      </c>
      <c r="T390" t="s">
        <v>7856</v>
      </c>
      <c r="U390" t="s">
        <v>7857</v>
      </c>
      <c r="V390" t="s">
        <v>7858</v>
      </c>
      <c r="W390" t="s">
        <v>7859</v>
      </c>
      <c r="X390" t="s">
        <v>7860</v>
      </c>
      <c r="Y390" t="s">
        <v>7861</v>
      </c>
      <c r="Z390" t="s">
        <v>7862</v>
      </c>
      <c r="AA390" t="s">
        <v>7863</v>
      </c>
      <c r="AB390" t="s">
        <v>7864</v>
      </c>
      <c r="AC390" t="s">
        <v>7865</v>
      </c>
      <c r="AD390" t="s">
        <v>7866</v>
      </c>
      <c r="AE390" t="s">
        <v>7867</v>
      </c>
      <c r="AF390" t="s">
        <v>74</v>
      </c>
      <c r="AG390">
        <v>56</v>
      </c>
      <c r="AH390">
        <v>11</v>
      </c>
      <c r="AI390">
        <v>11</v>
      </c>
      <c r="AJ390">
        <v>0</v>
      </c>
      <c r="AK390">
        <v>9</v>
      </c>
      <c r="AL390" t="s">
        <v>2011</v>
      </c>
      <c r="AM390" t="s">
        <v>2012</v>
      </c>
      <c r="AN390" t="s">
        <v>2013</v>
      </c>
      <c r="AO390" t="s">
        <v>7868</v>
      </c>
      <c r="AP390" t="s">
        <v>74</v>
      </c>
      <c r="AQ390" t="s">
        <v>74</v>
      </c>
      <c r="AR390" t="s">
        <v>7869</v>
      </c>
      <c r="AS390" t="s">
        <v>7870</v>
      </c>
      <c r="AT390" t="s">
        <v>7871</v>
      </c>
      <c r="AU390">
        <v>2019</v>
      </c>
      <c r="AV390">
        <v>9</v>
      </c>
      <c r="AW390">
        <v>3</v>
      </c>
      <c r="AX390" t="s">
        <v>74</v>
      </c>
      <c r="AY390" t="s">
        <v>74</v>
      </c>
      <c r="AZ390" t="s">
        <v>74</v>
      </c>
      <c r="BA390" t="s">
        <v>74</v>
      </c>
      <c r="BB390" t="s">
        <v>74</v>
      </c>
      <c r="BC390" t="s">
        <v>74</v>
      </c>
      <c r="BD390">
        <v>153</v>
      </c>
      <c r="BE390" t="s">
        <v>7872</v>
      </c>
      <c r="BF390" t="str">
        <f>HYPERLINK("http://dx.doi.org/10.3390/min9030153","http://dx.doi.org/10.3390/min9030153")</f>
        <v>http://dx.doi.org/10.3390/min9030153</v>
      </c>
      <c r="BG390" t="s">
        <v>74</v>
      </c>
      <c r="BH390" t="s">
        <v>74</v>
      </c>
      <c r="BI390">
        <v>12</v>
      </c>
      <c r="BJ390" t="s">
        <v>7873</v>
      </c>
      <c r="BK390" t="s">
        <v>102</v>
      </c>
      <c r="BL390" t="s">
        <v>7873</v>
      </c>
      <c r="BM390" t="s">
        <v>7874</v>
      </c>
      <c r="BN390" t="s">
        <v>74</v>
      </c>
      <c r="BO390" t="s">
        <v>3093</v>
      </c>
      <c r="BP390" t="s">
        <v>74</v>
      </c>
      <c r="BQ390" t="s">
        <v>74</v>
      </c>
      <c r="BR390" t="s">
        <v>107</v>
      </c>
      <c r="BS390" t="s">
        <v>7875</v>
      </c>
      <c r="BT390" t="str">
        <f>HYPERLINK("https%3A%2F%2Fwww.webofscience.com%2Fwos%2Fwoscc%2Ffull-record%2FWOS:000464448300001","View Full Record in Web of Science")</f>
        <v>View Full Record in Web of Science</v>
      </c>
    </row>
    <row r="391" spans="1:72" x14ac:dyDescent="0.15">
      <c r="A391" t="s">
        <v>72</v>
      </c>
      <c r="B391" t="s">
        <v>7876</v>
      </c>
      <c r="C391" t="s">
        <v>74</v>
      </c>
      <c r="D391" t="s">
        <v>74</v>
      </c>
      <c r="E391" t="s">
        <v>74</v>
      </c>
      <c r="F391" t="s">
        <v>7877</v>
      </c>
      <c r="G391" t="s">
        <v>74</v>
      </c>
      <c r="H391" t="s">
        <v>74</v>
      </c>
      <c r="I391" t="s">
        <v>7878</v>
      </c>
      <c r="J391" t="s">
        <v>7879</v>
      </c>
      <c r="K391" t="s">
        <v>74</v>
      </c>
      <c r="L391" t="s">
        <v>74</v>
      </c>
      <c r="M391" t="s">
        <v>78</v>
      </c>
      <c r="N391" t="s">
        <v>79</v>
      </c>
      <c r="O391" t="s">
        <v>74</v>
      </c>
      <c r="P391" t="s">
        <v>74</v>
      </c>
      <c r="Q391" t="s">
        <v>74</v>
      </c>
      <c r="R391" t="s">
        <v>74</v>
      </c>
      <c r="S391" t="s">
        <v>74</v>
      </c>
      <c r="T391" t="s">
        <v>7880</v>
      </c>
      <c r="U391" t="s">
        <v>7881</v>
      </c>
      <c r="V391" t="s">
        <v>7882</v>
      </c>
      <c r="W391" t="s">
        <v>7883</v>
      </c>
      <c r="X391" t="s">
        <v>7884</v>
      </c>
      <c r="Y391" t="s">
        <v>7885</v>
      </c>
      <c r="Z391" t="s">
        <v>7886</v>
      </c>
      <c r="AA391" t="s">
        <v>7887</v>
      </c>
      <c r="AB391" t="s">
        <v>7888</v>
      </c>
      <c r="AC391" t="s">
        <v>7889</v>
      </c>
      <c r="AD391" t="s">
        <v>7889</v>
      </c>
      <c r="AE391" t="s">
        <v>7890</v>
      </c>
      <c r="AF391" t="s">
        <v>74</v>
      </c>
      <c r="AG391">
        <v>102</v>
      </c>
      <c r="AH391">
        <v>3</v>
      </c>
      <c r="AI391">
        <v>3</v>
      </c>
      <c r="AJ391">
        <v>0</v>
      </c>
      <c r="AK391">
        <v>10</v>
      </c>
      <c r="AL391" t="s">
        <v>2960</v>
      </c>
      <c r="AM391" t="s">
        <v>607</v>
      </c>
      <c r="AN391" t="s">
        <v>4525</v>
      </c>
      <c r="AO391" t="s">
        <v>7891</v>
      </c>
      <c r="AP391" t="s">
        <v>7892</v>
      </c>
      <c r="AQ391" t="s">
        <v>74</v>
      </c>
      <c r="AR391" t="s">
        <v>7893</v>
      </c>
      <c r="AS391" t="s">
        <v>7894</v>
      </c>
      <c r="AT391" t="s">
        <v>7895</v>
      </c>
      <c r="AU391">
        <v>2019</v>
      </c>
      <c r="AV391">
        <v>55</v>
      </c>
      <c r="AW391">
        <v>2</v>
      </c>
      <c r="AX391" t="s">
        <v>74</v>
      </c>
      <c r="AY391" t="s">
        <v>74</v>
      </c>
      <c r="AZ391" t="s">
        <v>74</v>
      </c>
      <c r="BA391" t="s">
        <v>74</v>
      </c>
      <c r="BB391">
        <v>61</v>
      </c>
      <c r="BC391">
        <v>71</v>
      </c>
      <c r="BD391" t="s">
        <v>74</v>
      </c>
      <c r="BE391" t="s">
        <v>7896</v>
      </c>
      <c r="BF391" t="str">
        <f>HYPERLINK("http://dx.doi.org/10.1017/S0032247419000214","http://dx.doi.org/10.1017/S0032247419000214")</f>
        <v>http://dx.doi.org/10.1017/S0032247419000214</v>
      </c>
      <c r="BG391" t="s">
        <v>74</v>
      </c>
      <c r="BH391" t="s">
        <v>74</v>
      </c>
      <c r="BI391">
        <v>11</v>
      </c>
      <c r="BJ391" t="s">
        <v>4807</v>
      </c>
      <c r="BK391" t="s">
        <v>337</v>
      </c>
      <c r="BL391" t="s">
        <v>2297</v>
      </c>
      <c r="BM391" t="s">
        <v>7897</v>
      </c>
      <c r="BN391" t="s">
        <v>74</v>
      </c>
      <c r="BO391" t="s">
        <v>74</v>
      </c>
      <c r="BP391" t="s">
        <v>74</v>
      </c>
      <c r="BQ391" t="s">
        <v>74</v>
      </c>
      <c r="BR391" t="s">
        <v>107</v>
      </c>
      <c r="BS391" t="s">
        <v>7898</v>
      </c>
      <c r="BT391" t="str">
        <f>HYPERLINK("https%3A%2F%2Fwww.webofscience.com%2Fwos%2Fwoscc%2Ffull-record%2FWOS:000512993100001","View Full Record in Web of Science")</f>
        <v>View Full Record in Web of Science</v>
      </c>
    </row>
    <row r="392" spans="1:72" x14ac:dyDescent="0.15">
      <c r="A392" t="s">
        <v>72</v>
      </c>
      <c r="B392" t="s">
        <v>7899</v>
      </c>
      <c r="C392" t="s">
        <v>74</v>
      </c>
      <c r="D392" t="s">
        <v>74</v>
      </c>
      <c r="E392" t="s">
        <v>74</v>
      </c>
      <c r="F392" t="s">
        <v>7900</v>
      </c>
      <c r="G392" t="s">
        <v>74</v>
      </c>
      <c r="H392" t="s">
        <v>74</v>
      </c>
      <c r="I392" t="s">
        <v>7901</v>
      </c>
      <c r="J392" t="s">
        <v>7879</v>
      </c>
      <c r="K392" t="s">
        <v>74</v>
      </c>
      <c r="L392" t="s">
        <v>74</v>
      </c>
      <c r="M392" t="s">
        <v>78</v>
      </c>
      <c r="N392" t="s">
        <v>79</v>
      </c>
      <c r="O392" t="s">
        <v>74</v>
      </c>
      <c r="P392" t="s">
        <v>74</v>
      </c>
      <c r="Q392" t="s">
        <v>74</v>
      </c>
      <c r="R392" t="s">
        <v>74</v>
      </c>
      <c r="S392" t="s">
        <v>74</v>
      </c>
      <c r="T392" t="s">
        <v>7902</v>
      </c>
      <c r="U392" t="s">
        <v>7903</v>
      </c>
      <c r="V392" t="s">
        <v>7904</v>
      </c>
      <c r="W392" t="s">
        <v>7905</v>
      </c>
      <c r="X392" t="s">
        <v>74</v>
      </c>
      <c r="Y392" t="s">
        <v>7906</v>
      </c>
      <c r="Z392" t="s">
        <v>7907</v>
      </c>
      <c r="AA392" t="s">
        <v>74</v>
      </c>
      <c r="AB392" t="s">
        <v>74</v>
      </c>
      <c r="AC392" t="s">
        <v>74</v>
      </c>
      <c r="AD392" t="s">
        <v>74</v>
      </c>
      <c r="AE392" t="s">
        <v>74</v>
      </c>
      <c r="AF392" t="s">
        <v>74</v>
      </c>
      <c r="AG392">
        <v>72</v>
      </c>
      <c r="AH392">
        <v>0</v>
      </c>
      <c r="AI392">
        <v>0</v>
      </c>
      <c r="AJ392">
        <v>0</v>
      </c>
      <c r="AK392">
        <v>1</v>
      </c>
      <c r="AL392" t="s">
        <v>2960</v>
      </c>
      <c r="AM392" t="s">
        <v>607</v>
      </c>
      <c r="AN392" t="s">
        <v>4525</v>
      </c>
      <c r="AO392" t="s">
        <v>7891</v>
      </c>
      <c r="AP392" t="s">
        <v>7892</v>
      </c>
      <c r="AQ392" t="s">
        <v>74</v>
      </c>
      <c r="AR392" t="s">
        <v>7893</v>
      </c>
      <c r="AS392" t="s">
        <v>7894</v>
      </c>
      <c r="AT392" t="s">
        <v>7895</v>
      </c>
      <c r="AU392">
        <v>2019</v>
      </c>
      <c r="AV392">
        <v>55</v>
      </c>
      <c r="AW392">
        <v>2</v>
      </c>
      <c r="AX392" t="s">
        <v>74</v>
      </c>
      <c r="AY392" t="s">
        <v>74</v>
      </c>
      <c r="AZ392" t="s">
        <v>74</v>
      </c>
      <c r="BA392" t="s">
        <v>74</v>
      </c>
      <c r="BB392">
        <v>82</v>
      </c>
      <c r="BC392">
        <v>92</v>
      </c>
      <c r="BD392" t="s">
        <v>74</v>
      </c>
      <c r="BE392" t="s">
        <v>7908</v>
      </c>
      <c r="BF392" t="str">
        <f>HYPERLINK("http://dx.doi.org/10.1017/S0032247419000238","http://dx.doi.org/10.1017/S0032247419000238")</f>
        <v>http://dx.doi.org/10.1017/S0032247419000238</v>
      </c>
      <c r="BG392" t="s">
        <v>74</v>
      </c>
      <c r="BH392" t="s">
        <v>74</v>
      </c>
      <c r="BI392">
        <v>11</v>
      </c>
      <c r="BJ392" t="s">
        <v>4807</v>
      </c>
      <c r="BK392" t="s">
        <v>102</v>
      </c>
      <c r="BL392" t="s">
        <v>2297</v>
      </c>
      <c r="BM392" t="s">
        <v>7897</v>
      </c>
      <c r="BN392" t="s">
        <v>74</v>
      </c>
      <c r="BO392" t="s">
        <v>74</v>
      </c>
      <c r="BP392" t="s">
        <v>74</v>
      </c>
      <c r="BQ392" t="s">
        <v>74</v>
      </c>
      <c r="BR392" t="s">
        <v>107</v>
      </c>
      <c r="BS392" t="s">
        <v>7909</v>
      </c>
      <c r="BT392" t="str">
        <f>HYPERLINK("https%3A%2F%2Fwww.webofscience.com%2Fwos%2Fwoscc%2Ffull-record%2FWOS:000512993100003","View Full Record in Web of Science")</f>
        <v>View Full Record in Web of Science</v>
      </c>
    </row>
    <row r="393" spans="1:72" x14ac:dyDescent="0.15">
      <c r="A393" t="s">
        <v>72</v>
      </c>
      <c r="B393" t="s">
        <v>7910</v>
      </c>
      <c r="C393" t="s">
        <v>74</v>
      </c>
      <c r="D393" t="s">
        <v>74</v>
      </c>
      <c r="E393" t="s">
        <v>74</v>
      </c>
      <c r="F393" t="s">
        <v>7911</v>
      </c>
      <c r="G393" t="s">
        <v>74</v>
      </c>
      <c r="H393" t="s">
        <v>74</v>
      </c>
      <c r="I393" t="s">
        <v>7912</v>
      </c>
      <c r="J393" t="s">
        <v>7879</v>
      </c>
      <c r="K393" t="s">
        <v>74</v>
      </c>
      <c r="L393" t="s">
        <v>74</v>
      </c>
      <c r="M393" t="s">
        <v>78</v>
      </c>
      <c r="N393" t="s">
        <v>79</v>
      </c>
      <c r="O393" t="s">
        <v>74</v>
      </c>
      <c r="P393" t="s">
        <v>74</v>
      </c>
      <c r="Q393" t="s">
        <v>74</v>
      </c>
      <c r="R393" t="s">
        <v>74</v>
      </c>
      <c r="S393" t="s">
        <v>74</v>
      </c>
      <c r="T393" t="s">
        <v>7913</v>
      </c>
      <c r="U393" t="s">
        <v>7914</v>
      </c>
      <c r="V393" t="s">
        <v>7915</v>
      </c>
      <c r="W393" t="s">
        <v>7916</v>
      </c>
      <c r="X393" t="s">
        <v>7917</v>
      </c>
      <c r="Y393" t="s">
        <v>7918</v>
      </c>
      <c r="Z393" t="s">
        <v>7919</v>
      </c>
      <c r="AA393" t="s">
        <v>7920</v>
      </c>
      <c r="AB393" t="s">
        <v>7921</v>
      </c>
      <c r="AC393" t="s">
        <v>74</v>
      </c>
      <c r="AD393" t="s">
        <v>74</v>
      </c>
      <c r="AE393" t="s">
        <v>74</v>
      </c>
      <c r="AF393" t="s">
        <v>74</v>
      </c>
      <c r="AG393">
        <v>49</v>
      </c>
      <c r="AH393">
        <v>2</v>
      </c>
      <c r="AI393">
        <v>2</v>
      </c>
      <c r="AJ393">
        <v>1</v>
      </c>
      <c r="AK393">
        <v>7</v>
      </c>
      <c r="AL393" t="s">
        <v>2960</v>
      </c>
      <c r="AM393" t="s">
        <v>607</v>
      </c>
      <c r="AN393" t="s">
        <v>4525</v>
      </c>
      <c r="AO393" t="s">
        <v>7891</v>
      </c>
      <c r="AP393" t="s">
        <v>7892</v>
      </c>
      <c r="AQ393" t="s">
        <v>74</v>
      </c>
      <c r="AR393" t="s">
        <v>7893</v>
      </c>
      <c r="AS393" t="s">
        <v>7894</v>
      </c>
      <c r="AT393" t="s">
        <v>7895</v>
      </c>
      <c r="AU393">
        <v>2019</v>
      </c>
      <c r="AV393">
        <v>55</v>
      </c>
      <c r="AW393">
        <v>2</v>
      </c>
      <c r="AX393" t="s">
        <v>74</v>
      </c>
      <c r="AY393" t="s">
        <v>74</v>
      </c>
      <c r="AZ393" t="s">
        <v>74</v>
      </c>
      <c r="BA393" t="s">
        <v>74</v>
      </c>
      <c r="BB393">
        <v>93</v>
      </c>
      <c r="BC393">
        <v>101</v>
      </c>
      <c r="BD393" t="s">
        <v>74</v>
      </c>
      <c r="BE393" t="s">
        <v>7922</v>
      </c>
      <c r="BF393" t="str">
        <f>HYPERLINK("http://dx.doi.org/10.1017/S003224741900024X","http://dx.doi.org/10.1017/S003224741900024X")</f>
        <v>http://dx.doi.org/10.1017/S003224741900024X</v>
      </c>
      <c r="BG393" t="s">
        <v>74</v>
      </c>
      <c r="BH393" t="s">
        <v>74</v>
      </c>
      <c r="BI393">
        <v>9</v>
      </c>
      <c r="BJ393" t="s">
        <v>4807</v>
      </c>
      <c r="BK393" t="s">
        <v>337</v>
      </c>
      <c r="BL393" t="s">
        <v>2297</v>
      </c>
      <c r="BM393" t="s">
        <v>7897</v>
      </c>
      <c r="BN393" t="s">
        <v>74</v>
      </c>
      <c r="BO393" t="s">
        <v>74</v>
      </c>
      <c r="BP393" t="s">
        <v>74</v>
      </c>
      <c r="BQ393" t="s">
        <v>74</v>
      </c>
      <c r="BR393" t="s">
        <v>107</v>
      </c>
      <c r="BS393" t="s">
        <v>7923</v>
      </c>
      <c r="BT393" t="str">
        <f>HYPERLINK("https%3A%2F%2Fwww.webofscience.com%2Fwos%2Fwoscc%2Ffull-record%2FWOS:000512993100004","View Full Record in Web of Science")</f>
        <v>View Full Record in Web of Science</v>
      </c>
    </row>
    <row r="394" spans="1:72" x14ac:dyDescent="0.15">
      <c r="A394" t="s">
        <v>72</v>
      </c>
      <c r="B394" t="s">
        <v>7924</v>
      </c>
      <c r="C394" t="s">
        <v>74</v>
      </c>
      <c r="D394" t="s">
        <v>74</v>
      </c>
      <c r="E394" t="s">
        <v>74</v>
      </c>
      <c r="F394" t="s">
        <v>7925</v>
      </c>
      <c r="G394" t="s">
        <v>74</v>
      </c>
      <c r="H394" t="s">
        <v>74</v>
      </c>
      <c r="I394" t="s">
        <v>7926</v>
      </c>
      <c r="J394" t="s">
        <v>7927</v>
      </c>
      <c r="K394" t="s">
        <v>74</v>
      </c>
      <c r="L394" t="s">
        <v>74</v>
      </c>
      <c r="M394" t="s">
        <v>78</v>
      </c>
      <c r="N394" t="s">
        <v>79</v>
      </c>
      <c r="O394" t="s">
        <v>74</v>
      </c>
      <c r="P394" t="s">
        <v>74</v>
      </c>
      <c r="Q394" t="s">
        <v>74</v>
      </c>
      <c r="R394" t="s">
        <v>74</v>
      </c>
      <c r="S394" t="s">
        <v>74</v>
      </c>
      <c r="T394" t="s">
        <v>7928</v>
      </c>
      <c r="U394" t="s">
        <v>7929</v>
      </c>
      <c r="V394" t="s">
        <v>7930</v>
      </c>
      <c r="W394" t="s">
        <v>7931</v>
      </c>
      <c r="X394" t="s">
        <v>7932</v>
      </c>
      <c r="Y394" t="s">
        <v>7933</v>
      </c>
      <c r="Z394" t="s">
        <v>7934</v>
      </c>
      <c r="AA394" t="s">
        <v>7935</v>
      </c>
      <c r="AB394" t="s">
        <v>7936</v>
      </c>
      <c r="AC394" t="s">
        <v>7937</v>
      </c>
      <c r="AD394" t="s">
        <v>7938</v>
      </c>
      <c r="AE394" t="s">
        <v>7939</v>
      </c>
      <c r="AF394" t="s">
        <v>74</v>
      </c>
      <c r="AG394">
        <v>85</v>
      </c>
      <c r="AH394">
        <v>11</v>
      </c>
      <c r="AI394">
        <v>11</v>
      </c>
      <c r="AJ394">
        <v>0</v>
      </c>
      <c r="AK394">
        <v>2</v>
      </c>
      <c r="AL394" t="s">
        <v>7940</v>
      </c>
      <c r="AM394" t="s">
        <v>7941</v>
      </c>
      <c r="AN394" t="s">
        <v>7942</v>
      </c>
      <c r="AO394" t="s">
        <v>7943</v>
      </c>
      <c r="AP394" t="s">
        <v>74</v>
      </c>
      <c r="AQ394" t="s">
        <v>74</v>
      </c>
      <c r="AR394" t="s">
        <v>7944</v>
      </c>
      <c r="AS394" t="s">
        <v>7945</v>
      </c>
      <c r="AT394" t="s">
        <v>7895</v>
      </c>
      <c r="AU394">
        <v>2019</v>
      </c>
      <c r="AV394">
        <v>52</v>
      </c>
      <c r="AW394">
        <v>2</v>
      </c>
      <c r="AX394" t="s">
        <v>74</v>
      </c>
      <c r="AY394" t="s">
        <v>74</v>
      </c>
      <c r="AZ394" t="s">
        <v>74</v>
      </c>
      <c r="BA394" t="s">
        <v>74</v>
      </c>
      <c r="BB394">
        <v>131</v>
      </c>
      <c r="BC394">
        <v>154</v>
      </c>
      <c r="BD394" t="s">
        <v>74</v>
      </c>
      <c r="BE394" t="s">
        <v>7946</v>
      </c>
      <c r="BF394" t="str">
        <f>HYPERLINK("http://dx.doi.org/10.1127/nos/2018/0455","http://dx.doi.org/10.1127/nos/2018/0455")</f>
        <v>http://dx.doi.org/10.1127/nos/2018/0455</v>
      </c>
      <c r="BG394" t="s">
        <v>74</v>
      </c>
      <c r="BH394" t="s">
        <v>74</v>
      </c>
      <c r="BI394">
        <v>24</v>
      </c>
      <c r="BJ394" t="s">
        <v>923</v>
      </c>
      <c r="BK394" t="s">
        <v>102</v>
      </c>
      <c r="BL394" t="s">
        <v>923</v>
      </c>
      <c r="BM394" t="s">
        <v>7947</v>
      </c>
      <c r="BN394" t="s">
        <v>74</v>
      </c>
      <c r="BO394" t="s">
        <v>925</v>
      </c>
      <c r="BP394" t="s">
        <v>74</v>
      </c>
      <c r="BQ394" t="s">
        <v>74</v>
      </c>
      <c r="BR394" t="s">
        <v>107</v>
      </c>
      <c r="BS394" t="s">
        <v>7948</v>
      </c>
      <c r="BT394" t="str">
        <f>HYPERLINK("https%3A%2F%2Fwww.webofscience.com%2Fwos%2Fwoscc%2Ffull-record%2FWOS:000485668800001","View Full Record in Web of Science")</f>
        <v>View Full Record in Web of Science</v>
      </c>
    </row>
    <row r="395" spans="1:72" x14ac:dyDescent="0.15">
      <c r="A395" t="s">
        <v>72</v>
      </c>
      <c r="B395" t="s">
        <v>7949</v>
      </c>
      <c r="C395" t="s">
        <v>74</v>
      </c>
      <c r="D395" t="s">
        <v>74</v>
      </c>
      <c r="E395" t="s">
        <v>74</v>
      </c>
      <c r="F395" t="s">
        <v>7950</v>
      </c>
      <c r="G395" t="s">
        <v>74</v>
      </c>
      <c r="H395" t="s">
        <v>74</v>
      </c>
      <c r="I395" t="s">
        <v>7951</v>
      </c>
      <c r="J395" t="s">
        <v>496</v>
      </c>
      <c r="K395" t="s">
        <v>74</v>
      </c>
      <c r="L395" t="s">
        <v>74</v>
      </c>
      <c r="M395" t="s">
        <v>78</v>
      </c>
      <c r="N395" t="s">
        <v>79</v>
      </c>
      <c r="O395" t="s">
        <v>74</v>
      </c>
      <c r="P395" t="s">
        <v>74</v>
      </c>
      <c r="Q395" t="s">
        <v>74</v>
      </c>
      <c r="R395" t="s">
        <v>74</v>
      </c>
      <c r="S395" t="s">
        <v>74</v>
      </c>
      <c r="T395" t="s">
        <v>74</v>
      </c>
      <c r="U395" t="s">
        <v>7952</v>
      </c>
      <c r="V395" t="s">
        <v>7953</v>
      </c>
      <c r="W395" t="s">
        <v>7954</v>
      </c>
      <c r="X395" t="s">
        <v>7955</v>
      </c>
      <c r="Y395" t="s">
        <v>7956</v>
      </c>
      <c r="Z395" t="s">
        <v>7957</v>
      </c>
      <c r="AA395" t="s">
        <v>74</v>
      </c>
      <c r="AB395" t="s">
        <v>7958</v>
      </c>
      <c r="AC395" t="s">
        <v>74</v>
      </c>
      <c r="AD395" t="s">
        <v>74</v>
      </c>
      <c r="AE395" t="s">
        <v>74</v>
      </c>
      <c r="AF395" t="s">
        <v>74</v>
      </c>
      <c r="AG395">
        <v>78</v>
      </c>
      <c r="AH395">
        <v>26</v>
      </c>
      <c r="AI395">
        <v>29</v>
      </c>
      <c r="AJ395">
        <v>2</v>
      </c>
      <c r="AK395">
        <v>16</v>
      </c>
      <c r="AL395" t="s">
        <v>269</v>
      </c>
      <c r="AM395" t="s">
        <v>270</v>
      </c>
      <c r="AN395" t="s">
        <v>271</v>
      </c>
      <c r="AO395" t="s">
        <v>509</v>
      </c>
      <c r="AP395" t="s">
        <v>510</v>
      </c>
      <c r="AQ395" t="s">
        <v>74</v>
      </c>
      <c r="AR395" t="s">
        <v>511</v>
      </c>
      <c r="AS395" t="s">
        <v>512</v>
      </c>
      <c r="AT395" t="s">
        <v>7895</v>
      </c>
      <c r="AU395">
        <v>2019</v>
      </c>
      <c r="AV395">
        <v>32</v>
      </c>
      <c r="AW395">
        <v>6</v>
      </c>
      <c r="AX395" t="s">
        <v>74</v>
      </c>
      <c r="AY395" t="s">
        <v>74</v>
      </c>
      <c r="AZ395" t="s">
        <v>74</v>
      </c>
      <c r="BA395" t="s">
        <v>74</v>
      </c>
      <c r="BB395">
        <v>1895</v>
      </c>
      <c r="BC395">
        <v>1918</v>
      </c>
      <c r="BD395" t="s">
        <v>74</v>
      </c>
      <c r="BE395" t="s">
        <v>7959</v>
      </c>
      <c r="BF395" t="str">
        <f>HYPERLINK("http://dx.doi.org/10.1175/JCLI-D-18-0402.1","http://dx.doi.org/10.1175/JCLI-D-18-0402.1")</f>
        <v>http://dx.doi.org/10.1175/JCLI-D-18-0402.1</v>
      </c>
      <c r="BG395" t="s">
        <v>74</v>
      </c>
      <c r="BH395" t="s">
        <v>74</v>
      </c>
      <c r="BI395">
        <v>24</v>
      </c>
      <c r="BJ395" t="s">
        <v>133</v>
      </c>
      <c r="BK395" t="s">
        <v>102</v>
      </c>
      <c r="BL395" t="s">
        <v>133</v>
      </c>
      <c r="BM395" t="s">
        <v>7960</v>
      </c>
      <c r="BN395" t="s">
        <v>74</v>
      </c>
      <c r="BO395" t="s">
        <v>279</v>
      </c>
      <c r="BP395" t="s">
        <v>74</v>
      </c>
      <c r="BQ395" t="s">
        <v>74</v>
      </c>
      <c r="BR395" t="s">
        <v>107</v>
      </c>
      <c r="BS395" t="s">
        <v>7961</v>
      </c>
      <c r="BT395" t="str">
        <f>HYPERLINK("https%3A%2F%2Fwww.webofscience.com%2Fwos%2Fwoscc%2Ffull-record%2FWOS:000473259700001","View Full Record in Web of Science")</f>
        <v>View Full Record in Web of Science</v>
      </c>
    </row>
    <row r="396" spans="1:72" x14ac:dyDescent="0.15">
      <c r="A396" t="s">
        <v>72</v>
      </c>
      <c r="B396" t="s">
        <v>7962</v>
      </c>
      <c r="C396" t="s">
        <v>74</v>
      </c>
      <c r="D396" t="s">
        <v>74</v>
      </c>
      <c r="E396" t="s">
        <v>74</v>
      </c>
      <c r="F396" t="s">
        <v>7963</v>
      </c>
      <c r="G396" t="s">
        <v>74</v>
      </c>
      <c r="H396" t="s">
        <v>74</v>
      </c>
      <c r="I396" t="s">
        <v>7964</v>
      </c>
      <c r="J396" t="s">
        <v>7965</v>
      </c>
      <c r="K396" t="s">
        <v>74</v>
      </c>
      <c r="L396" t="s">
        <v>74</v>
      </c>
      <c r="M396" t="s">
        <v>78</v>
      </c>
      <c r="N396" t="s">
        <v>79</v>
      </c>
      <c r="O396" t="s">
        <v>74</v>
      </c>
      <c r="P396" t="s">
        <v>74</v>
      </c>
      <c r="Q396" t="s">
        <v>74</v>
      </c>
      <c r="R396" t="s">
        <v>74</v>
      </c>
      <c r="S396" t="s">
        <v>74</v>
      </c>
      <c r="T396" t="s">
        <v>74</v>
      </c>
      <c r="U396" t="s">
        <v>7966</v>
      </c>
      <c r="V396" t="s">
        <v>7967</v>
      </c>
      <c r="W396" t="s">
        <v>7968</v>
      </c>
      <c r="X396" t="s">
        <v>7969</v>
      </c>
      <c r="Y396" t="s">
        <v>7970</v>
      </c>
      <c r="Z396" t="s">
        <v>7971</v>
      </c>
      <c r="AA396" t="s">
        <v>7972</v>
      </c>
      <c r="AB396" t="s">
        <v>7973</v>
      </c>
      <c r="AC396" t="s">
        <v>7974</v>
      </c>
      <c r="AD396" t="s">
        <v>3343</v>
      </c>
      <c r="AE396" t="s">
        <v>7975</v>
      </c>
      <c r="AF396" t="s">
        <v>74</v>
      </c>
      <c r="AG396">
        <v>6</v>
      </c>
      <c r="AH396">
        <v>2</v>
      </c>
      <c r="AI396">
        <v>2</v>
      </c>
      <c r="AJ396">
        <v>0</v>
      </c>
      <c r="AK396">
        <v>2</v>
      </c>
      <c r="AL396" t="s">
        <v>2932</v>
      </c>
      <c r="AM396" t="s">
        <v>607</v>
      </c>
      <c r="AN396" t="s">
        <v>2933</v>
      </c>
      <c r="AO396" t="s">
        <v>7976</v>
      </c>
      <c r="AP396" t="s">
        <v>7977</v>
      </c>
      <c r="AQ396" t="s">
        <v>74</v>
      </c>
      <c r="AR396" t="s">
        <v>7978</v>
      </c>
      <c r="AS396" t="s">
        <v>7979</v>
      </c>
      <c r="AT396" t="s">
        <v>7895</v>
      </c>
      <c r="AU396">
        <v>2019</v>
      </c>
      <c r="AV396">
        <v>59</v>
      </c>
      <c r="AW396">
        <v>2</v>
      </c>
      <c r="AX396" t="s">
        <v>74</v>
      </c>
      <c r="AY396" t="s">
        <v>74</v>
      </c>
      <c r="AZ396" t="s">
        <v>74</v>
      </c>
      <c r="BA396" t="s">
        <v>74</v>
      </c>
      <c r="BB396">
        <v>171</v>
      </c>
      <c r="BC396">
        <v>181</v>
      </c>
      <c r="BD396" t="s">
        <v>74</v>
      </c>
      <c r="BE396" t="s">
        <v>7980</v>
      </c>
      <c r="BF396" t="str">
        <f>HYPERLINK("http://dx.doi.org/10.1134/S0001437019020103","http://dx.doi.org/10.1134/S0001437019020103")</f>
        <v>http://dx.doi.org/10.1134/S0001437019020103</v>
      </c>
      <c r="BG396" t="s">
        <v>74</v>
      </c>
      <c r="BH396" t="s">
        <v>74</v>
      </c>
      <c r="BI396">
        <v>11</v>
      </c>
      <c r="BJ396" t="s">
        <v>277</v>
      </c>
      <c r="BK396" t="s">
        <v>102</v>
      </c>
      <c r="BL396" t="s">
        <v>277</v>
      </c>
      <c r="BM396" t="s">
        <v>7981</v>
      </c>
      <c r="BN396" t="s">
        <v>74</v>
      </c>
      <c r="BO396" t="s">
        <v>74</v>
      </c>
      <c r="BP396" t="s">
        <v>74</v>
      </c>
      <c r="BQ396" t="s">
        <v>74</v>
      </c>
      <c r="BR396" t="s">
        <v>107</v>
      </c>
      <c r="BS396" t="s">
        <v>7982</v>
      </c>
      <c r="BT396" t="str">
        <f>HYPERLINK("https%3A%2F%2Fwww.webofscience.com%2Fwos%2Fwoscc%2Ffull-record%2FWOS:000470219000001","View Full Record in Web of Science")</f>
        <v>View Full Record in Web of Science</v>
      </c>
    </row>
    <row r="397" spans="1:72" x14ac:dyDescent="0.15">
      <c r="A397" t="s">
        <v>72</v>
      </c>
      <c r="B397" t="s">
        <v>7983</v>
      </c>
      <c r="C397" t="s">
        <v>74</v>
      </c>
      <c r="D397" t="s">
        <v>74</v>
      </c>
      <c r="E397" t="s">
        <v>74</v>
      </c>
      <c r="F397" t="s">
        <v>7984</v>
      </c>
      <c r="G397" t="s">
        <v>74</v>
      </c>
      <c r="H397" t="s">
        <v>74</v>
      </c>
      <c r="I397" t="s">
        <v>7985</v>
      </c>
      <c r="J397" t="s">
        <v>7965</v>
      </c>
      <c r="K397" t="s">
        <v>74</v>
      </c>
      <c r="L397" t="s">
        <v>74</v>
      </c>
      <c r="M397" t="s">
        <v>78</v>
      </c>
      <c r="N397" t="s">
        <v>79</v>
      </c>
      <c r="O397" t="s">
        <v>74</v>
      </c>
      <c r="P397" t="s">
        <v>74</v>
      </c>
      <c r="Q397" t="s">
        <v>74</v>
      </c>
      <c r="R397" t="s">
        <v>74</v>
      </c>
      <c r="S397" t="s">
        <v>74</v>
      </c>
      <c r="T397" t="s">
        <v>74</v>
      </c>
      <c r="U397" t="s">
        <v>74</v>
      </c>
      <c r="V397" t="s">
        <v>7986</v>
      </c>
      <c r="W397" t="s">
        <v>7987</v>
      </c>
      <c r="X397" t="s">
        <v>7988</v>
      </c>
      <c r="Y397" t="s">
        <v>7989</v>
      </c>
      <c r="Z397" t="s">
        <v>7990</v>
      </c>
      <c r="AA397" t="s">
        <v>7991</v>
      </c>
      <c r="AB397" t="s">
        <v>74</v>
      </c>
      <c r="AC397" t="s">
        <v>7992</v>
      </c>
      <c r="AD397" t="s">
        <v>7993</v>
      </c>
      <c r="AE397" t="s">
        <v>7994</v>
      </c>
      <c r="AF397" t="s">
        <v>74</v>
      </c>
      <c r="AG397">
        <v>6</v>
      </c>
      <c r="AH397">
        <v>0</v>
      </c>
      <c r="AI397">
        <v>0</v>
      </c>
      <c r="AJ397">
        <v>0</v>
      </c>
      <c r="AK397">
        <v>0</v>
      </c>
      <c r="AL397" t="s">
        <v>2932</v>
      </c>
      <c r="AM397" t="s">
        <v>607</v>
      </c>
      <c r="AN397" t="s">
        <v>2933</v>
      </c>
      <c r="AO397" t="s">
        <v>7976</v>
      </c>
      <c r="AP397" t="s">
        <v>7977</v>
      </c>
      <c r="AQ397" t="s">
        <v>74</v>
      </c>
      <c r="AR397" t="s">
        <v>7978</v>
      </c>
      <c r="AS397" t="s">
        <v>7979</v>
      </c>
      <c r="AT397" t="s">
        <v>7895</v>
      </c>
      <c r="AU397">
        <v>2019</v>
      </c>
      <c r="AV397">
        <v>59</v>
      </c>
      <c r="AW397">
        <v>2</v>
      </c>
      <c r="AX397" t="s">
        <v>74</v>
      </c>
      <c r="AY397" t="s">
        <v>74</v>
      </c>
      <c r="AZ397" t="s">
        <v>74</v>
      </c>
      <c r="BA397" t="s">
        <v>74</v>
      </c>
      <c r="BB397">
        <v>242</v>
      </c>
      <c r="BC397">
        <v>246</v>
      </c>
      <c r="BD397" t="s">
        <v>74</v>
      </c>
      <c r="BE397" t="s">
        <v>7995</v>
      </c>
      <c r="BF397" t="str">
        <f>HYPERLINK("http://dx.doi.org/10.1134/S0001437019020073","http://dx.doi.org/10.1134/S0001437019020073")</f>
        <v>http://dx.doi.org/10.1134/S0001437019020073</v>
      </c>
      <c r="BG397" t="s">
        <v>74</v>
      </c>
      <c r="BH397" t="s">
        <v>74</v>
      </c>
      <c r="BI397">
        <v>5</v>
      </c>
      <c r="BJ397" t="s">
        <v>277</v>
      </c>
      <c r="BK397" t="s">
        <v>102</v>
      </c>
      <c r="BL397" t="s">
        <v>277</v>
      </c>
      <c r="BM397" t="s">
        <v>7981</v>
      </c>
      <c r="BN397" t="s">
        <v>74</v>
      </c>
      <c r="BO397" t="s">
        <v>74</v>
      </c>
      <c r="BP397" t="s">
        <v>74</v>
      </c>
      <c r="BQ397" t="s">
        <v>74</v>
      </c>
      <c r="BR397" t="s">
        <v>107</v>
      </c>
      <c r="BS397" t="s">
        <v>7996</v>
      </c>
      <c r="BT397" t="str">
        <f>HYPERLINK("https%3A%2F%2Fwww.webofscience.com%2Fwos%2Fwoscc%2Ffull-record%2FWOS:000470219000009","View Full Record in Web of Science")</f>
        <v>View Full Record in Web of Science</v>
      </c>
    </row>
    <row r="398" spans="1:72" x14ac:dyDescent="0.15">
      <c r="A398" t="s">
        <v>72</v>
      </c>
      <c r="B398" t="s">
        <v>7997</v>
      </c>
      <c r="C398" t="s">
        <v>74</v>
      </c>
      <c r="D398" t="s">
        <v>74</v>
      </c>
      <c r="E398" t="s">
        <v>74</v>
      </c>
      <c r="F398" t="s">
        <v>7998</v>
      </c>
      <c r="G398" t="s">
        <v>74</v>
      </c>
      <c r="H398" t="s">
        <v>74</v>
      </c>
      <c r="I398" t="s">
        <v>7999</v>
      </c>
      <c r="J398" t="s">
        <v>7965</v>
      </c>
      <c r="K398" t="s">
        <v>74</v>
      </c>
      <c r="L398" t="s">
        <v>74</v>
      </c>
      <c r="M398" t="s">
        <v>78</v>
      </c>
      <c r="N398" t="s">
        <v>1301</v>
      </c>
      <c r="O398" t="s">
        <v>74</v>
      </c>
      <c r="P398" t="s">
        <v>74</v>
      </c>
      <c r="Q398" t="s">
        <v>74</v>
      </c>
      <c r="R398" t="s">
        <v>74</v>
      </c>
      <c r="S398" t="s">
        <v>74</v>
      </c>
      <c r="T398" t="s">
        <v>74</v>
      </c>
      <c r="U398" t="s">
        <v>74</v>
      </c>
      <c r="V398" t="s">
        <v>74</v>
      </c>
      <c r="W398" t="s">
        <v>8000</v>
      </c>
      <c r="X398" t="s">
        <v>3302</v>
      </c>
      <c r="Y398" t="s">
        <v>8001</v>
      </c>
      <c r="Z398" t="s">
        <v>3370</v>
      </c>
      <c r="AA398" t="s">
        <v>74</v>
      </c>
      <c r="AB398" t="s">
        <v>74</v>
      </c>
      <c r="AC398" t="s">
        <v>74</v>
      </c>
      <c r="AD398" t="s">
        <v>74</v>
      </c>
      <c r="AE398" t="s">
        <v>74</v>
      </c>
      <c r="AF398" t="s">
        <v>74</v>
      </c>
      <c r="AG398">
        <v>3</v>
      </c>
      <c r="AH398">
        <v>0</v>
      </c>
      <c r="AI398">
        <v>0</v>
      </c>
      <c r="AJ398">
        <v>0</v>
      </c>
      <c r="AK398">
        <v>2</v>
      </c>
      <c r="AL398" t="s">
        <v>2932</v>
      </c>
      <c r="AM398" t="s">
        <v>607</v>
      </c>
      <c r="AN398" t="s">
        <v>2933</v>
      </c>
      <c r="AO398" t="s">
        <v>7976</v>
      </c>
      <c r="AP398" t="s">
        <v>7977</v>
      </c>
      <c r="AQ398" t="s">
        <v>74</v>
      </c>
      <c r="AR398" t="s">
        <v>7978</v>
      </c>
      <c r="AS398" t="s">
        <v>7979</v>
      </c>
      <c r="AT398" t="s">
        <v>7895</v>
      </c>
      <c r="AU398">
        <v>2019</v>
      </c>
      <c r="AV398">
        <v>59</v>
      </c>
      <c r="AW398">
        <v>2</v>
      </c>
      <c r="AX398" t="s">
        <v>74</v>
      </c>
      <c r="AY398" t="s">
        <v>74</v>
      </c>
      <c r="AZ398" t="s">
        <v>74</v>
      </c>
      <c r="BA398" t="s">
        <v>74</v>
      </c>
      <c r="BB398">
        <v>281</v>
      </c>
      <c r="BC398">
        <v>282</v>
      </c>
      <c r="BD398" t="s">
        <v>74</v>
      </c>
      <c r="BE398" t="s">
        <v>8002</v>
      </c>
      <c r="BF398" t="str">
        <f>HYPERLINK("http://dx.doi.org/10.1134/S0001437019020012","http://dx.doi.org/10.1134/S0001437019020012")</f>
        <v>http://dx.doi.org/10.1134/S0001437019020012</v>
      </c>
      <c r="BG398" t="s">
        <v>74</v>
      </c>
      <c r="BH398" t="s">
        <v>74</v>
      </c>
      <c r="BI398">
        <v>2</v>
      </c>
      <c r="BJ398" t="s">
        <v>277</v>
      </c>
      <c r="BK398" t="s">
        <v>102</v>
      </c>
      <c r="BL398" t="s">
        <v>277</v>
      </c>
      <c r="BM398" t="s">
        <v>7981</v>
      </c>
      <c r="BN398" t="s">
        <v>74</v>
      </c>
      <c r="BO398" t="s">
        <v>74</v>
      </c>
      <c r="BP398" t="s">
        <v>74</v>
      </c>
      <c r="BQ398" t="s">
        <v>74</v>
      </c>
      <c r="BR398" t="s">
        <v>107</v>
      </c>
      <c r="BS398" t="s">
        <v>8003</v>
      </c>
      <c r="BT398" t="str">
        <f>HYPERLINK("https%3A%2F%2Fwww.webofscience.com%2Fwos%2Fwoscc%2Ffull-record%2FWOS:000470219000015","View Full Record in Web of Science")</f>
        <v>View Full Record in Web of Science</v>
      </c>
    </row>
    <row r="399" spans="1:72" x14ac:dyDescent="0.15">
      <c r="A399" t="s">
        <v>72</v>
      </c>
      <c r="B399" t="s">
        <v>8004</v>
      </c>
      <c r="C399" t="s">
        <v>74</v>
      </c>
      <c r="D399" t="s">
        <v>74</v>
      </c>
      <c r="E399" t="s">
        <v>74</v>
      </c>
      <c r="F399" t="s">
        <v>8005</v>
      </c>
      <c r="G399" t="s">
        <v>74</v>
      </c>
      <c r="H399" t="s">
        <v>74</v>
      </c>
      <c r="I399" t="s">
        <v>8006</v>
      </c>
      <c r="J399" t="s">
        <v>8007</v>
      </c>
      <c r="K399" t="s">
        <v>74</v>
      </c>
      <c r="L399" t="s">
        <v>74</v>
      </c>
      <c r="M399" t="s">
        <v>78</v>
      </c>
      <c r="N399" t="s">
        <v>79</v>
      </c>
      <c r="O399" t="s">
        <v>74</v>
      </c>
      <c r="P399" t="s">
        <v>74</v>
      </c>
      <c r="Q399" t="s">
        <v>74</v>
      </c>
      <c r="R399" t="s">
        <v>74</v>
      </c>
      <c r="S399" t="s">
        <v>74</v>
      </c>
      <c r="T399" t="s">
        <v>74</v>
      </c>
      <c r="U399" t="s">
        <v>8008</v>
      </c>
      <c r="V399" t="s">
        <v>8009</v>
      </c>
      <c r="W399" t="s">
        <v>8010</v>
      </c>
      <c r="X399" t="s">
        <v>8011</v>
      </c>
      <c r="Y399" t="s">
        <v>8012</v>
      </c>
      <c r="Z399" t="s">
        <v>8013</v>
      </c>
      <c r="AA399" t="s">
        <v>8014</v>
      </c>
      <c r="AB399" t="s">
        <v>8015</v>
      </c>
      <c r="AC399" t="s">
        <v>74</v>
      </c>
      <c r="AD399" t="s">
        <v>74</v>
      </c>
      <c r="AE399" t="s">
        <v>74</v>
      </c>
      <c r="AF399" t="s">
        <v>74</v>
      </c>
      <c r="AG399">
        <v>43</v>
      </c>
      <c r="AH399">
        <v>5</v>
      </c>
      <c r="AI399">
        <v>5</v>
      </c>
      <c r="AJ399">
        <v>0</v>
      </c>
      <c r="AK399">
        <v>3</v>
      </c>
      <c r="AL399" t="s">
        <v>576</v>
      </c>
      <c r="AM399" t="s">
        <v>607</v>
      </c>
      <c r="AN399" t="s">
        <v>3493</v>
      </c>
      <c r="AO399" t="s">
        <v>8016</v>
      </c>
      <c r="AP399" t="s">
        <v>8017</v>
      </c>
      <c r="AQ399" t="s">
        <v>74</v>
      </c>
      <c r="AR399" t="s">
        <v>8018</v>
      </c>
      <c r="AS399" t="s">
        <v>8019</v>
      </c>
      <c r="AT399" t="s">
        <v>7895</v>
      </c>
      <c r="AU399">
        <v>2019</v>
      </c>
      <c r="AV399">
        <v>61</v>
      </c>
      <c r="AW399">
        <v>10</v>
      </c>
      <c r="AX399" t="s">
        <v>74</v>
      </c>
      <c r="AY399" t="s">
        <v>74</v>
      </c>
      <c r="AZ399" t="s">
        <v>74</v>
      </c>
      <c r="BA399" t="s">
        <v>74</v>
      </c>
      <c r="BB399">
        <v>722</v>
      </c>
      <c r="BC399">
        <v>740</v>
      </c>
      <c r="BD399" t="s">
        <v>74</v>
      </c>
      <c r="BE399" t="s">
        <v>8020</v>
      </c>
      <c r="BF399" t="str">
        <f>HYPERLINK("http://dx.doi.org/10.1007/s11141-019-09931-8","http://dx.doi.org/10.1007/s11141-019-09931-8")</f>
        <v>http://dx.doi.org/10.1007/s11141-019-09931-8</v>
      </c>
      <c r="BG399" t="s">
        <v>74</v>
      </c>
      <c r="BH399" t="s">
        <v>74</v>
      </c>
      <c r="BI399">
        <v>19</v>
      </c>
      <c r="BJ399" t="s">
        <v>8021</v>
      </c>
      <c r="BK399" t="s">
        <v>102</v>
      </c>
      <c r="BL399" t="s">
        <v>8022</v>
      </c>
      <c r="BM399" t="s">
        <v>8023</v>
      </c>
      <c r="BN399" t="s">
        <v>74</v>
      </c>
      <c r="BO399" t="s">
        <v>74</v>
      </c>
      <c r="BP399" t="s">
        <v>74</v>
      </c>
      <c r="BQ399" t="s">
        <v>74</v>
      </c>
      <c r="BR399" t="s">
        <v>107</v>
      </c>
      <c r="BS399" t="s">
        <v>8024</v>
      </c>
      <c r="BT399" t="str">
        <f>HYPERLINK("https%3A%2F%2Fwww.webofscience.com%2Fwos%2Fwoscc%2Ffull-record%2FWOS:000469503000002","View Full Record in Web of Science")</f>
        <v>View Full Record in Web of Science</v>
      </c>
    </row>
    <row r="400" spans="1:72" x14ac:dyDescent="0.15">
      <c r="A400" t="s">
        <v>72</v>
      </c>
      <c r="B400" t="s">
        <v>8025</v>
      </c>
      <c r="C400" t="s">
        <v>74</v>
      </c>
      <c r="D400" t="s">
        <v>74</v>
      </c>
      <c r="E400" t="s">
        <v>74</v>
      </c>
      <c r="F400" t="s">
        <v>8026</v>
      </c>
      <c r="G400" t="s">
        <v>74</v>
      </c>
      <c r="H400" t="s">
        <v>74</v>
      </c>
      <c r="I400" t="s">
        <v>8027</v>
      </c>
      <c r="J400" t="s">
        <v>8028</v>
      </c>
      <c r="K400" t="s">
        <v>74</v>
      </c>
      <c r="L400" t="s">
        <v>74</v>
      </c>
      <c r="M400" t="s">
        <v>78</v>
      </c>
      <c r="N400" t="s">
        <v>79</v>
      </c>
      <c r="O400" t="s">
        <v>74</v>
      </c>
      <c r="P400" t="s">
        <v>74</v>
      </c>
      <c r="Q400" t="s">
        <v>74</v>
      </c>
      <c r="R400" t="s">
        <v>74</v>
      </c>
      <c r="S400" t="s">
        <v>74</v>
      </c>
      <c r="T400" t="s">
        <v>8029</v>
      </c>
      <c r="U400" t="s">
        <v>8030</v>
      </c>
      <c r="V400" t="s">
        <v>8031</v>
      </c>
      <c r="W400" t="s">
        <v>8032</v>
      </c>
      <c r="X400" t="s">
        <v>3302</v>
      </c>
      <c r="Y400" t="s">
        <v>8033</v>
      </c>
      <c r="Z400" t="s">
        <v>8034</v>
      </c>
      <c r="AA400" t="s">
        <v>74</v>
      </c>
      <c r="AB400" t="s">
        <v>74</v>
      </c>
      <c r="AC400" t="s">
        <v>8035</v>
      </c>
      <c r="AD400" t="s">
        <v>3330</v>
      </c>
      <c r="AE400" t="s">
        <v>8036</v>
      </c>
      <c r="AF400" t="s">
        <v>74</v>
      </c>
      <c r="AG400">
        <v>18</v>
      </c>
      <c r="AH400">
        <v>2</v>
      </c>
      <c r="AI400">
        <v>2</v>
      </c>
      <c r="AJ400">
        <v>0</v>
      </c>
      <c r="AK400">
        <v>5</v>
      </c>
      <c r="AL400" t="s">
        <v>3307</v>
      </c>
      <c r="AM400" t="s">
        <v>3308</v>
      </c>
      <c r="AN400" t="s">
        <v>3309</v>
      </c>
      <c r="AO400" t="s">
        <v>8037</v>
      </c>
      <c r="AP400" t="s">
        <v>8038</v>
      </c>
      <c r="AQ400" t="s">
        <v>74</v>
      </c>
      <c r="AR400" t="s">
        <v>8039</v>
      </c>
      <c r="AS400" t="s">
        <v>8040</v>
      </c>
      <c r="AT400" t="s">
        <v>7895</v>
      </c>
      <c r="AU400">
        <v>2019</v>
      </c>
      <c r="AV400">
        <v>65</v>
      </c>
      <c r="AW400">
        <v>2</v>
      </c>
      <c r="AX400" t="s">
        <v>74</v>
      </c>
      <c r="AY400" t="s">
        <v>74</v>
      </c>
      <c r="AZ400" t="s">
        <v>74</v>
      </c>
      <c r="BA400" t="s">
        <v>74</v>
      </c>
      <c r="BB400">
        <v>208</v>
      </c>
      <c r="BC400">
        <v>215</v>
      </c>
      <c r="BD400" t="s">
        <v>74</v>
      </c>
      <c r="BE400" t="s">
        <v>8041</v>
      </c>
      <c r="BF400" t="str">
        <f>HYPERLINK("http://dx.doi.org/10.1134/S1063771019020039","http://dx.doi.org/10.1134/S1063771019020039")</f>
        <v>http://dx.doi.org/10.1134/S1063771019020039</v>
      </c>
      <c r="BG400" t="s">
        <v>74</v>
      </c>
      <c r="BH400" t="s">
        <v>74</v>
      </c>
      <c r="BI400">
        <v>8</v>
      </c>
      <c r="BJ400" t="s">
        <v>8042</v>
      </c>
      <c r="BK400" t="s">
        <v>102</v>
      </c>
      <c r="BL400" t="s">
        <v>8042</v>
      </c>
      <c r="BM400" t="s">
        <v>8043</v>
      </c>
      <c r="BN400" t="s">
        <v>74</v>
      </c>
      <c r="BO400" t="s">
        <v>74</v>
      </c>
      <c r="BP400" t="s">
        <v>74</v>
      </c>
      <c r="BQ400" t="s">
        <v>74</v>
      </c>
      <c r="BR400" t="s">
        <v>107</v>
      </c>
      <c r="BS400" t="s">
        <v>8044</v>
      </c>
      <c r="BT400" t="str">
        <f>HYPERLINK("https%3A%2F%2Fwww.webofscience.com%2Fwos%2Fwoscc%2Ffull-record%2FWOS:000468862600010","View Full Record in Web of Science")</f>
        <v>View Full Record in Web of Science</v>
      </c>
    </row>
    <row r="401" spans="1:72" x14ac:dyDescent="0.15">
      <c r="A401" t="s">
        <v>72</v>
      </c>
      <c r="B401" t="s">
        <v>8045</v>
      </c>
      <c r="C401" t="s">
        <v>74</v>
      </c>
      <c r="D401" t="s">
        <v>74</v>
      </c>
      <c r="E401" t="s">
        <v>74</v>
      </c>
      <c r="F401" t="s">
        <v>8046</v>
      </c>
      <c r="G401" t="s">
        <v>74</v>
      </c>
      <c r="H401" t="s">
        <v>74</v>
      </c>
      <c r="I401" t="s">
        <v>8047</v>
      </c>
      <c r="J401" t="s">
        <v>2562</v>
      </c>
      <c r="K401" t="s">
        <v>74</v>
      </c>
      <c r="L401" t="s">
        <v>74</v>
      </c>
      <c r="M401" t="s">
        <v>78</v>
      </c>
      <c r="N401" t="s">
        <v>79</v>
      </c>
      <c r="O401" t="s">
        <v>74</v>
      </c>
      <c r="P401" t="s">
        <v>74</v>
      </c>
      <c r="Q401" t="s">
        <v>74</v>
      </c>
      <c r="R401" t="s">
        <v>74</v>
      </c>
      <c r="S401" t="s">
        <v>74</v>
      </c>
      <c r="T401" t="s">
        <v>8048</v>
      </c>
      <c r="U401" t="s">
        <v>8049</v>
      </c>
      <c r="V401" t="s">
        <v>8050</v>
      </c>
      <c r="W401" t="s">
        <v>8051</v>
      </c>
      <c r="X401" t="s">
        <v>8052</v>
      </c>
      <c r="Y401" t="s">
        <v>8053</v>
      </c>
      <c r="Z401" t="s">
        <v>8054</v>
      </c>
      <c r="AA401" t="s">
        <v>8055</v>
      </c>
      <c r="AB401" t="s">
        <v>8056</v>
      </c>
      <c r="AC401" t="s">
        <v>8057</v>
      </c>
      <c r="AD401" t="s">
        <v>8058</v>
      </c>
      <c r="AE401" t="s">
        <v>8059</v>
      </c>
      <c r="AF401" t="s">
        <v>74</v>
      </c>
      <c r="AG401">
        <v>70</v>
      </c>
      <c r="AH401">
        <v>7</v>
      </c>
      <c r="AI401">
        <v>9</v>
      </c>
      <c r="AJ401">
        <v>2</v>
      </c>
      <c r="AK401">
        <v>10</v>
      </c>
      <c r="AL401" t="s">
        <v>125</v>
      </c>
      <c r="AM401" t="s">
        <v>126</v>
      </c>
      <c r="AN401" t="s">
        <v>127</v>
      </c>
      <c r="AO401" t="s">
        <v>2574</v>
      </c>
      <c r="AP401" t="s">
        <v>2575</v>
      </c>
      <c r="AQ401" t="s">
        <v>74</v>
      </c>
      <c r="AR401" t="s">
        <v>2576</v>
      </c>
      <c r="AS401" t="s">
        <v>2577</v>
      </c>
      <c r="AT401" t="s">
        <v>7895</v>
      </c>
      <c r="AU401">
        <v>2019</v>
      </c>
      <c r="AV401">
        <v>124</v>
      </c>
      <c r="AW401">
        <v>3</v>
      </c>
      <c r="AX401" t="s">
        <v>74</v>
      </c>
      <c r="AY401" t="s">
        <v>74</v>
      </c>
      <c r="AZ401" t="s">
        <v>74</v>
      </c>
      <c r="BA401" t="s">
        <v>74</v>
      </c>
      <c r="BB401">
        <v>1992</v>
      </c>
      <c r="BC401">
        <v>2009</v>
      </c>
      <c r="BD401" t="s">
        <v>74</v>
      </c>
      <c r="BE401" t="s">
        <v>8060</v>
      </c>
      <c r="BF401" t="str">
        <f>HYPERLINK("http://dx.doi.org/10.1029/2017JA024930","http://dx.doi.org/10.1029/2017JA024930")</f>
        <v>http://dx.doi.org/10.1029/2017JA024930</v>
      </c>
      <c r="BG401" t="s">
        <v>74</v>
      </c>
      <c r="BH401" t="s">
        <v>74</v>
      </c>
      <c r="BI401">
        <v>18</v>
      </c>
      <c r="BJ401" t="s">
        <v>2579</v>
      </c>
      <c r="BK401" t="s">
        <v>102</v>
      </c>
      <c r="BL401" t="s">
        <v>2579</v>
      </c>
      <c r="BM401" t="s">
        <v>8061</v>
      </c>
      <c r="BN401" t="s">
        <v>74</v>
      </c>
      <c r="BO401" t="s">
        <v>74</v>
      </c>
      <c r="BP401" t="s">
        <v>74</v>
      </c>
      <c r="BQ401" t="s">
        <v>74</v>
      </c>
      <c r="BR401" t="s">
        <v>107</v>
      </c>
      <c r="BS401" t="s">
        <v>8062</v>
      </c>
      <c r="BT401" t="str">
        <f>HYPERLINK("https%3A%2F%2Fwww.webofscience.com%2Fwos%2Fwoscc%2Ffull-record%2FWOS:000466087900034","View Full Record in Web of Science")</f>
        <v>View Full Record in Web of Science</v>
      </c>
    </row>
    <row r="402" spans="1:72" x14ac:dyDescent="0.15">
      <c r="A402" t="s">
        <v>72</v>
      </c>
      <c r="B402" t="s">
        <v>8063</v>
      </c>
      <c r="C402" t="s">
        <v>74</v>
      </c>
      <c r="D402" t="s">
        <v>74</v>
      </c>
      <c r="E402" t="s">
        <v>74</v>
      </c>
      <c r="F402" t="s">
        <v>8064</v>
      </c>
      <c r="G402" t="s">
        <v>74</v>
      </c>
      <c r="H402" t="s">
        <v>74</v>
      </c>
      <c r="I402" t="s">
        <v>8065</v>
      </c>
      <c r="J402" t="s">
        <v>8066</v>
      </c>
      <c r="K402" t="s">
        <v>74</v>
      </c>
      <c r="L402" t="s">
        <v>74</v>
      </c>
      <c r="M402" t="s">
        <v>78</v>
      </c>
      <c r="N402" t="s">
        <v>79</v>
      </c>
      <c r="O402" t="s">
        <v>74</v>
      </c>
      <c r="P402" t="s">
        <v>74</v>
      </c>
      <c r="Q402" t="s">
        <v>74</v>
      </c>
      <c r="R402" t="s">
        <v>74</v>
      </c>
      <c r="S402" t="s">
        <v>74</v>
      </c>
      <c r="T402" t="s">
        <v>74</v>
      </c>
      <c r="U402" t="s">
        <v>8067</v>
      </c>
      <c r="V402" t="s">
        <v>8068</v>
      </c>
      <c r="W402" t="s">
        <v>8069</v>
      </c>
      <c r="X402" t="s">
        <v>8070</v>
      </c>
      <c r="Y402" t="s">
        <v>8071</v>
      </c>
      <c r="Z402" t="s">
        <v>8072</v>
      </c>
      <c r="AA402" t="s">
        <v>8073</v>
      </c>
      <c r="AB402" t="s">
        <v>8074</v>
      </c>
      <c r="AC402" t="s">
        <v>8075</v>
      </c>
      <c r="AD402" t="s">
        <v>8076</v>
      </c>
      <c r="AE402" t="s">
        <v>8077</v>
      </c>
      <c r="AF402" t="s">
        <v>74</v>
      </c>
      <c r="AG402">
        <v>134</v>
      </c>
      <c r="AH402">
        <v>42</v>
      </c>
      <c r="AI402">
        <v>43</v>
      </c>
      <c r="AJ402">
        <v>1</v>
      </c>
      <c r="AK402">
        <v>24</v>
      </c>
      <c r="AL402" t="s">
        <v>269</v>
      </c>
      <c r="AM402" t="s">
        <v>270</v>
      </c>
      <c r="AN402" t="s">
        <v>271</v>
      </c>
      <c r="AO402" t="s">
        <v>8078</v>
      </c>
      <c r="AP402" t="s">
        <v>8079</v>
      </c>
      <c r="AQ402" t="s">
        <v>74</v>
      </c>
      <c r="AR402" t="s">
        <v>8080</v>
      </c>
      <c r="AS402" t="s">
        <v>8081</v>
      </c>
      <c r="AT402" t="s">
        <v>7895</v>
      </c>
      <c r="AU402">
        <v>2019</v>
      </c>
      <c r="AV402">
        <v>100</v>
      </c>
      <c r="AW402">
        <v>3</v>
      </c>
      <c r="AX402" t="s">
        <v>74</v>
      </c>
      <c r="AY402" t="s">
        <v>74</v>
      </c>
      <c r="AZ402" t="s">
        <v>74</v>
      </c>
      <c r="BA402" t="s">
        <v>74</v>
      </c>
      <c r="BB402">
        <v>403</v>
      </c>
      <c r="BC402">
        <v>422</v>
      </c>
      <c r="BD402" t="s">
        <v>74</v>
      </c>
      <c r="BE402" t="s">
        <v>8082</v>
      </c>
      <c r="BF402" t="str">
        <f>HYPERLINK("http://dx.doi.org/10.1175/BAMS-D-18-0057.1","http://dx.doi.org/10.1175/BAMS-D-18-0057.1")</f>
        <v>http://dx.doi.org/10.1175/BAMS-D-18-0057.1</v>
      </c>
      <c r="BG402" t="s">
        <v>74</v>
      </c>
      <c r="BH402" t="s">
        <v>74</v>
      </c>
      <c r="BI402">
        <v>20</v>
      </c>
      <c r="BJ402" t="s">
        <v>133</v>
      </c>
      <c r="BK402" t="s">
        <v>102</v>
      </c>
      <c r="BL402" t="s">
        <v>133</v>
      </c>
      <c r="BM402" t="s">
        <v>8083</v>
      </c>
      <c r="BN402" t="s">
        <v>74</v>
      </c>
      <c r="BO402" t="s">
        <v>8084</v>
      </c>
      <c r="BP402" t="s">
        <v>74</v>
      </c>
      <c r="BQ402" t="s">
        <v>74</v>
      </c>
      <c r="BR402" t="s">
        <v>107</v>
      </c>
      <c r="BS402" t="s">
        <v>8085</v>
      </c>
      <c r="BT402" t="str">
        <f>HYPERLINK("https%3A%2F%2Fwww.webofscience.com%2Fwos%2Fwoscc%2Ffull-record%2FWOS:000468039100005","View Full Record in Web of Science")</f>
        <v>View Full Record in Web of Science</v>
      </c>
    </row>
    <row r="403" spans="1:72" x14ac:dyDescent="0.15">
      <c r="A403" t="s">
        <v>72</v>
      </c>
      <c r="B403" t="s">
        <v>8086</v>
      </c>
      <c r="C403" t="s">
        <v>74</v>
      </c>
      <c r="D403" t="s">
        <v>74</v>
      </c>
      <c r="E403" t="s">
        <v>74</v>
      </c>
      <c r="F403" t="s">
        <v>8087</v>
      </c>
      <c r="G403" t="s">
        <v>74</v>
      </c>
      <c r="H403" t="s">
        <v>74</v>
      </c>
      <c r="I403" t="s">
        <v>8088</v>
      </c>
      <c r="J403" t="s">
        <v>8089</v>
      </c>
      <c r="K403" t="s">
        <v>74</v>
      </c>
      <c r="L403" t="s">
        <v>74</v>
      </c>
      <c r="M403" t="s">
        <v>78</v>
      </c>
      <c r="N403" t="s">
        <v>590</v>
      </c>
      <c r="O403" t="s">
        <v>8090</v>
      </c>
      <c r="P403" t="s">
        <v>8091</v>
      </c>
      <c r="Q403" t="s">
        <v>8092</v>
      </c>
      <c r="R403" t="s">
        <v>74</v>
      </c>
      <c r="S403" t="s">
        <v>8093</v>
      </c>
      <c r="T403" t="s">
        <v>74</v>
      </c>
      <c r="U403" t="s">
        <v>8094</v>
      </c>
      <c r="V403" t="s">
        <v>8095</v>
      </c>
      <c r="W403" t="s">
        <v>8096</v>
      </c>
      <c r="X403" t="s">
        <v>8097</v>
      </c>
      <c r="Y403" t="s">
        <v>8098</v>
      </c>
      <c r="Z403" t="s">
        <v>8099</v>
      </c>
      <c r="AA403" t="s">
        <v>8100</v>
      </c>
      <c r="AB403" t="s">
        <v>8101</v>
      </c>
      <c r="AC403" t="s">
        <v>8102</v>
      </c>
      <c r="AD403" t="s">
        <v>8103</v>
      </c>
      <c r="AE403" t="s">
        <v>8104</v>
      </c>
      <c r="AF403" t="s">
        <v>74</v>
      </c>
      <c r="AG403">
        <v>106</v>
      </c>
      <c r="AH403">
        <v>9</v>
      </c>
      <c r="AI403">
        <v>10</v>
      </c>
      <c r="AJ403">
        <v>0</v>
      </c>
      <c r="AK403">
        <v>19</v>
      </c>
      <c r="AL403" t="s">
        <v>378</v>
      </c>
      <c r="AM403" t="s">
        <v>93</v>
      </c>
      <c r="AN403" t="s">
        <v>379</v>
      </c>
      <c r="AO403" t="s">
        <v>8105</v>
      </c>
      <c r="AP403" t="s">
        <v>8106</v>
      </c>
      <c r="AQ403" t="s">
        <v>74</v>
      </c>
      <c r="AR403" t="s">
        <v>8107</v>
      </c>
      <c r="AS403" t="s">
        <v>8108</v>
      </c>
      <c r="AT403" t="s">
        <v>7895</v>
      </c>
      <c r="AU403">
        <v>2019</v>
      </c>
      <c r="AV403">
        <v>161</v>
      </c>
      <c r="AW403" t="s">
        <v>74</v>
      </c>
      <c r="AX403" t="s">
        <v>74</v>
      </c>
      <c r="AY403" t="s">
        <v>74</v>
      </c>
      <c r="AZ403" t="s">
        <v>247</v>
      </c>
      <c r="BA403" t="s">
        <v>74</v>
      </c>
      <c r="BB403">
        <v>92</v>
      </c>
      <c r="BC403">
        <v>104</v>
      </c>
      <c r="BD403" t="s">
        <v>74</v>
      </c>
      <c r="BE403" t="s">
        <v>8109</v>
      </c>
      <c r="BF403" t="str">
        <f>HYPERLINK("http://dx.doi.org/10.1016/j.dsr2.2018.06.005","http://dx.doi.org/10.1016/j.dsr2.2018.06.005")</f>
        <v>http://dx.doi.org/10.1016/j.dsr2.2018.06.005</v>
      </c>
      <c r="BG403" t="s">
        <v>74</v>
      </c>
      <c r="BH403" t="s">
        <v>74</v>
      </c>
      <c r="BI403">
        <v>13</v>
      </c>
      <c r="BJ403" t="s">
        <v>277</v>
      </c>
      <c r="BK403" t="s">
        <v>615</v>
      </c>
      <c r="BL403" t="s">
        <v>277</v>
      </c>
      <c r="BM403" t="s">
        <v>8110</v>
      </c>
      <c r="BN403" t="s">
        <v>74</v>
      </c>
      <c r="BO403" t="s">
        <v>403</v>
      </c>
      <c r="BP403" t="s">
        <v>74</v>
      </c>
      <c r="BQ403" t="s">
        <v>74</v>
      </c>
      <c r="BR403" t="s">
        <v>107</v>
      </c>
      <c r="BS403" t="s">
        <v>8111</v>
      </c>
      <c r="BT403" t="str">
        <f>HYPERLINK("https%3A%2F%2Fwww.webofscience.com%2Fwos%2Fwoscc%2Ffull-record%2FWOS:000468714800011","View Full Record in Web of Science")</f>
        <v>View Full Record in Web of Science</v>
      </c>
    </row>
    <row r="404" spans="1:72" x14ac:dyDescent="0.15">
      <c r="A404" t="s">
        <v>72</v>
      </c>
      <c r="B404" t="s">
        <v>8112</v>
      </c>
      <c r="C404" t="s">
        <v>74</v>
      </c>
      <c r="D404" t="s">
        <v>74</v>
      </c>
      <c r="E404" t="s">
        <v>74</v>
      </c>
      <c r="F404" t="s">
        <v>8113</v>
      </c>
      <c r="G404" t="s">
        <v>74</v>
      </c>
      <c r="H404" t="s">
        <v>74</v>
      </c>
      <c r="I404" t="s">
        <v>8114</v>
      </c>
      <c r="J404" t="s">
        <v>8089</v>
      </c>
      <c r="K404" t="s">
        <v>74</v>
      </c>
      <c r="L404" t="s">
        <v>74</v>
      </c>
      <c r="M404" t="s">
        <v>78</v>
      </c>
      <c r="N404" t="s">
        <v>590</v>
      </c>
      <c r="O404" t="s">
        <v>8090</v>
      </c>
      <c r="P404" t="s">
        <v>8091</v>
      </c>
      <c r="Q404" t="s">
        <v>8092</v>
      </c>
      <c r="R404" t="s">
        <v>74</v>
      </c>
      <c r="S404" t="s">
        <v>8093</v>
      </c>
      <c r="T404" t="s">
        <v>8115</v>
      </c>
      <c r="U404" t="s">
        <v>8116</v>
      </c>
      <c r="V404" t="s">
        <v>8117</v>
      </c>
      <c r="W404" t="s">
        <v>8118</v>
      </c>
      <c r="X404" t="s">
        <v>8119</v>
      </c>
      <c r="Y404" t="s">
        <v>8120</v>
      </c>
      <c r="Z404" t="s">
        <v>8121</v>
      </c>
      <c r="AA404" t="s">
        <v>8122</v>
      </c>
      <c r="AB404" t="s">
        <v>8123</v>
      </c>
      <c r="AC404" t="s">
        <v>8124</v>
      </c>
      <c r="AD404" t="s">
        <v>8125</v>
      </c>
      <c r="AE404" t="s">
        <v>8126</v>
      </c>
      <c r="AF404" t="s">
        <v>74</v>
      </c>
      <c r="AG404">
        <v>63</v>
      </c>
      <c r="AH404">
        <v>16</v>
      </c>
      <c r="AI404">
        <v>17</v>
      </c>
      <c r="AJ404">
        <v>3</v>
      </c>
      <c r="AK404">
        <v>16</v>
      </c>
      <c r="AL404" t="s">
        <v>378</v>
      </c>
      <c r="AM404" t="s">
        <v>93</v>
      </c>
      <c r="AN404" t="s">
        <v>379</v>
      </c>
      <c r="AO404" t="s">
        <v>8105</v>
      </c>
      <c r="AP404" t="s">
        <v>8106</v>
      </c>
      <c r="AQ404" t="s">
        <v>74</v>
      </c>
      <c r="AR404" t="s">
        <v>8107</v>
      </c>
      <c r="AS404" t="s">
        <v>8108</v>
      </c>
      <c r="AT404" t="s">
        <v>7895</v>
      </c>
      <c r="AU404">
        <v>2019</v>
      </c>
      <c r="AV404">
        <v>161</v>
      </c>
      <c r="AW404" t="s">
        <v>74</v>
      </c>
      <c r="AX404" t="s">
        <v>74</v>
      </c>
      <c r="AY404" t="s">
        <v>74</v>
      </c>
      <c r="AZ404" t="s">
        <v>247</v>
      </c>
      <c r="BA404" t="s">
        <v>74</v>
      </c>
      <c r="BB404">
        <v>132</v>
      </c>
      <c r="BC404">
        <v>144</v>
      </c>
      <c r="BD404" t="s">
        <v>74</v>
      </c>
      <c r="BE404" t="s">
        <v>8127</v>
      </c>
      <c r="BF404" t="str">
        <f>HYPERLINK("http://dx.doi.org/10.1016/j.dsr2.2018.04.005","http://dx.doi.org/10.1016/j.dsr2.2018.04.005")</f>
        <v>http://dx.doi.org/10.1016/j.dsr2.2018.04.005</v>
      </c>
      <c r="BG404" t="s">
        <v>74</v>
      </c>
      <c r="BH404" t="s">
        <v>74</v>
      </c>
      <c r="BI404">
        <v>13</v>
      </c>
      <c r="BJ404" t="s">
        <v>277</v>
      </c>
      <c r="BK404" t="s">
        <v>615</v>
      </c>
      <c r="BL404" t="s">
        <v>277</v>
      </c>
      <c r="BM404" t="s">
        <v>8110</v>
      </c>
      <c r="BN404" t="s">
        <v>74</v>
      </c>
      <c r="BO404" t="s">
        <v>403</v>
      </c>
      <c r="BP404" t="s">
        <v>74</v>
      </c>
      <c r="BQ404" t="s">
        <v>74</v>
      </c>
      <c r="BR404" t="s">
        <v>107</v>
      </c>
      <c r="BS404" t="s">
        <v>8128</v>
      </c>
      <c r="BT404" t="str">
        <f>HYPERLINK("https%3A%2F%2Fwww.webofscience.com%2Fwos%2Fwoscc%2Ffull-record%2FWOS:000468714800014","View Full Record in Web of Science")</f>
        <v>View Full Record in Web of Science</v>
      </c>
    </row>
    <row r="405" spans="1:72" x14ac:dyDescent="0.15">
      <c r="A405" t="s">
        <v>72</v>
      </c>
      <c r="B405" t="s">
        <v>8129</v>
      </c>
      <c r="C405" t="s">
        <v>74</v>
      </c>
      <c r="D405" t="s">
        <v>74</v>
      </c>
      <c r="E405" t="s">
        <v>74</v>
      </c>
      <c r="F405" t="s">
        <v>8130</v>
      </c>
      <c r="G405" t="s">
        <v>74</v>
      </c>
      <c r="H405" t="s">
        <v>74</v>
      </c>
      <c r="I405" t="s">
        <v>8131</v>
      </c>
      <c r="J405" t="s">
        <v>3098</v>
      </c>
      <c r="K405" t="s">
        <v>74</v>
      </c>
      <c r="L405" t="s">
        <v>74</v>
      </c>
      <c r="M405" t="s">
        <v>78</v>
      </c>
      <c r="N405" t="s">
        <v>79</v>
      </c>
      <c r="O405" t="s">
        <v>74</v>
      </c>
      <c r="P405" t="s">
        <v>74</v>
      </c>
      <c r="Q405" t="s">
        <v>74</v>
      </c>
      <c r="R405" t="s">
        <v>74</v>
      </c>
      <c r="S405" t="s">
        <v>74</v>
      </c>
      <c r="T405" t="s">
        <v>8132</v>
      </c>
      <c r="U405" t="s">
        <v>8133</v>
      </c>
      <c r="V405" t="s">
        <v>8134</v>
      </c>
      <c r="W405" t="s">
        <v>8135</v>
      </c>
      <c r="X405" t="s">
        <v>8136</v>
      </c>
      <c r="Y405" t="s">
        <v>8137</v>
      </c>
      <c r="Z405" t="s">
        <v>8138</v>
      </c>
      <c r="AA405" t="s">
        <v>8139</v>
      </c>
      <c r="AB405" t="s">
        <v>8140</v>
      </c>
      <c r="AC405" t="s">
        <v>8141</v>
      </c>
      <c r="AD405" t="s">
        <v>8142</v>
      </c>
      <c r="AE405" t="s">
        <v>8143</v>
      </c>
      <c r="AF405" t="s">
        <v>74</v>
      </c>
      <c r="AG405">
        <v>58</v>
      </c>
      <c r="AH405">
        <v>11</v>
      </c>
      <c r="AI405">
        <v>12</v>
      </c>
      <c r="AJ405">
        <v>3</v>
      </c>
      <c r="AK405">
        <v>11</v>
      </c>
      <c r="AL405" t="s">
        <v>92</v>
      </c>
      <c r="AM405" t="s">
        <v>93</v>
      </c>
      <c r="AN405" t="s">
        <v>94</v>
      </c>
      <c r="AO405" t="s">
        <v>3111</v>
      </c>
      <c r="AP405" t="s">
        <v>3112</v>
      </c>
      <c r="AQ405" t="s">
        <v>74</v>
      </c>
      <c r="AR405" t="s">
        <v>3113</v>
      </c>
      <c r="AS405" t="s">
        <v>3114</v>
      </c>
      <c r="AT405" t="s">
        <v>7895</v>
      </c>
      <c r="AU405">
        <v>2019</v>
      </c>
      <c r="AV405">
        <v>216</v>
      </c>
      <c r="AW405">
        <v>3</v>
      </c>
      <c r="AX405" t="s">
        <v>74</v>
      </c>
      <c r="AY405" t="s">
        <v>74</v>
      </c>
      <c r="AZ405" t="s">
        <v>74</v>
      </c>
      <c r="BA405" t="s">
        <v>74</v>
      </c>
      <c r="BB405">
        <v>1529</v>
      </c>
      <c r="BC405">
        <v>1537</v>
      </c>
      <c r="BD405" t="s">
        <v>74</v>
      </c>
      <c r="BE405" t="s">
        <v>8144</v>
      </c>
      <c r="BF405" t="str">
        <f>HYPERLINK("http://dx.doi.org/10.1093/gji/ggy505","http://dx.doi.org/10.1093/gji/ggy505")</f>
        <v>http://dx.doi.org/10.1093/gji/ggy505</v>
      </c>
      <c r="BG405" t="s">
        <v>74</v>
      </c>
      <c r="BH405" t="s">
        <v>74</v>
      </c>
      <c r="BI405">
        <v>9</v>
      </c>
      <c r="BJ405" t="s">
        <v>643</v>
      </c>
      <c r="BK405" t="s">
        <v>102</v>
      </c>
      <c r="BL405" t="s">
        <v>643</v>
      </c>
      <c r="BM405" t="s">
        <v>8145</v>
      </c>
      <c r="BN405" t="s">
        <v>74</v>
      </c>
      <c r="BO405" t="s">
        <v>403</v>
      </c>
      <c r="BP405" t="s">
        <v>74</v>
      </c>
      <c r="BQ405" t="s">
        <v>74</v>
      </c>
      <c r="BR405" t="s">
        <v>107</v>
      </c>
      <c r="BS405" t="s">
        <v>8146</v>
      </c>
      <c r="BT405" t="str">
        <f>HYPERLINK("https%3A%2F%2Fwww.webofscience.com%2Fwos%2Fwoscc%2Ffull-record%2FWOS:000465601500004","View Full Record in Web of Science")</f>
        <v>View Full Record in Web of Science</v>
      </c>
    </row>
    <row r="406" spans="1:72" x14ac:dyDescent="0.15">
      <c r="A406" t="s">
        <v>72</v>
      </c>
      <c r="B406" t="s">
        <v>8147</v>
      </c>
      <c r="C406" t="s">
        <v>74</v>
      </c>
      <c r="D406" t="s">
        <v>74</v>
      </c>
      <c r="E406" t="s">
        <v>74</v>
      </c>
      <c r="F406" t="s">
        <v>8148</v>
      </c>
      <c r="G406" t="s">
        <v>74</v>
      </c>
      <c r="H406" t="s">
        <v>74</v>
      </c>
      <c r="I406" t="s">
        <v>8149</v>
      </c>
      <c r="J406" t="s">
        <v>8150</v>
      </c>
      <c r="K406" t="s">
        <v>74</v>
      </c>
      <c r="L406" t="s">
        <v>74</v>
      </c>
      <c r="M406" t="s">
        <v>78</v>
      </c>
      <c r="N406" t="s">
        <v>79</v>
      </c>
      <c r="O406" t="s">
        <v>74</v>
      </c>
      <c r="P406" t="s">
        <v>74</v>
      </c>
      <c r="Q406" t="s">
        <v>74</v>
      </c>
      <c r="R406" t="s">
        <v>74</v>
      </c>
      <c r="S406" t="s">
        <v>74</v>
      </c>
      <c r="T406" t="s">
        <v>8151</v>
      </c>
      <c r="U406" t="s">
        <v>8152</v>
      </c>
      <c r="V406" t="s">
        <v>8153</v>
      </c>
      <c r="W406" t="s">
        <v>8154</v>
      </c>
      <c r="X406" t="s">
        <v>8155</v>
      </c>
      <c r="Y406" t="s">
        <v>8156</v>
      </c>
      <c r="Z406" t="s">
        <v>8157</v>
      </c>
      <c r="AA406" t="s">
        <v>8158</v>
      </c>
      <c r="AB406" t="s">
        <v>74</v>
      </c>
      <c r="AC406" t="s">
        <v>8159</v>
      </c>
      <c r="AD406" t="s">
        <v>8160</v>
      </c>
      <c r="AE406" t="s">
        <v>8161</v>
      </c>
      <c r="AF406" t="s">
        <v>74</v>
      </c>
      <c r="AG406">
        <v>26</v>
      </c>
      <c r="AH406">
        <v>2</v>
      </c>
      <c r="AI406">
        <v>2</v>
      </c>
      <c r="AJ406">
        <v>0</v>
      </c>
      <c r="AK406">
        <v>3</v>
      </c>
      <c r="AL406" t="s">
        <v>2932</v>
      </c>
      <c r="AM406" t="s">
        <v>607</v>
      </c>
      <c r="AN406" t="s">
        <v>2933</v>
      </c>
      <c r="AO406" t="s">
        <v>8162</v>
      </c>
      <c r="AP406" t="s">
        <v>8163</v>
      </c>
      <c r="AQ406" t="s">
        <v>74</v>
      </c>
      <c r="AR406" t="s">
        <v>8164</v>
      </c>
      <c r="AS406" t="s">
        <v>8165</v>
      </c>
      <c r="AT406" t="s">
        <v>7895</v>
      </c>
      <c r="AU406">
        <v>2019</v>
      </c>
      <c r="AV406">
        <v>55</v>
      </c>
      <c r="AW406">
        <v>2</v>
      </c>
      <c r="AX406" t="s">
        <v>74</v>
      </c>
      <c r="AY406" t="s">
        <v>74</v>
      </c>
      <c r="AZ406" t="s">
        <v>74</v>
      </c>
      <c r="BA406" t="s">
        <v>74</v>
      </c>
      <c r="BB406">
        <v>256</v>
      </c>
      <c r="BC406">
        <v>269</v>
      </c>
      <c r="BD406" t="s">
        <v>74</v>
      </c>
      <c r="BE406" t="s">
        <v>8166</v>
      </c>
      <c r="BF406" t="str">
        <f>HYPERLINK("http://dx.doi.org/10.1134/S1069351319020022","http://dx.doi.org/10.1134/S1069351319020022")</f>
        <v>http://dx.doi.org/10.1134/S1069351319020022</v>
      </c>
      <c r="BG406" t="s">
        <v>74</v>
      </c>
      <c r="BH406" t="s">
        <v>74</v>
      </c>
      <c r="BI406">
        <v>14</v>
      </c>
      <c r="BJ406" t="s">
        <v>643</v>
      </c>
      <c r="BK406" t="s">
        <v>102</v>
      </c>
      <c r="BL406" t="s">
        <v>643</v>
      </c>
      <c r="BM406" t="s">
        <v>8167</v>
      </c>
      <c r="BN406" t="s">
        <v>74</v>
      </c>
      <c r="BO406" t="s">
        <v>74</v>
      </c>
      <c r="BP406" t="s">
        <v>74</v>
      </c>
      <c r="BQ406" t="s">
        <v>74</v>
      </c>
      <c r="BR406" t="s">
        <v>107</v>
      </c>
      <c r="BS406" t="s">
        <v>8168</v>
      </c>
      <c r="BT406" t="str">
        <f>HYPERLINK("https%3A%2F%2Fwww.webofscience.com%2Fwos%2Fwoscc%2Ffull-record%2FWOS:000468174400006","View Full Record in Web of Science")</f>
        <v>View Full Record in Web of Science</v>
      </c>
    </row>
    <row r="407" spans="1:72" x14ac:dyDescent="0.15">
      <c r="A407" t="s">
        <v>72</v>
      </c>
      <c r="B407" t="s">
        <v>8169</v>
      </c>
      <c r="C407" t="s">
        <v>74</v>
      </c>
      <c r="D407" t="s">
        <v>74</v>
      </c>
      <c r="E407" t="s">
        <v>74</v>
      </c>
      <c r="F407" t="s">
        <v>8170</v>
      </c>
      <c r="G407" t="s">
        <v>74</v>
      </c>
      <c r="H407" t="s">
        <v>74</v>
      </c>
      <c r="I407" t="s">
        <v>8171</v>
      </c>
      <c r="J407" t="s">
        <v>8172</v>
      </c>
      <c r="K407" t="s">
        <v>74</v>
      </c>
      <c r="L407" t="s">
        <v>74</v>
      </c>
      <c r="M407" t="s">
        <v>78</v>
      </c>
      <c r="N407" t="s">
        <v>79</v>
      </c>
      <c r="O407" t="s">
        <v>74</v>
      </c>
      <c r="P407" t="s">
        <v>74</v>
      </c>
      <c r="Q407" t="s">
        <v>74</v>
      </c>
      <c r="R407" t="s">
        <v>74</v>
      </c>
      <c r="S407" t="s">
        <v>74</v>
      </c>
      <c r="T407" t="s">
        <v>8173</v>
      </c>
      <c r="U407" t="s">
        <v>8174</v>
      </c>
      <c r="V407" t="s">
        <v>8175</v>
      </c>
      <c r="W407" t="s">
        <v>8176</v>
      </c>
      <c r="X407" t="s">
        <v>8177</v>
      </c>
      <c r="Y407" t="s">
        <v>8178</v>
      </c>
      <c r="Z407" t="s">
        <v>8179</v>
      </c>
      <c r="AA407" t="s">
        <v>8180</v>
      </c>
      <c r="AB407" t="s">
        <v>8181</v>
      </c>
      <c r="AC407" t="s">
        <v>8182</v>
      </c>
      <c r="AD407" t="s">
        <v>8183</v>
      </c>
      <c r="AE407" t="s">
        <v>8184</v>
      </c>
      <c r="AF407" t="s">
        <v>74</v>
      </c>
      <c r="AG407">
        <v>60</v>
      </c>
      <c r="AH407">
        <v>17</v>
      </c>
      <c r="AI407">
        <v>18</v>
      </c>
      <c r="AJ407">
        <v>2</v>
      </c>
      <c r="AK407">
        <v>40</v>
      </c>
      <c r="AL407" t="s">
        <v>8185</v>
      </c>
      <c r="AM407" t="s">
        <v>8186</v>
      </c>
      <c r="AN407" t="s">
        <v>8187</v>
      </c>
      <c r="AO407" t="s">
        <v>8188</v>
      </c>
      <c r="AP407" t="s">
        <v>8189</v>
      </c>
      <c r="AQ407" t="s">
        <v>74</v>
      </c>
      <c r="AR407" t="s">
        <v>8190</v>
      </c>
      <c r="AS407" t="s">
        <v>8191</v>
      </c>
      <c r="AT407" t="s">
        <v>8192</v>
      </c>
      <c r="AU407">
        <v>2019</v>
      </c>
      <c r="AV407">
        <v>91</v>
      </c>
      <c r="AW407" t="s">
        <v>74</v>
      </c>
      <c r="AX407" t="s">
        <v>74</v>
      </c>
      <c r="AY407" t="s">
        <v>74</v>
      </c>
      <c r="AZ407" t="s">
        <v>74</v>
      </c>
      <c r="BA407" t="s">
        <v>74</v>
      </c>
      <c r="BB407">
        <v>9</v>
      </c>
      <c r="BC407">
        <v>17</v>
      </c>
      <c r="BD407" t="s">
        <v>74</v>
      </c>
      <c r="BE407" t="s">
        <v>8193</v>
      </c>
      <c r="BF407" t="str">
        <f>HYPERLINK("http://dx.doi.org/10.1016/j.ejsobi.2018.12.006","http://dx.doi.org/10.1016/j.ejsobi.2018.12.006")</f>
        <v>http://dx.doi.org/10.1016/j.ejsobi.2018.12.006</v>
      </c>
      <c r="BG407" t="s">
        <v>74</v>
      </c>
      <c r="BH407" t="s">
        <v>74</v>
      </c>
      <c r="BI407">
        <v>9</v>
      </c>
      <c r="BJ407" t="s">
        <v>8194</v>
      </c>
      <c r="BK407" t="s">
        <v>102</v>
      </c>
      <c r="BL407" t="s">
        <v>8195</v>
      </c>
      <c r="BM407" t="s">
        <v>8196</v>
      </c>
      <c r="BN407" t="s">
        <v>74</v>
      </c>
      <c r="BO407" t="s">
        <v>74</v>
      </c>
      <c r="BP407" t="s">
        <v>74</v>
      </c>
      <c r="BQ407" t="s">
        <v>74</v>
      </c>
      <c r="BR407" t="s">
        <v>107</v>
      </c>
      <c r="BS407" t="s">
        <v>8197</v>
      </c>
      <c r="BT407" t="str">
        <f>HYPERLINK("https%3A%2F%2Fwww.webofscience.com%2Fwos%2Fwoscc%2Ffull-record%2FWOS:000465365700002","View Full Record in Web of Science")</f>
        <v>View Full Record in Web of Science</v>
      </c>
    </row>
    <row r="408" spans="1:72" x14ac:dyDescent="0.15">
      <c r="A408" t="s">
        <v>72</v>
      </c>
      <c r="B408" t="s">
        <v>8198</v>
      </c>
      <c r="C408" t="s">
        <v>74</v>
      </c>
      <c r="D408" t="s">
        <v>74</v>
      </c>
      <c r="E408" t="s">
        <v>74</v>
      </c>
      <c r="F408" t="s">
        <v>8199</v>
      </c>
      <c r="G408" t="s">
        <v>74</v>
      </c>
      <c r="H408" t="s">
        <v>74</v>
      </c>
      <c r="I408" t="s">
        <v>8200</v>
      </c>
      <c r="J408" t="s">
        <v>8201</v>
      </c>
      <c r="K408" t="s">
        <v>74</v>
      </c>
      <c r="L408" t="s">
        <v>74</v>
      </c>
      <c r="M408" t="s">
        <v>78</v>
      </c>
      <c r="N408" t="s">
        <v>79</v>
      </c>
      <c r="O408" t="s">
        <v>74</v>
      </c>
      <c r="P408" t="s">
        <v>74</v>
      </c>
      <c r="Q408" t="s">
        <v>74</v>
      </c>
      <c r="R408" t="s">
        <v>74</v>
      </c>
      <c r="S408" t="s">
        <v>74</v>
      </c>
      <c r="T408" t="s">
        <v>8202</v>
      </c>
      <c r="U408" t="s">
        <v>74</v>
      </c>
      <c r="V408" t="s">
        <v>8203</v>
      </c>
      <c r="W408" t="s">
        <v>8204</v>
      </c>
      <c r="X408" t="s">
        <v>8205</v>
      </c>
      <c r="Y408" t="s">
        <v>8206</v>
      </c>
      <c r="Z408" t="s">
        <v>8207</v>
      </c>
      <c r="AA408" t="s">
        <v>8208</v>
      </c>
      <c r="AB408" t="s">
        <v>8209</v>
      </c>
      <c r="AC408" t="s">
        <v>8210</v>
      </c>
      <c r="AD408" t="s">
        <v>8211</v>
      </c>
      <c r="AE408" t="s">
        <v>8212</v>
      </c>
      <c r="AF408" t="s">
        <v>74</v>
      </c>
      <c r="AG408">
        <v>32</v>
      </c>
      <c r="AH408">
        <v>4</v>
      </c>
      <c r="AI408">
        <v>8</v>
      </c>
      <c r="AJ408">
        <v>0</v>
      </c>
      <c r="AK408">
        <v>2</v>
      </c>
      <c r="AL408" t="s">
        <v>2315</v>
      </c>
      <c r="AM408" t="s">
        <v>329</v>
      </c>
      <c r="AN408" t="s">
        <v>2316</v>
      </c>
      <c r="AO408" t="s">
        <v>8213</v>
      </c>
      <c r="AP408" t="s">
        <v>74</v>
      </c>
      <c r="AQ408" t="s">
        <v>74</v>
      </c>
      <c r="AR408" t="s">
        <v>8214</v>
      </c>
      <c r="AS408" t="s">
        <v>8215</v>
      </c>
      <c r="AT408" t="s">
        <v>7895</v>
      </c>
      <c r="AU408">
        <v>2019</v>
      </c>
      <c r="AV408">
        <v>6</v>
      </c>
      <c r="AW408">
        <v>3</v>
      </c>
      <c r="AX408" t="s">
        <v>74</v>
      </c>
      <c r="AY408" t="s">
        <v>74</v>
      </c>
      <c r="AZ408" t="s">
        <v>74</v>
      </c>
      <c r="BA408" t="s">
        <v>74</v>
      </c>
      <c r="BB408" t="s">
        <v>74</v>
      </c>
      <c r="BC408" t="s">
        <v>74</v>
      </c>
      <c r="BD408">
        <v>181089</v>
      </c>
      <c r="BE408" t="s">
        <v>8216</v>
      </c>
      <c r="BF408" t="str">
        <f>HYPERLINK("http://dx.doi.org/10.1098/rsos.181089","http://dx.doi.org/10.1098/rsos.181089")</f>
        <v>http://dx.doi.org/10.1098/rsos.181089</v>
      </c>
      <c r="BG408" t="s">
        <v>74</v>
      </c>
      <c r="BH408" t="s">
        <v>74</v>
      </c>
      <c r="BI408">
        <v>22</v>
      </c>
      <c r="BJ408" t="s">
        <v>460</v>
      </c>
      <c r="BK408" t="s">
        <v>102</v>
      </c>
      <c r="BL408" t="s">
        <v>461</v>
      </c>
      <c r="BM408" t="s">
        <v>8217</v>
      </c>
      <c r="BN408">
        <v>31031993</v>
      </c>
      <c r="BO408" t="s">
        <v>851</v>
      </c>
      <c r="BP408" t="s">
        <v>74</v>
      </c>
      <c r="BQ408" t="s">
        <v>74</v>
      </c>
      <c r="BR408" t="s">
        <v>107</v>
      </c>
      <c r="BS408" t="s">
        <v>8218</v>
      </c>
      <c r="BT408" t="str">
        <f>HYPERLINK("https%3A%2F%2Fwww.webofscience.com%2Fwos%2Fwoscc%2Ffull-record%2FWOS:000465470300010","View Full Record in Web of Science")</f>
        <v>View Full Record in Web of Science</v>
      </c>
    </row>
    <row r="409" spans="1:72" x14ac:dyDescent="0.15">
      <c r="A409" t="s">
        <v>72</v>
      </c>
      <c r="B409" t="s">
        <v>8219</v>
      </c>
      <c r="C409" t="s">
        <v>74</v>
      </c>
      <c r="D409" t="s">
        <v>74</v>
      </c>
      <c r="E409" t="s">
        <v>74</v>
      </c>
      <c r="F409" t="s">
        <v>8220</v>
      </c>
      <c r="G409" t="s">
        <v>74</v>
      </c>
      <c r="H409" t="s">
        <v>74</v>
      </c>
      <c r="I409" t="s">
        <v>8221</v>
      </c>
      <c r="J409" t="s">
        <v>8201</v>
      </c>
      <c r="K409" t="s">
        <v>74</v>
      </c>
      <c r="L409" t="s">
        <v>74</v>
      </c>
      <c r="M409" t="s">
        <v>78</v>
      </c>
      <c r="N409" t="s">
        <v>79</v>
      </c>
      <c r="O409" t="s">
        <v>74</v>
      </c>
      <c r="P409" t="s">
        <v>74</v>
      </c>
      <c r="Q409" t="s">
        <v>74</v>
      </c>
      <c r="R409" t="s">
        <v>74</v>
      </c>
      <c r="S409" t="s">
        <v>74</v>
      </c>
      <c r="T409" t="s">
        <v>8222</v>
      </c>
      <c r="U409" t="s">
        <v>8223</v>
      </c>
      <c r="V409" t="s">
        <v>8224</v>
      </c>
      <c r="W409" t="s">
        <v>8225</v>
      </c>
      <c r="X409" t="s">
        <v>2048</v>
      </c>
      <c r="Y409" t="s">
        <v>8226</v>
      </c>
      <c r="Z409" t="s">
        <v>8227</v>
      </c>
      <c r="AA409" t="s">
        <v>74</v>
      </c>
      <c r="AB409" t="s">
        <v>8228</v>
      </c>
      <c r="AC409" t="s">
        <v>8229</v>
      </c>
      <c r="AD409" t="s">
        <v>8230</v>
      </c>
      <c r="AE409" t="s">
        <v>8231</v>
      </c>
      <c r="AF409" t="s">
        <v>74</v>
      </c>
      <c r="AG409">
        <v>73</v>
      </c>
      <c r="AH409">
        <v>3</v>
      </c>
      <c r="AI409">
        <v>3</v>
      </c>
      <c r="AJ409">
        <v>0</v>
      </c>
      <c r="AK409">
        <v>1</v>
      </c>
      <c r="AL409" t="s">
        <v>2315</v>
      </c>
      <c r="AM409" t="s">
        <v>329</v>
      </c>
      <c r="AN409" t="s">
        <v>2316</v>
      </c>
      <c r="AO409" t="s">
        <v>8213</v>
      </c>
      <c r="AP409" t="s">
        <v>74</v>
      </c>
      <c r="AQ409" t="s">
        <v>74</v>
      </c>
      <c r="AR409" t="s">
        <v>8214</v>
      </c>
      <c r="AS409" t="s">
        <v>8215</v>
      </c>
      <c r="AT409" t="s">
        <v>7895</v>
      </c>
      <c r="AU409">
        <v>2019</v>
      </c>
      <c r="AV409">
        <v>6</v>
      </c>
      <c r="AW409">
        <v>3</v>
      </c>
      <c r="AX409" t="s">
        <v>74</v>
      </c>
      <c r="AY409" t="s">
        <v>74</v>
      </c>
      <c r="AZ409" t="s">
        <v>74</v>
      </c>
      <c r="BA409" t="s">
        <v>74</v>
      </c>
      <c r="BB409" t="s">
        <v>74</v>
      </c>
      <c r="BC409" t="s">
        <v>74</v>
      </c>
      <c r="BD409">
        <v>181487</v>
      </c>
      <c r="BE409" t="s">
        <v>8232</v>
      </c>
      <c r="BF409" t="str">
        <f>HYPERLINK("http://dx.doi.org/10.1098/rsos.181487","http://dx.doi.org/10.1098/rsos.181487")</f>
        <v>http://dx.doi.org/10.1098/rsos.181487</v>
      </c>
      <c r="BG409" t="s">
        <v>74</v>
      </c>
      <c r="BH409" t="s">
        <v>74</v>
      </c>
      <c r="BI409">
        <v>15</v>
      </c>
      <c r="BJ409" t="s">
        <v>460</v>
      </c>
      <c r="BK409" t="s">
        <v>102</v>
      </c>
      <c r="BL409" t="s">
        <v>461</v>
      </c>
      <c r="BM409" t="s">
        <v>8217</v>
      </c>
      <c r="BN409">
        <v>31032007</v>
      </c>
      <c r="BO409" t="s">
        <v>851</v>
      </c>
      <c r="BP409" t="s">
        <v>74</v>
      </c>
      <c r="BQ409" t="s">
        <v>74</v>
      </c>
      <c r="BR409" t="s">
        <v>107</v>
      </c>
      <c r="BS409" t="s">
        <v>8233</v>
      </c>
      <c r="BT409" t="str">
        <f>HYPERLINK("https%3A%2F%2Fwww.webofscience.com%2Fwos%2Fwoscc%2Ffull-record%2FWOS:000465470300024","View Full Record in Web of Science")</f>
        <v>View Full Record in Web of Science</v>
      </c>
    </row>
    <row r="410" spans="1:72" x14ac:dyDescent="0.15">
      <c r="A410" t="s">
        <v>72</v>
      </c>
      <c r="B410" t="s">
        <v>8234</v>
      </c>
      <c r="C410" t="s">
        <v>74</v>
      </c>
      <c r="D410" t="s">
        <v>74</v>
      </c>
      <c r="E410" t="s">
        <v>74</v>
      </c>
      <c r="F410" t="s">
        <v>8235</v>
      </c>
      <c r="G410" t="s">
        <v>74</v>
      </c>
      <c r="H410" t="s">
        <v>74</v>
      </c>
      <c r="I410" t="s">
        <v>8236</v>
      </c>
      <c r="J410" t="s">
        <v>8237</v>
      </c>
      <c r="K410" t="s">
        <v>74</v>
      </c>
      <c r="L410" t="s">
        <v>74</v>
      </c>
      <c r="M410" t="s">
        <v>78</v>
      </c>
      <c r="N410" t="s">
        <v>79</v>
      </c>
      <c r="O410" t="s">
        <v>74</v>
      </c>
      <c r="P410" t="s">
        <v>74</v>
      </c>
      <c r="Q410" t="s">
        <v>74</v>
      </c>
      <c r="R410" t="s">
        <v>74</v>
      </c>
      <c r="S410" t="s">
        <v>74</v>
      </c>
      <c r="T410" t="s">
        <v>8238</v>
      </c>
      <c r="U410" t="s">
        <v>8239</v>
      </c>
      <c r="V410" t="s">
        <v>8240</v>
      </c>
      <c r="W410" t="s">
        <v>8241</v>
      </c>
      <c r="X410" t="s">
        <v>8242</v>
      </c>
      <c r="Y410" t="s">
        <v>8243</v>
      </c>
      <c r="Z410" t="s">
        <v>8244</v>
      </c>
      <c r="AA410" t="s">
        <v>8245</v>
      </c>
      <c r="AB410" t="s">
        <v>8246</v>
      </c>
      <c r="AC410" t="s">
        <v>8247</v>
      </c>
      <c r="AD410" t="s">
        <v>8248</v>
      </c>
      <c r="AE410" t="s">
        <v>8249</v>
      </c>
      <c r="AF410" t="s">
        <v>74</v>
      </c>
      <c r="AG410">
        <v>28</v>
      </c>
      <c r="AH410">
        <v>4</v>
      </c>
      <c r="AI410">
        <v>4</v>
      </c>
      <c r="AJ410">
        <v>0</v>
      </c>
      <c r="AK410">
        <v>2</v>
      </c>
      <c r="AL410" t="s">
        <v>8250</v>
      </c>
      <c r="AM410" t="s">
        <v>3308</v>
      </c>
      <c r="AN410" t="s">
        <v>8251</v>
      </c>
      <c r="AO410" t="s">
        <v>8252</v>
      </c>
      <c r="AP410" t="s">
        <v>74</v>
      </c>
      <c r="AQ410" t="s">
        <v>74</v>
      </c>
      <c r="AR410" t="s">
        <v>8253</v>
      </c>
      <c r="AS410" t="s">
        <v>8254</v>
      </c>
      <c r="AT410" t="s">
        <v>8192</v>
      </c>
      <c r="AU410">
        <v>2019</v>
      </c>
      <c r="AV410">
        <v>19</v>
      </c>
      <c r="AW410">
        <v>2</v>
      </c>
      <c r="AX410" t="s">
        <v>74</v>
      </c>
      <c r="AY410" t="s">
        <v>74</v>
      </c>
      <c r="AZ410" t="s">
        <v>74</v>
      </c>
      <c r="BA410" t="s">
        <v>74</v>
      </c>
      <c r="BB410" t="s">
        <v>74</v>
      </c>
      <c r="BC410" t="s">
        <v>74</v>
      </c>
      <c r="BD410" t="s">
        <v>8255</v>
      </c>
      <c r="BE410" t="s">
        <v>8256</v>
      </c>
      <c r="BF410" t="str">
        <f>HYPERLINK("http://dx.doi.org/10.2205/2019ES000658","http://dx.doi.org/10.2205/2019ES000658")</f>
        <v>http://dx.doi.org/10.2205/2019ES000658</v>
      </c>
      <c r="BG410" t="s">
        <v>74</v>
      </c>
      <c r="BH410" t="s">
        <v>74</v>
      </c>
      <c r="BI410">
        <v>9</v>
      </c>
      <c r="BJ410" t="s">
        <v>922</v>
      </c>
      <c r="BK410" t="s">
        <v>2712</v>
      </c>
      <c r="BL410" t="s">
        <v>923</v>
      </c>
      <c r="BM410" t="s">
        <v>8257</v>
      </c>
      <c r="BN410" t="s">
        <v>74</v>
      </c>
      <c r="BO410" t="s">
        <v>279</v>
      </c>
      <c r="BP410" t="s">
        <v>74</v>
      </c>
      <c r="BQ410" t="s">
        <v>74</v>
      </c>
      <c r="BR410" t="s">
        <v>107</v>
      </c>
      <c r="BS410" t="s">
        <v>8258</v>
      </c>
      <c r="BT410" t="str">
        <f>HYPERLINK("https%3A%2F%2Fwww.webofscience.com%2Fwos%2Fwoscc%2Ffull-record%2FWOS:000466540100007","View Full Record in Web of Science")</f>
        <v>View Full Record in Web of Science</v>
      </c>
    </row>
    <row r="411" spans="1:72" x14ac:dyDescent="0.15">
      <c r="A411" t="s">
        <v>72</v>
      </c>
      <c r="B411" t="s">
        <v>8259</v>
      </c>
      <c r="C411" t="s">
        <v>74</v>
      </c>
      <c r="D411" t="s">
        <v>74</v>
      </c>
      <c r="E411" t="s">
        <v>74</v>
      </c>
      <c r="F411" t="s">
        <v>8260</v>
      </c>
      <c r="G411" t="s">
        <v>74</v>
      </c>
      <c r="H411" t="s">
        <v>74</v>
      </c>
      <c r="I411" t="s">
        <v>8261</v>
      </c>
      <c r="J411" t="s">
        <v>8262</v>
      </c>
      <c r="K411" t="s">
        <v>74</v>
      </c>
      <c r="L411" t="s">
        <v>74</v>
      </c>
      <c r="M411" t="s">
        <v>78</v>
      </c>
      <c r="N411" t="s">
        <v>79</v>
      </c>
      <c r="O411" t="s">
        <v>74</v>
      </c>
      <c r="P411" t="s">
        <v>74</v>
      </c>
      <c r="Q411" t="s">
        <v>74</v>
      </c>
      <c r="R411" t="s">
        <v>74</v>
      </c>
      <c r="S411" t="s">
        <v>74</v>
      </c>
      <c r="T411" t="s">
        <v>8263</v>
      </c>
      <c r="U411" t="s">
        <v>8264</v>
      </c>
      <c r="V411" t="s">
        <v>8265</v>
      </c>
      <c r="W411" t="s">
        <v>8266</v>
      </c>
      <c r="X411" t="s">
        <v>3085</v>
      </c>
      <c r="Y411" t="s">
        <v>8267</v>
      </c>
      <c r="Z411" t="s">
        <v>8268</v>
      </c>
      <c r="AA411" t="s">
        <v>4465</v>
      </c>
      <c r="AB411" t="s">
        <v>4466</v>
      </c>
      <c r="AC411" t="s">
        <v>8269</v>
      </c>
      <c r="AD411" t="s">
        <v>8270</v>
      </c>
      <c r="AE411" t="s">
        <v>8271</v>
      </c>
      <c r="AF411" t="s">
        <v>74</v>
      </c>
      <c r="AG411">
        <v>17</v>
      </c>
      <c r="AH411">
        <v>10</v>
      </c>
      <c r="AI411">
        <v>10</v>
      </c>
      <c r="AJ411">
        <v>0</v>
      </c>
      <c r="AK411">
        <v>7</v>
      </c>
      <c r="AL411" t="s">
        <v>240</v>
      </c>
      <c r="AM411" t="s">
        <v>241</v>
      </c>
      <c r="AN411" t="s">
        <v>242</v>
      </c>
      <c r="AO411" t="s">
        <v>8272</v>
      </c>
      <c r="AP411" t="s">
        <v>74</v>
      </c>
      <c r="AQ411" t="s">
        <v>74</v>
      </c>
      <c r="AR411" t="s">
        <v>8273</v>
      </c>
      <c r="AS411" t="s">
        <v>8274</v>
      </c>
      <c r="AT411" t="s">
        <v>7895</v>
      </c>
      <c r="AU411">
        <v>2019</v>
      </c>
      <c r="AV411">
        <v>10</v>
      </c>
      <c r="AW411">
        <v>2</v>
      </c>
      <c r="AX411" t="s">
        <v>74</v>
      </c>
      <c r="AY411" t="s">
        <v>74</v>
      </c>
      <c r="AZ411" t="s">
        <v>74</v>
      </c>
      <c r="BA411" t="s">
        <v>74</v>
      </c>
      <c r="BB411">
        <v>93</v>
      </c>
      <c r="BC411">
        <v>99</v>
      </c>
      <c r="BD411" t="s">
        <v>74</v>
      </c>
      <c r="BE411" t="s">
        <v>8275</v>
      </c>
      <c r="BF411" t="str">
        <f>HYPERLINK("http://dx.doi.org/10.1016/j.geog.2018.11.005","http://dx.doi.org/10.1016/j.geog.2018.11.005")</f>
        <v>http://dx.doi.org/10.1016/j.geog.2018.11.005</v>
      </c>
      <c r="BG411" t="s">
        <v>74</v>
      </c>
      <c r="BH411" t="s">
        <v>74</v>
      </c>
      <c r="BI411">
        <v>7</v>
      </c>
      <c r="BJ411" t="s">
        <v>643</v>
      </c>
      <c r="BK411" t="s">
        <v>2712</v>
      </c>
      <c r="BL411" t="s">
        <v>643</v>
      </c>
      <c r="BM411" t="s">
        <v>8276</v>
      </c>
      <c r="BN411" t="s">
        <v>74</v>
      </c>
      <c r="BO411" t="s">
        <v>463</v>
      </c>
      <c r="BP411" t="s">
        <v>74</v>
      </c>
      <c r="BQ411" t="s">
        <v>74</v>
      </c>
      <c r="BR411" t="s">
        <v>107</v>
      </c>
      <c r="BS411" t="s">
        <v>8277</v>
      </c>
      <c r="BT411" t="str">
        <f>HYPERLINK("https%3A%2F%2Fwww.webofscience.com%2Fwos%2Fwoscc%2Ffull-record%2FWOS:000466515500001","View Full Record in Web of Science")</f>
        <v>View Full Record in Web of Science</v>
      </c>
    </row>
    <row r="412" spans="1:72" x14ac:dyDescent="0.15">
      <c r="A412" t="s">
        <v>72</v>
      </c>
      <c r="B412" t="s">
        <v>8278</v>
      </c>
      <c r="C412" t="s">
        <v>74</v>
      </c>
      <c r="D412" t="s">
        <v>74</v>
      </c>
      <c r="E412" t="s">
        <v>74</v>
      </c>
      <c r="F412" t="s">
        <v>8279</v>
      </c>
      <c r="G412" t="s">
        <v>74</v>
      </c>
      <c r="H412" t="s">
        <v>74</v>
      </c>
      <c r="I412" t="s">
        <v>8280</v>
      </c>
      <c r="J412" t="s">
        <v>3618</v>
      </c>
      <c r="K412" t="s">
        <v>74</v>
      </c>
      <c r="L412" t="s">
        <v>74</v>
      </c>
      <c r="M412" t="s">
        <v>78</v>
      </c>
      <c r="N412" t="s">
        <v>79</v>
      </c>
      <c r="O412" t="s">
        <v>74</v>
      </c>
      <c r="P412" t="s">
        <v>74</v>
      </c>
      <c r="Q412" t="s">
        <v>74</v>
      </c>
      <c r="R412" t="s">
        <v>74</v>
      </c>
      <c r="S412" t="s">
        <v>74</v>
      </c>
      <c r="T412" t="s">
        <v>8281</v>
      </c>
      <c r="U412" t="s">
        <v>8282</v>
      </c>
      <c r="V412" t="s">
        <v>8283</v>
      </c>
      <c r="W412" t="s">
        <v>8284</v>
      </c>
      <c r="X412" t="s">
        <v>8285</v>
      </c>
      <c r="Y412" t="s">
        <v>8286</v>
      </c>
      <c r="Z412" t="s">
        <v>8287</v>
      </c>
      <c r="AA412" t="s">
        <v>8288</v>
      </c>
      <c r="AB412" t="s">
        <v>8289</v>
      </c>
      <c r="AC412" t="s">
        <v>8290</v>
      </c>
      <c r="AD412" t="s">
        <v>8291</v>
      </c>
      <c r="AE412" t="s">
        <v>8292</v>
      </c>
      <c r="AF412" t="s">
        <v>74</v>
      </c>
      <c r="AG412">
        <v>43</v>
      </c>
      <c r="AH412">
        <v>17</v>
      </c>
      <c r="AI412">
        <v>18</v>
      </c>
      <c r="AJ412">
        <v>3</v>
      </c>
      <c r="AK412">
        <v>26</v>
      </c>
      <c r="AL412" t="s">
        <v>2011</v>
      </c>
      <c r="AM412" t="s">
        <v>2012</v>
      </c>
      <c r="AN412" t="s">
        <v>2013</v>
      </c>
      <c r="AO412" t="s">
        <v>3631</v>
      </c>
      <c r="AP412" t="s">
        <v>74</v>
      </c>
      <c r="AQ412" t="s">
        <v>74</v>
      </c>
      <c r="AR412" t="s">
        <v>3632</v>
      </c>
      <c r="AS412" t="s">
        <v>3633</v>
      </c>
      <c r="AT412" t="s">
        <v>7895</v>
      </c>
      <c r="AU412">
        <v>2019</v>
      </c>
      <c r="AV412">
        <v>17</v>
      </c>
      <c r="AW412">
        <v>3</v>
      </c>
      <c r="AX412" t="s">
        <v>74</v>
      </c>
      <c r="AY412" t="s">
        <v>74</v>
      </c>
      <c r="AZ412" t="s">
        <v>74</v>
      </c>
      <c r="BA412" t="s">
        <v>74</v>
      </c>
      <c r="BB412" t="s">
        <v>74</v>
      </c>
      <c r="BC412" t="s">
        <v>74</v>
      </c>
      <c r="BD412">
        <v>147</v>
      </c>
      <c r="BE412" t="s">
        <v>8293</v>
      </c>
      <c r="BF412" t="str">
        <f>HYPERLINK("http://dx.doi.org/10.3390/md17030147","http://dx.doi.org/10.3390/md17030147")</f>
        <v>http://dx.doi.org/10.3390/md17030147</v>
      </c>
      <c r="BG412" t="s">
        <v>74</v>
      </c>
      <c r="BH412" t="s">
        <v>74</v>
      </c>
      <c r="BI412">
        <v>13</v>
      </c>
      <c r="BJ412" t="s">
        <v>3635</v>
      </c>
      <c r="BK412" t="s">
        <v>102</v>
      </c>
      <c r="BL412" t="s">
        <v>3636</v>
      </c>
      <c r="BM412" t="s">
        <v>8294</v>
      </c>
      <c r="BN412">
        <v>30832239</v>
      </c>
      <c r="BO412" t="s">
        <v>2020</v>
      </c>
      <c r="BP412" t="s">
        <v>74</v>
      </c>
      <c r="BQ412" t="s">
        <v>74</v>
      </c>
      <c r="BR412" t="s">
        <v>107</v>
      </c>
      <c r="BS412" t="s">
        <v>8295</v>
      </c>
      <c r="BT412" t="str">
        <f>HYPERLINK("https%3A%2F%2Fwww.webofscience.com%2Fwos%2Fwoscc%2Ffull-record%2FWOS:000466398200011","View Full Record in Web of Science")</f>
        <v>View Full Record in Web of Science</v>
      </c>
    </row>
    <row r="413" spans="1:72" x14ac:dyDescent="0.15">
      <c r="A413" t="s">
        <v>72</v>
      </c>
      <c r="B413" t="s">
        <v>8296</v>
      </c>
      <c r="C413" t="s">
        <v>74</v>
      </c>
      <c r="D413" t="s">
        <v>74</v>
      </c>
      <c r="E413" t="s">
        <v>74</v>
      </c>
      <c r="F413" t="s">
        <v>8297</v>
      </c>
      <c r="G413" t="s">
        <v>74</v>
      </c>
      <c r="H413" t="s">
        <v>74</v>
      </c>
      <c r="I413" t="s">
        <v>8298</v>
      </c>
      <c r="J413" t="s">
        <v>112</v>
      </c>
      <c r="K413" t="s">
        <v>74</v>
      </c>
      <c r="L413" t="s">
        <v>74</v>
      </c>
      <c r="M413" t="s">
        <v>78</v>
      </c>
      <c r="N413" t="s">
        <v>79</v>
      </c>
      <c r="O413" t="s">
        <v>74</v>
      </c>
      <c r="P413" t="s">
        <v>74</v>
      </c>
      <c r="Q413" t="s">
        <v>74</v>
      </c>
      <c r="R413" t="s">
        <v>74</v>
      </c>
      <c r="S413" t="s">
        <v>74</v>
      </c>
      <c r="T413" t="s">
        <v>8299</v>
      </c>
      <c r="U413" t="s">
        <v>8300</v>
      </c>
      <c r="V413" t="s">
        <v>8301</v>
      </c>
      <c r="W413" t="s">
        <v>8302</v>
      </c>
      <c r="X413" t="s">
        <v>8303</v>
      </c>
      <c r="Y413" t="s">
        <v>8304</v>
      </c>
      <c r="Z413" t="s">
        <v>8305</v>
      </c>
      <c r="AA413" t="s">
        <v>8306</v>
      </c>
      <c r="AB413" t="s">
        <v>8307</v>
      </c>
      <c r="AC413" t="s">
        <v>8308</v>
      </c>
      <c r="AD413" t="s">
        <v>8309</v>
      </c>
      <c r="AE413" t="s">
        <v>8310</v>
      </c>
      <c r="AF413" t="s">
        <v>74</v>
      </c>
      <c r="AG413">
        <v>55</v>
      </c>
      <c r="AH413">
        <v>18</v>
      </c>
      <c r="AI413">
        <v>18</v>
      </c>
      <c r="AJ413">
        <v>1</v>
      </c>
      <c r="AK413">
        <v>12</v>
      </c>
      <c r="AL413" t="s">
        <v>125</v>
      </c>
      <c r="AM413" t="s">
        <v>126</v>
      </c>
      <c r="AN413" t="s">
        <v>127</v>
      </c>
      <c r="AO413" t="s">
        <v>74</v>
      </c>
      <c r="AP413" t="s">
        <v>128</v>
      </c>
      <c r="AQ413" t="s">
        <v>74</v>
      </c>
      <c r="AR413" t="s">
        <v>129</v>
      </c>
      <c r="AS413" t="s">
        <v>130</v>
      </c>
      <c r="AT413" t="s">
        <v>7895</v>
      </c>
      <c r="AU413">
        <v>2019</v>
      </c>
      <c r="AV413">
        <v>11</v>
      </c>
      <c r="AW413">
        <v>3</v>
      </c>
      <c r="AX413" t="s">
        <v>74</v>
      </c>
      <c r="AY413" t="s">
        <v>74</v>
      </c>
      <c r="AZ413" t="s">
        <v>74</v>
      </c>
      <c r="BA413" t="s">
        <v>74</v>
      </c>
      <c r="BB413">
        <v>624</v>
      </c>
      <c r="BC413">
        <v>640</v>
      </c>
      <c r="BD413" t="s">
        <v>74</v>
      </c>
      <c r="BE413" t="s">
        <v>8311</v>
      </c>
      <c r="BF413" t="str">
        <f>HYPERLINK("http://dx.doi.org/10.1029/2018MS001538","http://dx.doi.org/10.1029/2018MS001538")</f>
        <v>http://dx.doi.org/10.1029/2018MS001538</v>
      </c>
      <c r="BG413" t="s">
        <v>74</v>
      </c>
      <c r="BH413" t="s">
        <v>74</v>
      </c>
      <c r="BI413">
        <v>17</v>
      </c>
      <c r="BJ413" t="s">
        <v>133</v>
      </c>
      <c r="BK413" t="s">
        <v>102</v>
      </c>
      <c r="BL413" t="s">
        <v>133</v>
      </c>
      <c r="BM413" t="s">
        <v>8312</v>
      </c>
      <c r="BN413" t="s">
        <v>74</v>
      </c>
      <c r="BO413" t="s">
        <v>851</v>
      </c>
      <c r="BP413" t="s">
        <v>74</v>
      </c>
      <c r="BQ413" t="s">
        <v>74</v>
      </c>
      <c r="BR413" t="s">
        <v>107</v>
      </c>
      <c r="BS413" t="s">
        <v>8313</v>
      </c>
      <c r="BT413" t="str">
        <f>HYPERLINK("https%3A%2F%2Fwww.webofscience.com%2Fwos%2Fwoscc%2Ffull-record%2FWOS:000465080300004","View Full Record in Web of Science")</f>
        <v>View Full Record in Web of Science</v>
      </c>
    </row>
    <row r="414" spans="1:72" x14ac:dyDescent="0.15">
      <c r="A414" t="s">
        <v>72</v>
      </c>
      <c r="B414" t="s">
        <v>8314</v>
      </c>
      <c r="C414" t="s">
        <v>74</v>
      </c>
      <c r="D414" t="s">
        <v>74</v>
      </c>
      <c r="E414" t="s">
        <v>74</v>
      </c>
      <c r="F414" t="s">
        <v>8315</v>
      </c>
      <c r="G414" t="s">
        <v>74</v>
      </c>
      <c r="H414" t="s">
        <v>74</v>
      </c>
      <c r="I414" t="s">
        <v>8316</v>
      </c>
      <c r="J414" t="s">
        <v>8317</v>
      </c>
      <c r="K414" t="s">
        <v>74</v>
      </c>
      <c r="L414" t="s">
        <v>74</v>
      </c>
      <c r="M414" t="s">
        <v>78</v>
      </c>
      <c r="N414" t="s">
        <v>79</v>
      </c>
      <c r="O414" t="s">
        <v>74</v>
      </c>
      <c r="P414" t="s">
        <v>74</v>
      </c>
      <c r="Q414" t="s">
        <v>74</v>
      </c>
      <c r="R414" t="s">
        <v>74</v>
      </c>
      <c r="S414" t="s">
        <v>74</v>
      </c>
      <c r="T414" t="s">
        <v>8318</v>
      </c>
      <c r="U414" t="s">
        <v>8319</v>
      </c>
      <c r="V414" t="s">
        <v>8320</v>
      </c>
      <c r="W414" t="s">
        <v>8321</v>
      </c>
      <c r="X414" t="s">
        <v>8322</v>
      </c>
      <c r="Y414" t="s">
        <v>8323</v>
      </c>
      <c r="Z414" t="s">
        <v>8324</v>
      </c>
      <c r="AA414" t="s">
        <v>8325</v>
      </c>
      <c r="AB414" t="s">
        <v>8326</v>
      </c>
      <c r="AC414" t="s">
        <v>8327</v>
      </c>
      <c r="AD414" t="s">
        <v>8328</v>
      </c>
      <c r="AE414" t="s">
        <v>8329</v>
      </c>
      <c r="AF414" t="s">
        <v>74</v>
      </c>
      <c r="AG414">
        <v>87</v>
      </c>
      <c r="AH414">
        <v>15</v>
      </c>
      <c r="AI414">
        <v>15</v>
      </c>
      <c r="AJ414">
        <v>2</v>
      </c>
      <c r="AK414">
        <v>25</v>
      </c>
      <c r="AL414" t="s">
        <v>92</v>
      </c>
      <c r="AM414" t="s">
        <v>93</v>
      </c>
      <c r="AN414" t="s">
        <v>94</v>
      </c>
      <c r="AO414" t="s">
        <v>8330</v>
      </c>
      <c r="AP414" t="s">
        <v>8331</v>
      </c>
      <c r="AQ414" t="s">
        <v>74</v>
      </c>
      <c r="AR414" t="s">
        <v>8332</v>
      </c>
      <c r="AS414" t="s">
        <v>8333</v>
      </c>
      <c r="AT414" t="s">
        <v>7895</v>
      </c>
      <c r="AU414">
        <v>2019</v>
      </c>
      <c r="AV414">
        <v>31</v>
      </c>
      <c r="AW414">
        <v>1</v>
      </c>
      <c r="AX414" t="s">
        <v>74</v>
      </c>
      <c r="AY414" t="s">
        <v>74</v>
      </c>
      <c r="AZ414" t="s">
        <v>74</v>
      </c>
      <c r="BA414" t="s">
        <v>74</v>
      </c>
      <c r="BB414">
        <v>1</v>
      </c>
      <c r="BC414">
        <v>28</v>
      </c>
      <c r="BD414" t="s">
        <v>74</v>
      </c>
      <c r="BE414" t="s">
        <v>8334</v>
      </c>
      <c r="BF414" t="str">
        <f>HYPERLINK("http://dx.doi.org/10.1093/jel/eqy018","http://dx.doi.org/10.1093/jel/eqy018")</f>
        <v>http://dx.doi.org/10.1093/jel/eqy018</v>
      </c>
      <c r="BG414" t="s">
        <v>74</v>
      </c>
      <c r="BH414" t="s">
        <v>74</v>
      </c>
      <c r="BI414">
        <v>28</v>
      </c>
      <c r="BJ414" t="s">
        <v>8335</v>
      </c>
      <c r="BK414" t="s">
        <v>314</v>
      </c>
      <c r="BL414" t="s">
        <v>8336</v>
      </c>
      <c r="BM414" t="s">
        <v>8337</v>
      </c>
      <c r="BN414" t="s">
        <v>74</v>
      </c>
      <c r="BO414" t="s">
        <v>74</v>
      </c>
      <c r="BP414" t="s">
        <v>74</v>
      </c>
      <c r="BQ414" t="s">
        <v>74</v>
      </c>
      <c r="BR414" t="s">
        <v>107</v>
      </c>
      <c r="BS414" t="s">
        <v>8338</v>
      </c>
      <c r="BT414" t="str">
        <f>HYPERLINK("https%3A%2F%2Fwww.webofscience.com%2Fwos%2Fwoscc%2Ffull-record%2FWOS:000465105400001","View Full Record in Web of Science")</f>
        <v>View Full Record in Web of Science</v>
      </c>
    </row>
    <row r="415" spans="1:72" x14ac:dyDescent="0.15">
      <c r="A415" t="s">
        <v>72</v>
      </c>
      <c r="B415" t="s">
        <v>8339</v>
      </c>
      <c r="C415" t="s">
        <v>74</v>
      </c>
      <c r="D415" t="s">
        <v>74</v>
      </c>
      <c r="E415" t="s">
        <v>74</v>
      </c>
      <c r="F415" t="s">
        <v>8340</v>
      </c>
      <c r="G415" t="s">
        <v>74</v>
      </c>
      <c r="H415" t="s">
        <v>74</v>
      </c>
      <c r="I415" t="s">
        <v>8341</v>
      </c>
      <c r="J415" t="s">
        <v>3142</v>
      </c>
      <c r="K415" t="s">
        <v>74</v>
      </c>
      <c r="L415" t="s">
        <v>74</v>
      </c>
      <c r="M415" t="s">
        <v>78</v>
      </c>
      <c r="N415" t="s">
        <v>79</v>
      </c>
      <c r="O415" t="s">
        <v>74</v>
      </c>
      <c r="P415" t="s">
        <v>74</v>
      </c>
      <c r="Q415" t="s">
        <v>74</v>
      </c>
      <c r="R415" t="s">
        <v>74</v>
      </c>
      <c r="S415" t="s">
        <v>74</v>
      </c>
      <c r="T415" t="s">
        <v>8342</v>
      </c>
      <c r="U415" t="s">
        <v>8343</v>
      </c>
      <c r="V415" t="s">
        <v>8344</v>
      </c>
      <c r="W415" t="s">
        <v>8345</v>
      </c>
      <c r="X415" t="s">
        <v>8346</v>
      </c>
      <c r="Y415" t="s">
        <v>8347</v>
      </c>
      <c r="Z415" t="s">
        <v>8348</v>
      </c>
      <c r="AA415" t="s">
        <v>8349</v>
      </c>
      <c r="AB415" t="s">
        <v>8350</v>
      </c>
      <c r="AC415" t="s">
        <v>8351</v>
      </c>
      <c r="AD415" t="s">
        <v>8352</v>
      </c>
      <c r="AE415" t="s">
        <v>8353</v>
      </c>
      <c r="AF415" t="s">
        <v>74</v>
      </c>
      <c r="AG415">
        <v>52</v>
      </c>
      <c r="AH415">
        <v>26</v>
      </c>
      <c r="AI415">
        <v>28</v>
      </c>
      <c r="AJ415">
        <v>3</v>
      </c>
      <c r="AK415">
        <v>21</v>
      </c>
      <c r="AL415" t="s">
        <v>125</v>
      </c>
      <c r="AM415" t="s">
        <v>126</v>
      </c>
      <c r="AN415" t="s">
        <v>127</v>
      </c>
      <c r="AO415" t="s">
        <v>3155</v>
      </c>
      <c r="AP415" t="s">
        <v>3156</v>
      </c>
      <c r="AQ415" t="s">
        <v>74</v>
      </c>
      <c r="AR415" t="s">
        <v>3157</v>
      </c>
      <c r="AS415" t="s">
        <v>3158</v>
      </c>
      <c r="AT415" t="s">
        <v>7895</v>
      </c>
      <c r="AU415">
        <v>2019</v>
      </c>
      <c r="AV415">
        <v>124</v>
      </c>
      <c r="AW415">
        <v>3</v>
      </c>
      <c r="AX415" t="s">
        <v>74</v>
      </c>
      <c r="AY415" t="s">
        <v>74</v>
      </c>
      <c r="AZ415" t="s">
        <v>74</v>
      </c>
      <c r="BA415" t="s">
        <v>74</v>
      </c>
      <c r="BB415">
        <v>1544</v>
      </c>
      <c r="BC415">
        <v>1565</v>
      </c>
      <c r="BD415" t="s">
        <v>74</v>
      </c>
      <c r="BE415" t="s">
        <v>8354</v>
      </c>
      <c r="BF415" t="str">
        <f>HYPERLINK("http://dx.doi.org/10.1029/2018JC014773","http://dx.doi.org/10.1029/2018JC014773")</f>
        <v>http://dx.doi.org/10.1029/2018JC014773</v>
      </c>
      <c r="BG415" t="s">
        <v>74</v>
      </c>
      <c r="BH415" t="s">
        <v>74</v>
      </c>
      <c r="BI415">
        <v>22</v>
      </c>
      <c r="BJ415" t="s">
        <v>277</v>
      </c>
      <c r="BK415" t="s">
        <v>102</v>
      </c>
      <c r="BL415" t="s">
        <v>277</v>
      </c>
      <c r="BM415" t="s">
        <v>8355</v>
      </c>
      <c r="BN415">
        <v>35865970</v>
      </c>
      <c r="BO415" t="s">
        <v>2808</v>
      </c>
      <c r="BP415" t="s">
        <v>74</v>
      </c>
      <c r="BQ415" t="s">
        <v>74</v>
      </c>
      <c r="BR415" t="s">
        <v>107</v>
      </c>
      <c r="BS415" t="s">
        <v>8356</v>
      </c>
      <c r="BT415" t="str">
        <f>HYPERLINK("https%3A%2F%2Fwww.webofscience.com%2Fwos%2Fwoscc%2Ffull-record%2FWOS:000464656900011","View Full Record in Web of Science")</f>
        <v>View Full Record in Web of Science</v>
      </c>
    </row>
    <row r="416" spans="1:72" x14ac:dyDescent="0.15">
      <c r="A416" t="s">
        <v>72</v>
      </c>
      <c r="B416" t="s">
        <v>8357</v>
      </c>
      <c r="C416" t="s">
        <v>74</v>
      </c>
      <c r="D416" t="s">
        <v>74</v>
      </c>
      <c r="E416" t="s">
        <v>74</v>
      </c>
      <c r="F416" t="s">
        <v>8358</v>
      </c>
      <c r="G416" t="s">
        <v>74</v>
      </c>
      <c r="H416" t="s">
        <v>74</v>
      </c>
      <c r="I416" t="s">
        <v>8359</v>
      </c>
      <c r="J416" t="s">
        <v>3142</v>
      </c>
      <c r="K416" t="s">
        <v>74</v>
      </c>
      <c r="L416" t="s">
        <v>74</v>
      </c>
      <c r="M416" t="s">
        <v>78</v>
      </c>
      <c r="N416" t="s">
        <v>79</v>
      </c>
      <c r="O416" t="s">
        <v>74</v>
      </c>
      <c r="P416" t="s">
        <v>74</v>
      </c>
      <c r="Q416" t="s">
        <v>74</v>
      </c>
      <c r="R416" t="s">
        <v>74</v>
      </c>
      <c r="S416" t="s">
        <v>74</v>
      </c>
      <c r="T416" t="s">
        <v>8360</v>
      </c>
      <c r="U416" t="s">
        <v>8361</v>
      </c>
      <c r="V416" t="s">
        <v>8362</v>
      </c>
      <c r="W416" t="s">
        <v>8363</v>
      </c>
      <c r="X416" t="s">
        <v>8364</v>
      </c>
      <c r="Y416" t="s">
        <v>8365</v>
      </c>
      <c r="Z416" t="s">
        <v>8366</v>
      </c>
      <c r="AA416" t="s">
        <v>8367</v>
      </c>
      <c r="AB416" t="s">
        <v>8368</v>
      </c>
      <c r="AC416" t="s">
        <v>8369</v>
      </c>
      <c r="AD416" t="s">
        <v>8370</v>
      </c>
      <c r="AE416" t="s">
        <v>8371</v>
      </c>
      <c r="AF416" t="s">
        <v>74</v>
      </c>
      <c r="AG416">
        <v>54</v>
      </c>
      <c r="AH416">
        <v>15</v>
      </c>
      <c r="AI416">
        <v>17</v>
      </c>
      <c r="AJ416">
        <v>1</v>
      </c>
      <c r="AK416">
        <v>8</v>
      </c>
      <c r="AL416" t="s">
        <v>125</v>
      </c>
      <c r="AM416" t="s">
        <v>126</v>
      </c>
      <c r="AN416" t="s">
        <v>127</v>
      </c>
      <c r="AO416" t="s">
        <v>3155</v>
      </c>
      <c r="AP416" t="s">
        <v>3156</v>
      </c>
      <c r="AQ416" t="s">
        <v>74</v>
      </c>
      <c r="AR416" t="s">
        <v>3157</v>
      </c>
      <c r="AS416" t="s">
        <v>3158</v>
      </c>
      <c r="AT416" t="s">
        <v>7895</v>
      </c>
      <c r="AU416">
        <v>2019</v>
      </c>
      <c r="AV416">
        <v>124</v>
      </c>
      <c r="AW416">
        <v>3</v>
      </c>
      <c r="AX416" t="s">
        <v>74</v>
      </c>
      <c r="AY416" t="s">
        <v>74</v>
      </c>
      <c r="AZ416" t="s">
        <v>74</v>
      </c>
      <c r="BA416" t="s">
        <v>74</v>
      </c>
      <c r="BB416">
        <v>1595</v>
      </c>
      <c r="BC416">
        <v>1615</v>
      </c>
      <c r="BD416" t="s">
        <v>74</v>
      </c>
      <c r="BE416" t="s">
        <v>8372</v>
      </c>
      <c r="BF416" t="str">
        <f>HYPERLINK("http://dx.doi.org/10.1029/2018JC014227","http://dx.doi.org/10.1029/2018JC014227")</f>
        <v>http://dx.doi.org/10.1029/2018JC014227</v>
      </c>
      <c r="BG416" t="s">
        <v>74</v>
      </c>
      <c r="BH416" t="s">
        <v>74</v>
      </c>
      <c r="BI416">
        <v>21</v>
      </c>
      <c r="BJ416" t="s">
        <v>277</v>
      </c>
      <c r="BK416" t="s">
        <v>102</v>
      </c>
      <c r="BL416" t="s">
        <v>277</v>
      </c>
      <c r="BM416" t="s">
        <v>8355</v>
      </c>
      <c r="BN416" t="s">
        <v>74</v>
      </c>
      <c r="BO416" t="s">
        <v>74</v>
      </c>
      <c r="BP416" t="s">
        <v>74</v>
      </c>
      <c r="BQ416" t="s">
        <v>74</v>
      </c>
      <c r="BR416" t="s">
        <v>107</v>
      </c>
      <c r="BS416" t="s">
        <v>8373</v>
      </c>
      <c r="BT416" t="str">
        <f>HYPERLINK("https%3A%2F%2Fwww.webofscience.com%2Fwos%2Fwoscc%2Ffull-record%2FWOS:000464656900014","View Full Record in Web of Science")</f>
        <v>View Full Record in Web of Science</v>
      </c>
    </row>
    <row r="417" spans="1:72" x14ac:dyDescent="0.15">
      <c r="A417" t="s">
        <v>72</v>
      </c>
      <c r="B417" t="s">
        <v>8374</v>
      </c>
      <c r="C417" t="s">
        <v>74</v>
      </c>
      <c r="D417" t="s">
        <v>74</v>
      </c>
      <c r="E417" t="s">
        <v>74</v>
      </c>
      <c r="F417" t="s">
        <v>8375</v>
      </c>
      <c r="G417" t="s">
        <v>74</v>
      </c>
      <c r="H417" t="s">
        <v>74</v>
      </c>
      <c r="I417" t="s">
        <v>8376</v>
      </c>
      <c r="J417" t="s">
        <v>3142</v>
      </c>
      <c r="K417" t="s">
        <v>74</v>
      </c>
      <c r="L417" t="s">
        <v>74</v>
      </c>
      <c r="M417" t="s">
        <v>78</v>
      </c>
      <c r="N417" t="s">
        <v>79</v>
      </c>
      <c r="O417" t="s">
        <v>74</v>
      </c>
      <c r="P417" t="s">
        <v>74</v>
      </c>
      <c r="Q417" t="s">
        <v>74</v>
      </c>
      <c r="R417" t="s">
        <v>74</v>
      </c>
      <c r="S417" t="s">
        <v>74</v>
      </c>
      <c r="T417" t="s">
        <v>74</v>
      </c>
      <c r="U417" t="s">
        <v>8377</v>
      </c>
      <c r="V417" t="s">
        <v>8378</v>
      </c>
      <c r="W417" t="s">
        <v>8379</v>
      </c>
      <c r="X417" t="s">
        <v>8380</v>
      </c>
      <c r="Y417" t="s">
        <v>8381</v>
      </c>
      <c r="Z417" t="s">
        <v>8382</v>
      </c>
      <c r="AA417" t="s">
        <v>8383</v>
      </c>
      <c r="AB417" t="s">
        <v>8384</v>
      </c>
      <c r="AC417" t="s">
        <v>8385</v>
      </c>
      <c r="AD417" t="s">
        <v>8386</v>
      </c>
      <c r="AE417" t="s">
        <v>8387</v>
      </c>
      <c r="AF417" t="s">
        <v>74</v>
      </c>
      <c r="AG417">
        <v>130</v>
      </c>
      <c r="AH417">
        <v>15</v>
      </c>
      <c r="AI417">
        <v>16</v>
      </c>
      <c r="AJ417">
        <v>1</v>
      </c>
      <c r="AK417">
        <v>8</v>
      </c>
      <c r="AL417" t="s">
        <v>125</v>
      </c>
      <c r="AM417" t="s">
        <v>126</v>
      </c>
      <c r="AN417" t="s">
        <v>127</v>
      </c>
      <c r="AO417" t="s">
        <v>3155</v>
      </c>
      <c r="AP417" t="s">
        <v>3156</v>
      </c>
      <c r="AQ417" t="s">
        <v>74</v>
      </c>
      <c r="AR417" t="s">
        <v>3157</v>
      </c>
      <c r="AS417" t="s">
        <v>3158</v>
      </c>
      <c r="AT417" t="s">
        <v>7895</v>
      </c>
      <c r="AU417">
        <v>2019</v>
      </c>
      <c r="AV417">
        <v>124</v>
      </c>
      <c r="AW417">
        <v>3</v>
      </c>
      <c r="AX417" t="s">
        <v>74</v>
      </c>
      <c r="AY417" t="s">
        <v>74</v>
      </c>
      <c r="AZ417" t="s">
        <v>74</v>
      </c>
      <c r="BA417" t="s">
        <v>74</v>
      </c>
      <c r="BB417">
        <v>1634</v>
      </c>
      <c r="BC417">
        <v>1659</v>
      </c>
      <c r="BD417" t="s">
        <v>74</v>
      </c>
      <c r="BE417" t="s">
        <v>8388</v>
      </c>
      <c r="BF417" t="str">
        <f>HYPERLINK("http://dx.doi.org/10.1029/2018JC014554","http://dx.doi.org/10.1029/2018JC014554")</f>
        <v>http://dx.doi.org/10.1029/2018JC014554</v>
      </c>
      <c r="BG417" t="s">
        <v>74</v>
      </c>
      <c r="BH417" t="s">
        <v>74</v>
      </c>
      <c r="BI417">
        <v>26</v>
      </c>
      <c r="BJ417" t="s">
        <v>277</v>
      </c>
      <c r="BK417" t="s">
        <v>102</v>
      </c>
      <c r="BL417" t="s">
        <v>277</v>
      </c>
      <c r="BM417" t="s">
        <v>8355</v>
      </c>
      <c r="BN417" t="s">
        <v>74</v>
      </c>
      <c r="BO417" t="s">
        <v>925</v>
      </c>
      <c r="BP417" t="s">
        <v>74</v>
      </c>
      <c r="BQ417" t="s">
        <v>74</v>
      </c>
      <c r="BR417" t="s">
        <v>107</v>
      </c>
      <c r="BS417" t="s">
        <v>8389</v>
      </c>
      <c r="BT417" t="str">
        <f>HYPERLINK("https%3A%2F%2Fwww.webofscience.com%2Fwos%2Fwoscc%2Ffull-record%2FWOS:000464656900016","View Full Record in Web of Science")</f>
        <v>View Full Record in Web of Science</v>
      </c>
    </row>
    <row r="418" spans="1:72" x14ac:dyDescent="0.15">
      <c r="A418" t="s">
        <v>72</v>
      </c>
      <c r="B418" t="s">
        <v>8390</v>
      </c>
      <c r="C418" t="s">
        <v>74</v>
      </c>
      <c r="D418" t="s">
        <v>74</v>
      </c>
      <c r="E418" t="s">
        <v>74</v>
      </c>
      <c r="F418" t="s">
        <v>8391</v>
      </c>
      <c r="G418" t="s">
        <v>74</v>
      </c>
      <c r="H418" t="s">
        <v>74</v>
      </c>
      <c r="I418" t="s">
        <v>8392</v>
      </c>
      <c r="J418" t="s">
        <v>3142</v>
      </c>
      <c r="K418" t="s">
        <v>74</v>
      </c>
      <c r="L418" t="s">
        <v>74</v>
      </c>
      <c r="M418" t="s">
        <v>78</v>
      </c>
      <c r="N418" t="s">
        <v>79</v>
      </c>
      <c r="O418" t="s">
        <v>74</v>
      </c>
      <c r="P418" t="s">
        <v>74</v>
      </c>
      <c r="Q418" t="s">
        <v>74</v>
      </c>
      <c r="R418" t="s">
        <v>74</v>
      </c>
      <c r="S418" t="s">
        <v>74</v>
      </c>
      <c r="T418" t="s">
        <v>8393</v>
      </c>
      <c r="U418" t="s">
        <v>8394</v>
      </c>
      <c r="V418" t="s">
        <v>8395</v>
      </c>
      <c r="W418" t="s">
        <v>8396</v>
      </c>
      <c r="X418" t="s">
        <v>8397</v>
      </c>
      <c r="Y418" t="s">
        <v>8398</v>
      </c>
      <c r="Z418" t="s">
        <v>8399</v>
      </c>
      <c r="AA418" t="s">
        <v>8400</v>
      </c>
      <c r="AB418" t="s">
        <v>8401</v>
      </c>
      <c r="AC418" t="s">
        <v>8402</v>
      </c>
      <c r="AD418" t="s">
        <v>8403</v>
      </c>
      <c r="AE418" t="s">
        <v>8404</v>
      </c>
      <c r="AF418" t="s">
        <v>74</v>
      </c>
      <c r="AG418">
        <v>66</v>
      </c>
      <c r="AH418">
        <v>36</v>
      </c>
      <c r="AI418">
        <v>39</v>
      </c>
      <c r="AJ418">
        <v>0</v>
      </c>
      <c r="AK418">
        <v>23</v>
      </c>
      <c r="AL418" t="s">
        <v>125</v>
      </c>
      <c r="AM418" t="s">
        <v>126</v>
      </c>
      <c r="AN418" t="s">
        <v>127</v>
      </c>
      <c r="AO418" t="s">
        <v>3155</v>
      </c>
      <c r="AP418" t="s">
        <v>3156</v>
      </c>
      <c r="AQ418" t="s">
        <v>74</v>
      </c>
      <c r="AR418" t="s">
        <v>3157</v>
      </c>
      <c r="AS418" t="s">
        <v>3158</v>
      </c>
      <c r="AT418" t="s">
        <v>7895</v>
      </c>
      <c r="AU418">
        <v>2019</v>
      </c>
      <c r="AV418">
        <v>124</v>
      </c>
      <c r="AW418">
        <v>3</v>
      </c>
      <c r="AX418" t="s">
        <v>74</v>
      </c>
      <c r="AY418" t="s">
        <v>74</v>
      </c>
      <c r="AZ418" t="s">
        <v>74</v>
      </c>
      <c r="BA418" t="s">
        <v>74</v>
      </c>
      <c r="BB418">
        <v>1778</v>
      </c>
      <c r="BC418">
        <v>1794</v>
      </c>
      <c r="BD418" t="s">
        <v>74</v>
      </c>
      <c r="BE418" t="s">
        <v>8405</v>
      </c>
      <c r="BF418" t="str">
        <f>HYPERLINK("http://dx.doi.org/10.1029/2018JC014775","http://dx.doi.org/10.1029/2018JC014775")</f>
        <v>http://dx.doi.org/10.1029/2018JC014775</v>
      </c>
      <c r="BG418" t="s">
        <v>74</v>
      </c>
      <c r="BH418" t="s">
        <v>74</v>
      </c>
      <c r="BI418">
        <v>17</v>
      </c>
      <c r="BJ418" t="s">
        <v>277</v>
      </c>
      <c r="BK418" t="s">
        <v>102</v>
      </c>
      <c r="BL418" t="s">
        <v>277</v>
      </c>
      <c r="BM418" t="s">
        <v>8355</v>
      </c>
      <c r="BN418" t="s">
        <v>74</v>
      </c>
      <c r="BO418" t="s">
        <v>198</v>
      </c>
      <c r="BP418" t="s">
        <v>74</v>
      </c>
      <c r="BQ418" t="s">
        <v>74</v>
      </c>
      <c r="BR418" t="s">
        <v>107</v>
      </c>
      <c r="BS418" t="s">
        <v>8406</v>
      </c>
      <c r="BT418" t="str">
        <f>HYPERLINK("https%3A%2F%2Fwww.webofscience.com%2Fwos%2Fwoscc%2Ffull-record%2FWOS:000464656900024","View Full Record in Web of Science")</f>
        <v>View Full Record in Web of Science</v>
      </c>
    </row>
    <row r="419" spans="1:72" x14ac:dyDescent="0.15">
      <c r="A419" t="s">
        <v>72</v>
      </c>
      <c r="B419" t="s">
        <v>8407</v>
      </c>
      <c r="C419" t="s">
        <v>74</v>
      </c>
      <c r="D419" t="s">
        <v>74</v>
      </c>
      <c r="E419" t="s">
        <v>74</v>
      </c>
      <c r="F419" t="s">
        <v>8408</v>
      </c>
      <c r="G419" t="s">
        <v>74</v>
      </c>
      <c r="H419" t="s">
        <v>74</v>
      </c>
      <c r="I419" t="s">
        <v>8409</v>
      </c>
      <c r="J419" t="s">
        <v>3142</v>
      </c>
      <c r="K419" t="s">
        <v>74</v>
      </c>
      <c r="L419" t="s">
        <v>74</v>
      </c>
      <c r="M419" t="s">
        <v>78</v>
      </c>
      <c r="N419" t="s">
        <v>79</v>
      </c>
      <c r="O419" t="s">
        <v>74</v>
      </c>
      <c r="P419" t="s">
        <v>74</v>
      </c>
      <c r="Q419" t="s">
        <v>74</v>
      </c>
      <c r="R419" t="s">
        <v>74</v>
      </c>
      <c r="S419" t="s">
        <v>74</v>
      </c>
      <c r="T419" t="s">
        <v>8410</v>
      </c>
      <c r="U419" t="s">
        <v>8411</v>
      </c>
      <c r="V419" t="s">
        <v>8412</v>
      </c>
      <c r="W419" t="s">
        <v>8413</v>
      </c>
      <c r="X419" t="s">
        <v>8414</v>
      </c>
      <c r="Y419" t="s">
        <v>8415</v>
      </c>
      <c r="Z419" t="s">
        <v>8416</v>
      </c>
      <c r="AA419" t="s">
        <v>8417</v>
      </c>
      <c r="AB419" t="s">
        <v>8418</v>
      </c>
      <c r="AC419" t="s">
        <v>8419</v>
      </c>
      <c r="AD419" t="s">
        <v>1898</v>
      </c>
      <c r="AE419" t="s">
        <v>8420</v>
      </c>
      <c r="AF419" t="s">
        <v>74</v>
      </c>
      <c r="AG419">
        <v>48</v>
      </c>
      <c r="AH419">
        <v>10</v>
      </c>
      <c r="AI419">
        <v>11</v>
      </c>
      <c r="AJ419">
        <v>2</v>
      </c>
      <c r="AK419">
        <v>17</v>
      </c>
      <c r="AL419" t="s">
        <v>125</v>
      </c>
      <c r="AM419" t="s">
        <v>126</v>
      </c>
      <c r="AN419" t="s">
        <v>127</v>
      </c>
      <c r="AO419" t="s">
        <v>3155</v>
      </c>
      <c r="AP419" t="s">
        <v>3156</v>
      </c>
      <c r="AQ419" t="s">
        <v>74</v>
      </c>
      <c r="AR419" t="s">
        <v>3157</v>
      </c>
      <c r="AS419" t="s">
        <v>3158</v>
      </c>
      <c r="AT419" t="s">
        <v>7895</v>
      </c>
      <c r="AU419">
        <v>2019</v>
      </c>
      <c r="AV419">
        <v>124</v>
      </c>
      <c r="AW419">
        <v>3</v>
      </c>
      <c r="AX419" t="s">
        <v>74</v>
      </c>
      <c r="AY419" t="s">
        <v>74</v>
      </c>
      <c r="AZ419" t="s">
        <v>74</v>
      </c>
      <c r="BA419" t="s">
        <v>74</v>
      </c>
      <c r="BB419">
        <v>2218</v>
      </c>
      <c r="BC419">
        <v>2238</v>
      </c>
      <c r="BD419" t="s">
        <v>74</v>
      </c>
      <c r="BE419" t="s">
        <v>8421</v>
      </c>
      <c r="BF419" t="str">
        <f>HYPERLINK("http://dx.doi.org/10.1029/2018JC014569","http://dx.doi.org/10.1029/2018JC014569")</f>
        <v>http://dx.doi.org/10.1029/2018JC014569</v>
      </c>
      <c r="BG419" t="s">
        <v>74</v>
      </c>
      <c r="BH419" t="s">
        <v>74</v>
      </c>
      <c r="BI419">
        <v>21</v>
      </c>
      <c r="BJ419" t="s">
        <v>277</v>
      </c>
      <c r="BK419" t="s">
        <v>102</v>
      </c>
      <c r="BL419" t="s">
        <v>277</v>
      </c>
      <c r="BM419" t="s">
        <v>8355</v>
      </c>
      <c r="BN419" t="s">
        <v>74</v>
      </c>
      <c r="BO419" t="s">
        <v>198</v>
      </c>
      <c r="BP419" t="s">
        <v>74</v>
      </c>
      <c r="BQ419" t="s">
        <v>74</v>
      </c>
      <c r="BR419" t="s">
        <v>107</v>
      </c>
      <c r="BS419" t="s">
        <v>8422</v>
      </c>
      <c r="BT419" t="str">
        <f>HYPERLINK("https%3A%2F%2Fwww.webofscience.com%2Fwos%2Fwoscc%2Ffull-record%2FWOS:000464656900047","View Full Record in Web of Science")</f>
        <v>View Full Record in Web of Science</v>
      </c>
    </row>
    <row r="420" spans="1:72" x14ac:dyDescent="0.15">
      <c r="A420" t="s">
        <v>72</v>
      </c>
      <c r="B420" t="s">
        <v>8423</v>
      </c>
      <c r="C420" t="s">
        <v>74</v>
      </c>
      <c r="D420" t="s">
        <v>74</v>
      </c>
      <c r="E420" t="s">
        <v>74</v>
      </c>
      <c r="F420" t="s">
        <v>8424</v>
      </c>
      <c r="G420" t="s">
        <v>74</v>
      </c>
      <c r="H420" t="s">
        <v>74</v>
      </c>
      <c r="I420" t="s">
        <v>8425</v>
      </c>
      <c r="J420" t="s">
        <v>8426</v>
      </c>
      <c r="K420" t="s">
        <v>74</v>
      </c>
      <c r="L420" t="s">
        <v>74</v>
      </c>
      <c r="M420" t="s">
        <v>78</v>
      </c>
      <c r="N420" t="s">
        <v>79</v>
      </c>
      <c r="O420" t="s">
        <v>74</v>
      </c>
      <c r="P420" t="s">
        <v>74</v>
      </c>
      <c r="Q420" t="s">
        <v>74</v>
      </c>
      <c r="R420" t="s">
        <v>74</v>
      </c>
      <c r="S420" t="s">
        <v>74</v>
      </c>
      <c r="T420" t="s">
        <v>8427</v>
      </c>
      <c r="U420" t="s">
        <v>8428</v>
      </c>
      <c r="V420" t="s">
        <v>8429</v>
      </c>
      <c r="W420" t="s">
        <v>8430</v>
      </c>
      <c r="X420" t="s">
        <v>8431</v>
      </c>
      <c r="Y420" t="s">
        <v>8432</v>
      </c>
      <c r="Z420" t="s">
        <v>8433</v>
      </c>
      <c r="AA420" t="s">
        <v>8434</v>
      </c>
      <c r="AB420" t="s">
        <v>8435</v>
      </c>
      <c r="AC420" t="s">
        <v>8436</v>
      </c>
      <c r="AD420" t="s">
        <v>8437</v>
      </c>
      <c r="AE420" t="s">
        <v>8438</v>
      </c>
      <c r="AF420" t="s">
        <v>74</v>
      </c>
      <c r="AG420">
        <v>87</v>
      </c>
      <c r="AH420">
        <v>9</v>
      </c>
      <c r="AI420">
        <v>10</v>
      </c>
      <c r="AJ420">
        <v>3</v>
      </c>
      <c r="AK420">
        <v>9</v>
      </c>
      <c r="AL420" t="s">
        <v>125</v>
      </c>
      <c r="AM420" t="s">
        <v>126</v>
      </c>
      <c r="AN420" t="s">
        <v>127</v>
      </c>
      <c r="AO420" t="s">
        <v>8439</v>
      </c>
      <c r="AP420" t="s">
        <v>8440</v>
      </c>
      <c r="AQ420" t="s">
        <v>74</v>
      </c>
      <c r="AR420" t="s">
        <v>8441</v>
      </c>
      <c r="AS420" t="s">
        <v>8442</v>
      </c>
      <c r="AT420" t="s">
        <v>7895</v>
      </c>
      <c r="AU420">
        <v>2019</v>
      </c>
      <c r="AV420">
        <v>124</v>
      </c>
      <c r="AW420">
        <v>3</v>
      </c>
      <c r="AX420" t="s">
        <v>74</v>
      </c>
      <c r="AY420" t="s">
        <v>74</v>
      </c>
      <c r="AZ420" t="s">
        <v>74</v>
      </c>
      <c r="BA420" t="s">
        <v>74</v>
      </c>
      <c r="BB420">
        <v>2297</v>
      </c>
      <c r="BC420">
        <v>2312</v>
      </c>
      <c r="BD420" t="s">
        <v>74</v>
      </c>
      <c r="BE420" t="s">
        <v>8443</v>
      </c>
      <c r="BF420" t="str">
        <f>HYPERLINK("http://dx.doi.org/10.1029/2018JB016865","http://dx.doi.org/10.1029/2018JB016865")</f>
        <v>http://dx.doi.org/10.1029/2018JB016865</v>
      </c>
      <c r="BG420" t="s">
        <v>74</v>
      </c>
      <c r="BH420" t="s">
        <v>74</v>
      </c>
      <c r="BI420">
        <v>16</v>
      </c>
      <c r="BJ420" t="s">
        <v>643</v>
      </c>
      <c r="BK420" t="s">
        <v>102</v>
      </c>
      <c r="BL420" t="s">
        <v>643</v>
      </c>
      <c r="BM420" t="s">
        <v>8444</v>
      </c>
      <c r="BN420" t="s">
        <v>74</v>
      </c>
      <c r="BO420" t="s">
        <v>2808</v>
      </c>
      <c r="BP420" t="s">
        <v>74</v>
      </c>
      <c r="BQ420" t="s">
        <v>74</v>
      </c>
      <c r="BR420" t="s">
        <v>107</v>
      </c>
      <c r="BS420" t="s">
        <v>8445</v>
      </c>
      <c r="BT420" t="str">
        <f>HYPERLINK("https%3A%2F%2Fwww.webofscience.com%2Fwos%2Fwoscc%2Ffull-record%2FWOS:000464922800005","View Full Record in Web of Science")</f>
        <v>View Full Record in Web of Science</v>
      </c>
    </row>
    <row r="421" spans="1:72" x14ac:dyDescent="0.15">
      <c r="A421" t="s">
        <v>72</v>
      </c>
      <c r="B421" t="s">
        <v>8446</v>
      </c>
      <c r="C421" t="s">
        <v>74</v>
      </c>
      <c r="D421" t="s">
        <v>74</v>
      </c>
      <c r="E421" t="s">
        <v>74</v>
      </c>
      <c r="F421" t="s">
        <v>8447</v>
      </c>
      <c r="G421" t="s">
        <v>74</v>
      </c>
      <c r="H421" t="s">
        <v>74</v>
      </c>
      <c r="I421" t="s">
        <v>8448</v>
      </c>
      <c r="J421" t="s">
        <v>8449</v>
      </c>
      <c r="K421" t="s">
        <v>74</v>
      </c>
      <c r="L421" t="s">
        <v>74</v>
      </c>
      <c r="M421" t="s">
        <v>78</v>
      </c>
      <c r="N421" t="s">
        <v>79</v>
      </c>
      <c r="O421" t="s">
        <v>74</v>
      </c>
      <c r="P421" t="s">
        <v>74</v>
      </c>
      <c r="Q421" t="s">
        <v>74</v>
      </c>
      <c r="R421" t="s">
        <v>74</v>
      </c>
      <c r="S421" t="s">
        <v>74</v>
      </c>
      <c r="T421" t="s">
        <v>8450</v>
      </c>
      <c r="U421" t="s">
        <v>8451</v>
      </c>
      <c r="V421" t="s">
        <v>8452</v>
      </c>
      <c r="W421" t="s">
        <v>8453</v>
      </c>
      <c r="X421" t="s">
        <v>8454</v>
      </c>
      <c r="Y421" t="s">
        <v>8455</v>
      </c>
      <c r="Z421" t="s">
        <v>8456</v>
      </c>
      <c r="AA421" t="s">
        <v>8457</v>
      </c>
      <c r="AB421" t="s">
        <v>8458</v>
      </c>
      <c r="AC421" t="s">
        <v>8459</v>
      </c>
      <c r="AD421" t="s">
        <v>8160</v>
      </c>
      <c r="AE421" t="s">
        <v>8460</v>
      </c>
      <c r="AF421" t="s">
        <v>74</v>
      </c>
      <c r="AG421">
        <v>26</v>
      </c>
      <c r="AH421">
        <v>21</v>
      </c>
      <c r="AI421">
        <v>22</v>
      </c>
      <c r="AJ421">
        <v>0</v>
      </c>
      <c r="AK421">
        <v>10</v>
      </c>
      <c r="AL421" t="s">
        <v>125</v>
      </c>
      <c r="AM421" t="s">
        <v>126</v>
      </c>
      <c r="AN421" t="s">
        <v>127</v>
      </c>
      <c r="AO421" t="s">
        <v>8461</v>
      </c>
      <c r="AP421" t="s">
        <v>74</v>
      </c>
      <c r="AQ421" t="s">
        <v>74</v>
      </c>
      <c r="AR421" t="s">
        <v>8462</v>
      </c>
      <c r="AS421" t="s">
        <v>8463</v>
      </c>
      <c r="AT421" t="s">
        <v>7895</v>
      </c>
      <c r="AU421">
        <v>2019</v>
      </c>
      <c r="AV421">
        <v>17</v>
      </c>
      <c r="AW421">
        <v>3</v>
      </c>
      <c r="AX421" t="s">
        <v>74</v>
      </c>
      <c r="AY421" t="s">
        <v>74</v>
      </c>
      <c r="AZ421" t="s">
        <v>74</v>
      </c>
      <c r="BA421" t="s">
        <v>74</v>
      </c>
      <c r="BB421">
        <v>476</v>
      </c>
      <c r="BC421">
        <v>486</v>
      </c>
      <c r="BD421" t="s">
        <v>74</v>
      </c>
      <c r="BE421" t="s">
        <v>8464</v>
      </c>
      <c r="BF421" t="str">
        <f>HYPERLINK("http://dx.doi.org/10.1029/2018SW002113","http://dx.doi.org/10.1029/2018SW002113")</f>
        <v>http://dx.doi.org/10.1029/2018SW002113</v>
      </c>
      <c r="BG421" t="s">
        <v>74</v>
      </c>
      <c r="BH421" t="s">
        <v>74</v>
      </c>
      <c r="BI421">
        <v>11</v>
      </c>
      <c r="BJ421" t="s">
        <v>8465</v>
      </c>
      <c r="BK421" t="s">
        <v>102</v>
      </c>
      <c r="BL421" t="s">
        <v>8465</v>
      </c>
      <c r="BM421" t="s">
        <v>8466</v>
      </c>
      <c r="BN421" t="s">
        <v>74</v>
      </c>
      <c r="BO421" t="s">
        <v>279</v>
      </c>
      <c r="BP421" t="s">
        <v>74</v>
      </c>
      <c r="BQ421" t="s">
        <v>74</v>
      </c>
      <c r="BR421" t="s">
        <v>107</v>
      </c>
      <c r="BS421" t="s">
        <v>8467</v>
      </c>
      <c r="BT421" t="str">
        <f>HYPERLINK("https%3A%2F%2Fwww.webofscience.com%2Fwos%2Fwoscc%2Ffull-record%2FWOS:000464657700007","View Full Record in Web of Science")</f>
        <v>View Full Record in Web of Science</v>
      </c>
    </row>
    <row r="422" spans="1:72" x14ac:dyDescent="0.15">
      <c r="A422" t="s">
        <v>72</v>
      </c>
      <c r="B422" t="s">
        <v>8468</v>
      </c>
      <c r="C422" t="s">
        <v>74</v>
      </c>
      <c r="D422" t="s">
        <v>74</v>
      </c>
      <c r="E422" t="s">
        <v>74</v>
      </c>
      <c r="F422" t="s">
        <v>8469</v>
      </c>
      <c r="G422" t="s">
        <v>74</v>
      </c>
      <c r="H422" t="s">
        <v>74</v>
      </c>
      <c r="I422" t="s">
        <v>8470</v>
      </c>
      <c r="J422" t="s">
        <v>2676</v>
      </c>
      <c r="K422" t="s">
        <v>74</v>
      </c>
      <c r="L422" t="s">
        <v>74</v>
      </c>
      <c r="M422" t="s">
        <v>78</v>
      </c>
      <c r="N422" t="s">
        <v>79</v>
      </c>
      <c r="O422" t="s">
        <v>74</v>
      </c>
      <c r="P422" t="s">
        <v>74</v>
      </c>
      <c r="Q422" t="s">
        <v>74</v>
      </c>
      <c r="R422" t="s">
        <v>74</v>
      </c>
      <c r="S422" t="s">
        <v>74</v>
      </c>
      <c r="T422" t="s">
        <v>8471</v>
      </c>
      <c r="U422" t="s">
        <v>8472</v>
      </c>
      <c r="V422" t="s">
        <v>8473</v>
      </c>
      <c r="W422" t="s">
        <v>8474</v>
      </c>
      <c r="X422" t="s">
        <v>8475</v>
      </c>
      <c r="Y422" t="s">
        <v>8476</v>
      </c>
      <c r="Z422" t="s">
        <v>8477</v>
      </c>
      <c r="AA422" t="s">
        <v>8478</v>
      </c>
      <c r="AB422" t="s">
        <v>8479</v>
      </c>
      <c r="AC422" t="s">
        <v>8480</v>
      </c>
      <c r="AD422" t="s">
        <v>8481</v>
      </c>
      <c r="AE422" t="s">
        <v>8482</v>
      </c>
      <c r="AF422" t="s">
        <v>74</v>
      </c>
      <c r="AG422">
        <v>79</v>
      </c>
      <c r="AH422">
        <v>17</v>
      </c>
      <c r="AI422">
        <v>17</v>
      </c>
      <c r="AJ422">
        <v>1</v>
      </c>
      <c r="AK422">
        <v>23</v>
      </c>
      <c r="AL422" t="s">
        <v>125</v>
      </c>
      <c r="AM422" t="s">
        <v>126</v>
      </c>
      <c r="AN422" t="s">
        <v>127</v>
      </c>
      <c r="AO422" t="s">
        <v>74</v>
      </c>
      <c r="AP422" t="s">
        <v>2688</v>
      </c>
      <c r="AQ422" t="s">
        <v>74</v>
      </c>
      <c r="AR422" t="s">
        <v>2689</v>
      </c>
      <c r="AS422" t="s">
        <v>2690</v>
      </c>
      <c r="AT422" t="s">
        <v>7895</v>
      </c>
      <c r="AU422">
        <v>2019</v>
      </c>
      <c r="AV422">
        <v>20</v>
      </c>
      <c r="AW422">
        <v>3</v>
      </c>
      <c r="AX422" t="s">
        <v>74</v>
      </c>
      <c r="AY422" t="s">
        <v>74</v>
      </c>
      <c r="AZ422" t="s">
        <v>74</v>
      </c>
      <c r="BA422" t="s">
        <v>74</v>
      </c>
      <c r="BB422">
        <v>1592</v>
      </c>
      <c r="BC422">
        <v>1608</v>
      </c>
      <c r="BD422" t="s">
        <v>74</v>
      </c>
      <c r="BE422" t="s">
        <v>8483</v>
      </c>
      <c r="BF422" t="str">
        <f>HYPERLINK("http://dx.doi.org/10.1029/2018GC008179","http://dx.doi.org/10.1029/2018GC008179")</f>
        <v>http://dx.doi.org/10.1029/2018GC008179</v>
      </c>
      <c r="BG422" t="s">
        <v>74</v>
      </c>
      <c r="BH422" t="s">
        <v>74</v>
      </c>
      <c r="BI422">
        <v>17</v>
      </c>
      <c r="BJ422" t="s">
        <v>643</v>
      </c>
      <c r="BK422" t="s">
        <v>102</v>
      </c>
      <c r="BL422" t="s">
        <v>643</v>
      </c>
      <c r="BM422" t="s">
        <v>8484</v>
      </c>
      <c r="BN422" t="s">
        <v>74</v>
      </c>
      <c r="BO422" t="s">
        <v>925</v>
      </c>
      <c r="BP422" t="s">
        <v>74</v>
      </c>
      <c r="BQ422" t="s">
        <v>74</v>
      </c>
      <c r="BR422" t="s">
        <v>107</v>
      </c>
      <c r="BS422" t="s">
        <v>8485</v>
      </c>
      <c r="BT422" t="str">
        <f>HYPERLINK("https%3A%2F%2Fwww.webofscience.com%2Fwos%2Fwoscc%2Ffull-record%2FWOS:000464647100018","View Full Record in Web of Science")</f>
        <v>View Full Record in Web of Science</v>
      </c>
    </row>
    <row r="423" spans="1:72" x14ac:dyDescent="0.15">
      <c r="A423" t="s">
        <v>72</v>
      </c>
      <c r="B423" t="s">
        <v>8486</v>
      </c>
      <c r="C423" t="s">
        <v>74</v>
      </c>
      <c r="D423" t="s">
        <v>74</v>
      </c>
      <c r="E423" t="s">
        <v>74</v>
      </c>
      <c r="F423" t="s">
        <v>8487</v>
      </c>
      <c r="G423" t="s">
        <v>74</v>
      </c>
      <c r="H423" t="s">
        <v>74</v>
      </c>
      <c r="I423" t="s">
        <v>8488</v>
      </c>
      <c r="J423" t="s">
        <v>2676</v>
      </c>
      <c r="K423" t="s">
        <v>74</v>
      </c>
      <c r="L423" t="s">
        <v>74</v>
      </c>
      <c r="M423" t="s">
        <v>78</v>
      </c>
      <c r="N423" t="s">
        <v>79</v>
      </c>
      <c r="O423" t="s">
        <v>74</v>
      </c>
      <c r="P423" t="s">
        <v>74</v>
      </c>
      <c r="Q423" t="s">
        <v>74</v>
      </c>
      <c r="R423" t="s">
        <v>74</v>
      </c>
      <c r="S423" t="s">
        <v>74</v>
      </c>
      <c r="T423" t="s">
        <v>8489</v>
      </c>
      <c r="U423" t="s">
        <v>8490</v>
      </c>
      <c r="V423" t="s">
        <v>8491</v>
      </c>
      <c r="W423" t="s">
        <v>8492</v>
      </c>
      <c r="X423" t="s">
        <v>8493</v>
      </c>
      <c r="Y423" t="s">
        <v>8494</v>
      </c>
      <c r="Z423" t="s">
        <v>8495</v>
      </c>
      <c r="AA423" t="s">
        <v>8496</v>
      </c>
      <c r="AB423" t="s">
        <v>8497</v>
      </c>
      <c r="AC423" t="s">
        <v>8498</v>
      </c>
      <c r="AD423" t="s">
        <v>8499</v>
      </c>
      <c r="AE423" t="s">
        <v>8500</v>
      </c>
      <c r="AF423" t="s">
        <v>74</v>
      </c>
      <c r="AG423">
        <v>69</v>
      </c>
      <c r="AH423">
        <v>32</v>
      </c>
      <c r="AI423">
        <v>33</v>
      </c>
      <c r="AJ423">
        <v>1</v>
      </c>
      <c r="AK423">
        <v>22</v>
      </c>
      <c r="AL423" t="s">
        <v>125</v>
      </c>
      <c r="AM423" t="s">
        <v>126</v>
      </c>
      <c r="AN423" t="s">
        <v>127</v>
      </c>
      <c r="AO423" t="s">
        <v>74</v>
      </c>
      <c r="AP423" t="s">
        <v>2688</v>
      </c>
      <c r="AQ423" t="s">
        <v>74</v>
      </c>
      <c r="AR423" t="s">
        <v>2689</v>
      </c>
      <c r="AS423" t="s">
        <v>2690</v>
      </c>
      <c r="AT423" t="s">
        <v>7895</v>
      </c>
      <c r="AU423">
        <v>2019</v>
      </c>
      <c r="AV423">
        <v>20</v>
      </c>
      <c r="AW423">
        <v>3</v>
      </c>
      <c r="AX423" t="s">
        <v>74</v>
      </c>
      <c r="AY423" t="s">
        <v>74</v>
      </c>
      <c r="AZ423" t="s">
        <v>74</v>
      </c>
      <c r="BA423" t="s">
        <v>74</v>
      </c>
      <c r="BB423">
        <v>1629</v>
      </c>
      <c r="BC423">
        <v>1645</v>
      </c>
      <c r="BD423" t="s">
        <v>74</v>
      </c>
      <c r="BE423" t="s">
        <v>8501</v>
      </c>
      <c r="BF423" t="str">
        <f>HYPERLINK("http://dx.doi.org/10.1029/2018GC008111","http://dx.doi.org/10.1029/2018GC008111")</f>
        <v>http://dx.doi.org/10.1029/2018GC008111</v>
      </c>
      <c r="BG423" t="s">
        <v>74</v>
      </c>
      <c r="BH423" t="s">
        <v>74</v>
      </c>
      <c r="BI423">
        <v>17</v>
      </c>
      <c r="BJ423" t="s">
        <v>643</v>
      </c>
      <c r="BK423" t="s">
        <v>102</v>
      </c>
      <c r="BL423" t="s">
        <v>643</v>
      </c>
      <c r="BM423" t="s">
        <v>8484</v>
      </c>
      <c r="BN423" t="s">
        <v>74</v>
      </c>
      <c r="BO423" t="s">
        <v>1014</v>
      </c>
      <c r="BP423" t="s">
        <v>74</v>
      </c>
      <c r="BQ423" t="s">
        <v>74</v>
      </c>
      <c r="BR423" t="s">
        <v>107</v>
      </c>
      <c r="BS423" t="s">
        <v>8502</v>
      </c>
      <c r="BT423" t="str">
        <f>HYPERLINK("https%3A%2F%2Fwww.webofscience.com%2Fwos%2Fwoscc%2Ffull-record%2FWOS:000464647100020","View Full Record in Web of Science")</f>
        <v>View Full Record in Web of Science</v>
      </c>
    </row>
    <row r="424" spans="1:72" x14ac:dyDescent="0.15">
      <c r="A424" t="s">
        <v>72</v>
      </c>
      <c r="B424" t="s">
        <v>8503</v>
      </c>
      <c r="C424" t="s">
        <v>74</v>
      </c>
      <c r="D424" t="s">
        <v>74</v>
      </c>
      <c r="E424" t="s">
        <v>74</v>
      </c>
      <c r="F424" t="s">
        <v>8504</v>
      </c>
      <c r="G424" t="s">
        <v>74</v>
      </c>
      <c r="H424" t="s">
        <v>74</v>
      </c>
      <c r="I424" t="s">
        <v>8505</v>
      </c>
      <c r="J424" t="s">
        <v>2788</v>
      </c>
      <c r="K424" t="s">
        <v>74</v>
      </c>
      <c r="L424" t="s">
        <v>74</v>
      </c>
      <c r="M424" t="s">
        <v>78</v>
      </c>
      <c r="N424" t="s">
        <v>79</v>
      </c>
      <c r="O424" t="s">
        <v>74</v>
      </c>
      <c r="P424" t="s">
        <v>74</v>
      </c>
      <c r="Q424" t="s">
        <v>74</v>
      </c>
      <c r="R424" t="s">
        <v>74</v>
      </c>
      <c r="S424" t="s">
        <v>74</v>
      </c>
      <c r="T424" t="s">
        <v>74</v>
      </c>
      <c r="U424" t="s">
        <v>8506</v>
      </c>
      <c r="V424" t="s">
        <v>8507</v>
      </c>
      <c r="W424" t="s">
        <v>8508</v>
      </c>
      <c r="X424" t="s">
        <v>8509</v>
      </c>
      <c r="Y424" t="s">
        <v>8510</v>
      </c>
      <c r="Z424" t="s">
        <v>8511</v>
      </c>
      <c r="AA424" t="s">
        <v>8512</v>
      </c>
      <c r="AB424" t="s">
        <v>8513</v>
      </c>
      <c r="AC424" t="s">
        <v>8514</v>
      </c>
      <c r="AD424" t="s">
        <v>8515</v>
      </c>
      <c r="AE424" t="s">
        <v>8516</v>
      </c>
      <c r="AF424" t="s">
        <v>74</v>
      </c>
      <c r="AG424">
        <v>83</v>
      </c>
      <c r="AH424">
        <v>32</v>
      </c>
      <c r="AI424">
        <v>32</v>
      </c>
      <c r="AJ424">
        <v>0</v>
      </c>
      <c r="AK424">
        <v>36</v>
      </c>
      <c r="AL424" t="s">
        <v>125</v>
      </c>
      <c r="AM424" t="s">
        <v>126</v>
      </c>
      <c r="AN424" t="s">
        <v>127</v>
      </c>
      <c r="AO424" t="s">
        <v>2800</v>
      </c>
      <c r="AP424" t="s">
        <v>2801</v>
      </c>
      <c r="AQ424" t="s">
        <v>74</v>
      </c>
      <c r="AR424" t="s">
        <v>2802</v>
      </c>
      <c r="AS424" t="s">
        <v>2803</v>
      </c>
      <c r="AT424" t="s">
        <v>7895</v>
      </c>
      <c r="AU424">
        <v>2019</v>
      </c>
      <c r="AV424">
        <v>34</v>
      </c>
      <c r="AW424">
        <v>3</v>
      </c>
      <c r="AX424" t="s">
        <v>74</v>
      </c>
      <c r="AY424" t="s">
        <v>74</v>
      </c>
      <c r="AZ424" t="s">
        <v>74</v>
      </c>
      <c r="BA424" t="s">
        <v>74</v>
      </c>
      <c r="BB424">
        <v>316</v>
      </c>
      <c r="BC424">
        <v>328</v>
      </c>
      <c r="BD424" t="s">
        <v>74</v>
      </c>
      <c r="BE424" t="s">
        <v>8517</v>
      </c>
      <c r="BF424" t="str">
        <f>HYPERLINK("http://dx.doi.org/10.1029/2018PA003420","http://dx.doi.org/10.1029/2018PA003420")</f>
        <v>http://dx.doi.org/10.1029/2018PA003420</v>
      </c>
      <c r="BG424" t="s">
        <v>74</v>
      </c>
      <c r="BH424" t="s">
        <v>74</v>
      </c>
      <c r="BI424">
        <v>13</v>
      </c>
      <c r="BJ424" t="s">
        <v>2805</v>
      </c>
      <c r="BK424" t="s">
        <v>102</v>
      </c>
      <c r="BL424" t="s">
        <v>2806</v>
      </c>
      <c r="BM424" t="s">
        <v>8518</v>
      </c>
      <c r="BN424" t="s">
        <v>74</v>
      </c>
      <c r="BO424" t="s">
        <v>8519</v>
      </c>
      <c r="BP424" t="s">
        <v>74</v>
      </c>
      <c r="BQ424" t="s">
        <v>74</v>
      </c>
      <c r="BR424" t="s">
        <v>107</v>
      </c>
      <c r="BS424" t="s">
        <v>8520</v>
      </c>
      <c r="BT424" t="str">
        <f>HYPERLINK("https%3A%2F%2Fwww.webofscience.com%2Fwos%2Fwoscc%2Ffull-record%2FWOS:000464655500003","View Full Record in Web of Science")</f>
        <v>View Full Record in Web of Science</v>
      </c>
    </row>
    <row r="425" spans="1:72" x14ac:dyDescent="0.15">
      <c r="A425" t="s">
        <v>72</v>
      </c>
      <c r="B425" t="s">
        <v>8521</v>
      </c>
      <c r="C425" t="s">
        <v>74</v>
      </c>
      <c r="D425" t="s">
        <v>74</v>
      </c>
      <c r="E425" t="s">
        <v>74</v>
      </c>
      <c r="F425" t="s">
        <v>8522</v>
      </c>
      <c r="G425" t="s">
        <v>74</v>
      </c>
      <c r="H425" t="s">
        <v>74</v>
      </c>
      <c r="I425" t="s">
        <v>8523</v>
      </c>
      <c r="J425" t="s">
        <v>2788</v>
      </c>
      <c r="K425" t="s">
        <v>74</v>
      </c>
      <c r="L425" t="s">
        <v>74</v>
      </c>
      <c r="M425" t="s">
        <v>78</v>
      </c>
      <c r="N425" t="s">
        <v>79</v>
      </c>
      <c r="O425" t="s">
        <v>74</v>
      </c>
      <c r="P425" t="s">
        <v>74</v>
      </c>
      <c r="Q425" t="s">
        <v>74</v>
      </c>
      <c r="R425" t="s">
        <v>74</v>
      </c>
      <c r="S425" t="s">
        <v>74</v>
      </c>
      <c r="T425" t="s">
        <v>74</v>
      </c>
      <c r="U425" t="s">
        <v>8524</v>
      </c>
      <c r="V425" t="s">
        <v>8525</v>
      </c>
      <c r="W425" t="s">
        <v>8526</v>
      </c>
      <c r="X425" t="s">
        <v>8527</v>
      </c>
      <c r="Y425" t="s">
        <v>8528</v>
      </c>
      <c r="Z425" t="s">
        <v>8529</v>
      </c>
      <c r="AA425" t="s">
        <v>8530</v>
      </c>
      <c r="AB425" t="s">
        <v>8531</v>
      </c>
      <c r="AC425" t="s">
        <v>8532</v>
      </c>
      <c r="AD425" t="s">
        <v>8533</v>
      </c>
      <c r="AE425" t="s">
        <v>8534</v>
      </c>
      <c r="AF425" t="s">
        <v>74</v>
      </c>
      <c r="AG425">
        <v>100</v>
      </c>
      <c r="AH425">
        <v>6</v>
      </c>
      <c r="AI425">
        <v>6</v>
      </c>
      <c r="AJ425">
        <v>2</v>
      </c>
      <c r="AK425">
        <v>19</v>
      </c>
      <c r="AL425" t="s">
        <v>125</v>
      </c>
      <c r="AM425" t="s">
        <v>126</v>
      </c>
      <c r="AN425" t="s">
        <v>127</v>
      </c>
      <c r="AO425" t="s">
        <v>2800</v>
      </c>
      <c r="AP425" t="s">
        <v>2801</v>
      </c>
      <c r="AQ425" t="s">
        <v>74</v>
      </c>
      <c r="AR425" t="s">
        <v>2802</v>
      </c>
      <c r="AS425" t="s">
        <v>2803</v>
      </c>
      <c r="AT425" t="s">
        <v>7895</v>
      </c>
      <c r="AU425">
        <v>2019</v>
      </c>
      <c r="AV425">
        <v>34</v>
      </c>
      <c r="AW425">
        <v>3</v>
      </c>
      <c r="AX425" t="s">
        <v>74</v>
      </c>
      <c r="AY425" t="s">
        <v>74</v>
      </c>
      <c r="AZ425" t="s">
        <v>74</v>
      </c>
      <c r="BA425" t="s">
        <v>74</v>
      </c>
      <c r="BB425">
        <v>336</v>
      </c>
      <c r="BC425">
        <v>352</v>
      </c>
      <c r="BD425" t="s">
        <v>74</v>
      </c>
      <c r="BE425" t="s">
        <v>8535</v>
      </c>
      <c r="BF425" t="str">
        <f>HYPERLINK("http://dx.doi.org/10.1029/2018PA003465","http://dx.doi.org/10.1029/2018PA003465")</f>
        <v>http://dx.doi.org/10.1029/2018PA003465</v>
      </c>
      <c r="BG425" t="s">
        <v>74</v>
      </c>
      <c r="BH425" t="s">
        <v>74</v>
      </c>
      <c r="BI425">
        <v>17</v>
      </c>
      <c r="BJ425" t="s">
        <v>2805</v>
      </c>
      <c r="BK425" t="s">
        <v>102</v>
      </c>
      <c r="BL425" t="s">
        <v>2806</v>
      </c>
      <c r="BM425" t="s">
        <v>8518</v>
      </c>
      <c r="BN425" t="s">
        <v>74</v>
      </c>
      <c r="BO425" t="s">
        <v>925</v>
      </c>
      <c r="BP425" t="s">
        <v>74</v>
      </c>
      <c r="BQ425" t="s">
        <v>74</v>
      </c>
      <c r="BR425" t="s">
        <v>107</v>
      </c>
      <c r="BS425" t="s">
        <v>8536</v>
      </c>
      <c r="BT425" t="str">
        <f>HYPERLINK("https%3A%2F%2Fwww.webofscience.com%2Fwos%2Fwoscc%2Ffull-record%2FWOS:000464655500005","View Full Record in Web of Science")</f>
        <v>View Full Record in Web of Science</v>
      </c>
    </row>
    <row r="426" spans="1:72" x14ac:dyDescent="0.15">
      <c r="A426" t="s">
        <v>72</v>
      </c>
      <c r="B426" t="s">
        <v>8537</v>
      </c>
      <c r="C426" t="s">
        <v>74</v>
      </c>
      <c r="D426" t="s">
        <v>74</v>
      </c>
      <c r="E426" t="s">
        <v>74</v>
      </c>
      <c r="F426" t="s">
        <v>8538</v>
      </c>
      <c r="G426" t="s">
        <v>74</v>
      </c>
      <c r="H426" t="s">
        <v>74</v>
      </c>
      <c r="I426" t="s">
        <v>8539</v>
      </c>
      <c r="J426" t="s">
        <v>8540</v>
      </c>
      <c r="K426" t="s">
        <v>74</v>
      </c>
      <c r="L426" t="s">
        <v>74</v>
      </c>
      <c r="M426" t="s">
        <v>78</v>
      </c>
      <c r="N426" t="s">
        <v>79</v>
      </c>
      <c r="O426" t="s">
        <v>74</v>
      </c>
      <c r="P426" t="s">
        <v>74</v>
      </c>
      <c r="Q426" t="s">
        <v>74</v>
      </c>
      <c r="R426" t="s">
        <v>74</v>
      </c>
      <c r="S426" t="s">
        <v>74</v>
      </c>
      <c r="T426" t="s">
        <v>8541</v>
      </c>
      <c r="U426" t="s">
        <v>8542</v>
      </c>
      <c r="V426" t="s">
        <v>8543</v>
      </c>
      <c r="W426" t="s">
        <v>8544</v>
      </c>
      <c r="X426" t="s">
        <v>8545</v>
      </c>
      <c r="Y426" t="s">
        <v>8546</v>
      </c>
      <c r="Z426" t="s">
        <v>8547</v>
      </c>
      <c r="AA426" t="s">
        <v>8548</v>
      </c>
      <c r="AB426" t="s">
        <v>8549</v>
      </c>
      <c r="AC426" t="s">
        <v>8550</v>
      </c>
      <c r="AD426" t="s">
        <v>8551</v>
      </c>
      <c r="AE426" t="s">
        <v>8552</v>
      </c>
      <c r="AF426" t="s">
        <v>74</v>
      </c>
      <c r="AG426">
        <v>56</v>
      </c>
      <c r="AH426">
        <v>4</v>
      </c>
      <c r="AI426">
        <v>6</v>
      </c>
      <c r="AJ426">
        <v>1</v>
      </c>
      <c r="AK426">
        <v>19</v>
      </c>
      <c r="AL426" t="s">
        <v>2960</v>
      </c>
      <c r="AM426" t="s">
        <v>607</v>
      </c>
      <c r="AN426" t="s">
        <v>4525</v>
      </c>
      <c r="AO426" t="s">
        <v>8553</v>
      </c>
      <c r="AP426" t="s">
        <v>8554</v>
      </c>
      <c r="AQ426" t="s">
        <v>74</v>
      </c>
      <c r="AR426" t="s">
        <v>8555</v>
      </c>
      <c r="AS426" t="s">
        <v>8556</v>
      </c>
      <c r="AT426" t="s">
        <v>7895</v>
      </c>
      <c r="AU426">
        <v>2019</v>
      </c>
      <c r="AV426">
        <v>91</v>
      </c>
      <c r="AW426">
        <v>2</v>
      </c>
      <c r="AX426" t="s">
        <v>74</v>
      </c>
      <c r="AY426" t="s">
        <v>74</v>
      </c>
      <c r="AZ426" t="s">
        <v>74</v>
      </c>
      <c r="BA426" t="s">
        <v>74</v>
      </c>
      <c r="BB426">
        <v>638</v>
      </c>
      <c r="BC426">
        <v>649</v>
      </c>
      <c r="BD426" t="s">
        <v>74</v>
      </c>
      <c r="BE426" t="s">
        <v>8557</v>
      </c>
      <c r="BF426" t="str">
        <f>HYPERLINK("http://dx.doi.org/10.1017/qua.2018.96","http://dx.doi.org/10.1017/qua.2018.96")</f>
        <v>http://dx.doi.org/10.1017/qua.2018.96</v>
      </c>
      <c r="BG426" t="s">
        <v>74</v>
      </c>
      <c r="BH426" t="s">
        <v>74</v>
      </c>
      <c r="BI426">
        <v>12</v>
      </c>
      <c r="BJ426" t="s">
        <v>1142</v>
      </c>
      <c r="BK426" t="s">
        <v>102</v>
      </c>
      <c r="BL426" t="s">
        <v>1143</v>
      </c>
      <c r="BM426" t="s">
        <v>8558</v>
      </c>
      <c r="BN426" t="s">
        <v>74</v>
      </c>
      <c r="BO426" t="s">
        <v>74</v>
      </c>
      <c r="BP426" t="s">
        <v>74</v>
      </c>
      <c r="BQ426" t="s">
        <v>74</v>
      </c>
      <c r="BR426" t="s">
        <v>107</v>
      </c>
      <c r="BS426" t="s">
        <v>8559</v>
      </c>
      <c r="BT426" t="str">
        <f>HYPERLINK("https%3A%2F%2Fwww.webofscience.com%2Fwos%2Fwoscc%2Ffull-record%2FWOS:000464585000012","View Full Record in Web of Science")</f>
        <v>View Full Record in Web of Science</v>
      </c>
    </row>
    <row r="427" spans="1:72" x14ac:dyDescent="0.15">
      <c r="A427" t="s">
        <v>72</v>
      </c>
      <c r="B427" t="s">
        <v>8560</v>
      </c>
      <c r="C427" t="s">
        <v>74</v>
      </c>
      <c r="D427" t="s">
        <v>74</v>
      </c>
      <c r="E427" t="s">
        <v>74</v>
      </c>
      <c r="F427" t="s">
        <v>8561</v>
      </c>
      <c r="G427" t="s">
        <v>74</v>
      </c>
      <c r="H427" t="s">
        <v>74</v>
      </c>
      <c r="I427" t="s">
        <v>8562</v>
      </c>
      <c r="J427" t="s">
        <v>8540</v>
      </c>
      <c r="K427" t="s">
        <v>74</v>
      </c>
      <c r="L427" t="s">
        <v>74</v>
      </c>
      <c r="M427" t="s">
        <v>78</v>
      </c>
      <c r="N427" t="s">
        <v>8563</v>
      </c>
      <c r="O427" t="s">
        <v>74</v>
      </c>
      <c r="P427" t="s">
        <v>74</v>
      </c>
      <c r="Q427" t="s">
        <v>74</v>
      </c>
      <c r="R427" t="s">
        <v>74</v>
      </c>
      <c r="S427" t="s">
        <v>74</v>
      </c>
      <c r="T427" t="s">
        <v>8564</v>
      </c>
      <c r="U427" t="s">
        <v>8565</v>
      </c>
      <c r="V427" t="s">
        <v>74</v>
      </c>
      <c r="W427" t="s">
        <v>8566</v>
      </c>
      <c r="X427" t="s">
        <v>8567</v>
      </c>
      <c r="Y427" t="s">
        <v>8568</v>
      </c>
      <c r="Z427" t="s">
        <v>8569</v>
      </c>
      <c r="AA427" t="s">
        <v>8570</v>
      </c>
      <c r="AB427" t="s">
        <v>8571</v>
      </c>
      <c r="AC427" t="s">
        <v>8572</v>
      </c>
      <c r="AD427" t="s">
        <v>8160</v>
      </c>
      <c r="AE427" t="s">
        <v>8573</v>
      </c>
      <c r="AF427" t="s">
        <v>74</v>
      </c>
      <c r="AG427">
        <v>12</v>
      </c>
      <c r="AH427">
        <v>0</v>
      </c>
      <c r="AI427">
        <v>0</v>
      </c>
      <c r="AJ427">
        <v>2</v>
      </c>
      <c r="AK427">
        <v>5</v>
      </c>
      <c r="AL427" t="s">
        <v>2960</v>
      </c>
      <c r="AM427" t="s">
        <v>607</v>
      </c>
      <c r="AN427" t="s">
        <v>4525</v>
      </c>
      <c r="AO427" t="s">
        <v>8553</v>
      </c>
      <c r="AP427" t="s">
        <v>8554</v>
      </c>
      <c r="AQ427" t="s">
        <v>74</v>
      </c>
      <c r="AR427" t="s">
        <v>8555</v>
      </c>
      <c r="AS427" t="s">
        <v>8556</v>
      </c>
      <c r="AT427" t="s">
        <v>7895</v>
      </c>
      <c r="AU427">
        <v>2019</v>
      </c>
      <c r="AV427">
        <v>91</v>
      </c>
      <c r="AW427">
        <v>2</v>
      </c>
      <c r="AX427" t="s">
        <v>74</v>
      </c>
      <c r="AY427" t="s">
        <v>74</v>
      </c>
      <c r="AZ427" t="s">
        <v>74</v>
      </c>
      <c r="BA427" t="s">
        <v>74</v>
      </c>
      <c r="BB427">
        <v>910</v>
      </c>
      <c r="BC427">
        <v>913</v>
      </c>
      <c r="BD427" t="s">
        <v>74</v>
      </c>
      <c r="BE427" t="s">
        <v>8574</v>
      </c>
      <c r="BF427" t="str">
        <f>HYPERLINK("http://dx.doi.org/10.1017/qua.2018.86","http://dx.doi.org/10.1017/qua.2018.86")</f>
        <v>http://dx.doi.org/10.1017/qua.2018.86</v>
      </c>
      <c r="BG427" t="s">
        <v>74</v>
      </c>
      <c r="BH427" t="s">
        <v>74</v>
      </c>
      <c r="BI427">
        <v>4</v>
      </c>
      <c r="BJ427" t="s">
        <v>1142</v>
      </c>
      <c r="BK427" t="s">
        <v>102</v>
      </c>
      <c r="BL427" t="s">
        <v>1143</v>
      </c>
      <c r="BM427" t="s">
        <v>8558</v>
      </c>
      <c r="BN427" t="s">
        <v>74</v>
      </c>
      <c r="BO427" t="s">
        <v>279</v>
      </c>
      <c r="BP427" t="s">
        <v>74</v>
      </c>
      <c r="BQ427" t="s">
        <v>74</v>
      </c>
      <c r="BR427" t="s">
        <v>107</v>
      </c>
      <c r="BS427" t="s">
        <v>8575</v>
      </c>
      <c r="BT427" t="str">
        <f>HYPERLINK("https%3A%2F%2Fwww.webofscience.com%2Fwos%2Fwoscc%2Ffull-record%2FWOS:000464585000029","View Full Record in Web of Science")</f>
        <v>View Full Record in Web of Science</v>
      </c>
    </row>
    <row r="428" spans="1:72" x14ac:dyDescent="0.15">
      <c r="A428" t="s">
        <v>72</v>
      </c>
      <c r="B428" t="s">
        <v>8576</v>
      </c>
      <c r="C428" t="s">
        <v>74</v>
      </c>
      <c r="D428" t="s">
        <v>74</v>
      </c>
      <c r="E428" t="s">
        <v>74</v>
      </c>
      <c r="F428" t="s">
        <v>8577</v>
      </c>
      <c r="G428" t="s">
        <v>74</v>
      </c>
      <c r="H428" t="s">
        <v>74</v>
      </c>
      <c r="I428" t="s">
        <v>8578</v>
      </c>
      <c r="J428" t="s">
        <v>8579</v>
      </c>
      <c r="K428" t="s">
        <v>74</v>
      </c>
      <c r="L428" t="s">
        <v>74</v>
      </c>
      <c r="M428" t="s">
        <v>78</v>
      </c>
      <c r="N428" t="s">
        <v>79</v>
      </c>
      <c r="O428" t="s">
        <v>74</v>
      </c>
      <c r="P428" t="s">
        <v>74</v>
      </c>
      <c r="Q428" t="s">
        <v>74</v>
      </c>
      <c r="R428" t="s">
        <v>74</v>
      </c>
      <c r="S428" t="s">
        <v>74</v>
      </c>
      <c r="T428" t="s">
        <v>74</v>
      </c>
      <c r="U428" t="s">
        <v>8580</v>
      </c>
      <c r="V428" t="s">
        <v>8581</v>
      </c>
      <c r="W428" t="s">
        <v>8582</v>
      </c>
      <c r="X428" t="s">
        <v>933</v>
      </c>
      <c r="Y428" t="s">
        <v>8583</v>
      </c>
      <c r="Z428" t="s">
        <v>8584</v>
      </c>
      <c r="AA428" t="s">
        <v>74</v>
      </c>
      <c r="AB428" t="s">
        <v>8585</v>
      </c>
      <c r="AC428" t="s">
        <v>8586</v>
      </c>
      <c r="AD428" t="s">
        <v>8587</v>
      </c>
      <c r="AE428" t="s">
        <v>8588</v>
      </c>
      <c r="AF428" t="s">
        <v>74</v>
      </c>
      <c r="AG428">
        <v>17</v>
      </c>
      <c r="AH428">
        <v>7</v>
      </c>
      <c r="AI428">
        <v>7</v>
      </c>
      <c r="AJ428">
        <v>0</v>
      </c>
      <c r="AK428">
        <v>5</v>
      </c>
      <c r="AL428" t="s">
        <v>125</v>
      </c>
      <c r="AM428" t="s">
        <v>126</v>
      </c>
      <c r="AN428" t="s">
        <v>127</v>
      </c>
      <c r="AO428" t="s">
        <v>8589</v>
      </c>
      <c r="AP428" t="s">
        <v>8590</v>
      </c>
      <c r="AQ428" t="s">
        <v>74</v>
      </c>
      <c r="AR428" t="s">
        <v>8591</v>
      </c>
      <c r="AS428" t="s">
        <v>8592</v>
      </c>
      <c r="AT428" t="s">
        <v>7895</v>
      </c>
      <c r="AU428">
        <v>2019</v>
      </c>
      <c r="AV428">
        <v>54</v>
      </c>
      <c r="AW428">
        <v>3</v>
      </c>
      <c r="AX428" t="s">
        <v>74</v>
      </c>
      <c r="AY428" t="s">
        <v>74</v>
      </c>
      <c r="AZ428" t="s">
        <v>74</v>
      </c>
      <c r="BA428" t="s">
        <v>74</v>
      </c>
      <c r="BB428">
        <v>233</v>
      </c>
      <c r="BC428">
        <v>244</v>
      </c>
      <c r="BD428" t="s">
        <v>74</v>
      </c>
      <c r="BE428" t="s">
        <v>8593</v>
      </c>
      <c r="BF428" t="str">
        <f>HYPERLINK("http://dx.doi.org/10.1029/2018RS006701","http://dx.doi.org/10.1029/2018RS006701")</f>
        <v>http://dx.doi.org/10.1029/2018RS006701</v>
      </c>
      <c r="BG428" t="s">
        <v>74</v>
      </c>
      <c r="BH428" t="s">
        <v>74</v>
      </c>
      <c r="BI428">
        <v>12</v>
      </c>
      <c r="BJ428" t="s">
        <v>8594</v>
      </c>
      <c r="BK428" t="s">
        <v>102</v>
      </c>
      <c r="BL428" t="s">
        <v>8594</v>
      </c>
      <c r="BM428" t="s">
        <v>8595</v>
      </c>
      <c r="BN428" t="s">
        <v>74</v>
      </c>
      <c r="BO428" t="s">
        <v>1014</v>
      </c>
      <c r="BP428" t="s">
        <v>74</v>
      </c>
      <c r="BQ428" t="s">
        <v>74</v>
      </c>
      <c r="BR428" t="s">
        <v>107</v>
      </c>
      <c r="BS428" t="s">
        <v>8596</v>
      </c>
      <c r="BT428" t="str">
        <f>HYPERLINK("https%3A%2F%2Fwww.webofscience.com%2Fwos%2Fwoscc%2Ffull-record%2FWOS:000464656800003","View Full Record in Web of Science")</f>
        <v>View Full Record in Web of Science</v>
      </c>
    </row>
    <row r="429" spans="1:72" x14ac:dyDescent="0.15">
      <c r="A429" t="s">
        <v>72</v>
      </c>
      <c r="B429" t="s">
        <v>8597</v>
      </c>
      <c r="C429" t="s">
        <v>74</v>
      </c>
      <c r="D429" t="s">
        <v>74</v>
      </c>
      <c r="E429" t="s">
        <v>74</v>
      </c>
      <c r="F429" t="s">
        <v>8598</v>
      </c>
      <c r="G429" t="s">
        <v>74</v>
      </c>
      <c r="H429" t="s">
        <v>74</v>
      </c>
      <c r="I429" t="s">
        <v>8599</v>
      </c>
      <c r="J429" t="s">
        <v>8600</v>
      </c>
      <c r="K429" t="s">
        <v>74</v>
      </c>
      <c r="L429" t="s">
        <v>74</v>
      </c>
      <c r="M429" t="s">
        <v>78</v>
      </c>
      <c r="N429" t="s">
        <v>79</v>
      </c>
      <c r="O429" t="s">
        <v>74</v>
      </c>
      <c r="P429" t="s">
        <v>74</v>
      </c>
      <c r="Q429" t="s">
        <v>74</v>
      </c>
      <c r="R429" t="s">
        <v>74</v>
      </c>
      <c r="S429" t="s">
        <v>74</v>
      </c>
      <c r="T429" t="s">
        <v>74</v>
      </c>
      <c r="U429" t="s">
        <v>8601</v>
      </c>
      <c r="V429" t="s">
        <v>8602</v>
      </c>
      <c r="W429" t="s">
        <v>8603</v>
      </c>
      <c r="X429" t="s">
        <v>8604</v>
      </c>
      <c r="Y429" t="s">
        <v>8605</v>
      </c>
      <c r="Z429" t="s">
        <v>8606</v>
      </c>
      <c r="AA429" t="s">
        <v>8607</v>
      </c>
      <c r="AB429" t="s">
        <v>8608</v>
      </c>
      <c r="AC429" t="s">
        <v>8609</v>
      </c>
      <c r="AD429" t="s">
        <v>8610</v>
      </c>
      <c r="AE429" t="s">
        <v>8611</v>
      </c>
      <c r="AF429" t="s">
        <v>74</v>
      </c>
      <c r="AG429">
        <v>85</v>
      </c>
      <c r="AH429">
        <v>12</v>
      </c>
      <c r="AI429">
        <v>12</v>
      </c>
      <c r="AJ429">
        <v>0</v>
      </c>
      <c r="AK429">
        <v>7</v>
      </c>
      <c r="AL429" t="s">
        <v>125</v>
      </c>
      <c r="AM429" t="s">
        <v>126</v>
      </c>
      <c r="AN429" t="s">
        <v>127</v>
      </c>
      <c r="AO429" t="s">
        <v>8612</v>
      </c>
      <c r="AP429" t="s">
        <v>8613</v>
      </c>
      <c r="AQ429" t="s">
        <v>74</v>
      </c>
      <c r="AR429" t="s">
        <v>8600</v>
      </c>
      <c r="AS429" t="s">
        <v>8614</v>
      </c>
      <c r="AT429" t="s">
        <v>7895</v>
      </c>
      <c r="AU429">
        <v>2019</v>
      </c>
      <c r="AV429">
        <v>38</v>
      </c>
      <c r="AW429">
        <v>3</v>
      </c>
      <c r="AX429" t="s">
        <v>74</v>
      </c>
      <c r="AY429" t="s">
        <v>74</v>
      </c>
      <c r="AZ429" t="s">
        <v>74</v>
      </c>
      <c r="BA429" t="s">
        <v>74</v>
      </c>
      <c r="BB429">
        <v>878</v>
      </c>
      <c r="BC429">
        <v>897</v>
      </c>
      <c r="BD429" t="s">
        <v>74</v>
      </c>
      <c r="BE429" t="s">
        <v>8615</v>
      </c>
      <c r="BF429" t="str">
        <f>HYPERLINK("http://dx.doi.org/10.1029/2018TC005150","http://dx.doi.org/10.1029/2018TC005150")</f>
        <v>http://dx.doi.org/10.1029/2018TC005150</v>
      </c>
      <c r="BG429" t="s">
        <v>74</v>
      </c>
      <c r="BH429" t="s">
        <v>74</v>
      </c>
      <c r="BI429">
        <v>20</v>
      </c>
      <c r="BJ429" t="s">
        <v>643</v>
      </c>
      <c r="BK429" t="s">
        <v>102</v>
      </c>
      <c r="BL429" t="s">
        <v>643</v>
      </c>
      <c r="BM429" t="s">
        <v>8616</v>
      </c>
      <c r="BN429" t="s">
        <v>74</v>
      </c>
      <c r="BO429" t="s">
        <v>1014</v>
      </c>
      <c r="BP429" t="s">
        <v>74</v>
      </c>
      <c r="BQ429" t="s">
        <v>74</v>
      </c>
      <c r="BR429" t="s">
        <v>107</v>
      </c>
      <c r="BS429" t="s">
        <v>8617</v>
      </c>
      <c r="BT429" t="str">
        <f>HYPERLINK("https%3A%2F%2Fwww.webofscience.com%2Fwos%2Fwoscc%2Ffull-record%2FWOS:000464828700005","View Full Record in Web of Science")</f>
        <v>View Full Record in Web of Science</v>
      </c>
    </row>
    <row r="430" spans="1:72" x14ac:dyDescent="0.15">
      <c r="A430" t="s">
        <v>72</v>
      </c>
      <c r="B430" t="s">
        <v>8618</v>
      </c>
      <c r="C430" t="s">
        <v>74</v>
      </c>
      <c r="D430" t="s">
        <v>74</v>
      </c>
      <c r="E430" t="s">
        <v>74</v>
      </c>
      <c r="F430" t="s">
        <v>8619</v>
      </c>
      <c r="G430" t="s">
        <v>74</v>
      </c>
      <c r="H430" t="s">
        <v>74</v>
      </c>
      <c r="I430" t="s">
        <v>8620</v>
      </c>
      <c r="J430" t="s">
        <v>8621</v>
      </c>
      <c r="K430" t="s">
        <v>74</v>
      </c>
      <c r="L430" t="s">
        <v>74</v>
      </c>
      <c r="M430" t="s">
        <v>78</v>
      </c>
      <c r="N430" t="s">
        <v>79</v>
      </c>
      <c r="O430" t="s">
        <v>74</v>
      </c>
      <c r="P430" t="s">
        <v>74</v>
      </c>
      <c r="Q430" t="s">
        <v>74</v>
      </c>
      <c r="R430" t="s">
        <v>74</v>
      </c>
      <c r="S430" t="s">
        <v>74</v>
      </c>
      <c r="T430" t="s">
        <v>74</v>
      </c>
      <c r="U430" t="s">
        <v>8622</v>
      </c>
      <c r="V430" t="s">
        <v>8623</v>
      </c>
      <c r="W430" t="s">
        <v>8624</v>
      </c>
      <c r="X430" t="s">
        <v>8625</v>
      </c>
      <c r="Y430" t="s">
        <v>8626</v>
      </c>
      <c r="Z430" t="s">
        <v>8627</v>
      </c>
      <c r="AA430" t="s">
        <v>74</v>
      </c>
      <c r="AB430" t="s">
        <v>74</v>
      </c>
      <c r="AC430" t="s">
        <v>8628</v>
      </c>
      <c r="AD430" t="s">
        <v>8628</v>
      </c>
      <c r="AE430" t="s">
        <v>8629</v>
      </c>
      <c r="AF430" t="s">
        <v>74</v>
      </c>
      <c r="AG430">
        <v>73</v>
      </c>
      <c r="AH430">
        <v>4</v>
      </c>
      <c r="AI430">
        <v>4</v>
      </c>
      <c r="AJ430">
        <v>0</v>
      </c>
      <c r="AK430">
        <v>0</v>
      </c>
      <c r="AL430" t="s">
        <v>634</v>
      </c>
      <c r="AM430" t="s">
        <v>635</v>
      </c>
      <c r="AN430" t="s">
        <v>636</v>
      </c>
      <c r="AO430" t="s">
        <v>8630</v>
      </c>
      <c r="AP430" t="s">
        <v>74</v>
      </c>
      <c r="AQ430" t="s">
        <v>74</v>
      </c>
      <c r="AR430" t="s">
        <v>8631</v>
      </c>
      <c r="AS430" t="s">
        <v>8632</v>
      </c>
      <c r="AT430" t="s">
        <v>7895</v>
      </c>
      <c r="AU430">
        <v>2019</v>
      </c>
      <c r="AV430">
        <v>27</v>
      </c>
      <c r="AW430" t="s">
        <v>74</v>
      </c>
      <c r="AX430" t="s">
        <v>74</v>
      </c>
      <c r="AY430" t="s">
        <v>74</v>
      </c>
      <c r="AZ430" t="s">
        <v>74</v>
      </c>
      <c r="BA430" t="s">
        <v>74</v>
      </c>
      <c r="BB430" t="s">
        <v>74</v>
      </c>
      <c r="BC430" t="s">
        <v>74</v>
      </c>
      <c r="BD430">
        <v>100538</v>
      </c>
      <c r="BE430" t="s">
        <v>8633</v>
      </c>
      <c r="BF430" t="str">
        <f>HYPERLINK("http://dx.doi.org/10.1016/j.rsma.2019.100538","http://dx.doi.org/10.1016/j.rsma.2019.100538")</f>
        <v>http://dx.doi.org/10.1016/j.rsma.2019.100538</v>
      </c>
      <c r="BG430" t="s">
        <v>74</v>
      </c>
      <c r="BH430" t="s">
        <v>74</v>
      </c>
      <c r="BI430">
        <v>10</v>
      </c>
      <c r="BJ430" t="s">
        <v>8634</v>
      </c>
      <c r="BK430" t="s">
        <v>102</v>
      </c>
      <c r="BL430" t="s">
        <v>830</v>
      </c>
      <c r="BM430" t="s">
        <v>8635</v>
      </c>
      <c r="BN430" t="s">
        <v>74</v>
      </c>
      <c r="BO430" t="s">
        <v>74</v>
      </c>
      <c r="BP430" t="s">
        <v>74</v>
      </c>
      <c r="BQ430" t="s">
        <v>74</v>
      </c>
      <c r="BR430" t="s">
        <v>107</v>
      </c>
      <c r="BS430" t="s">
        <v>8636</v>
      </c>
      <c r="BT430" t="str">
        <f>HYPERLINK("https%3A%2F%2Fwww.webofscience.com%2Fwos%2Fwoscc%2Ffull-record%2FWOS:000464681100010","View Full Record in Web of Science")</f>
        <v>View Full Record in Web of Science</v>
      </c>
    </row>
    <row r="431" spans="1:72" x14ac:dyDescent="0.15">
      <c r="A431" t="s">
        <v>72</v>
      </c>
      <c r="B431" t="s">
        <v>8637</v>
      </c>
      <c r="C431" t="s">
        <v>74</v>
      </c>
      <c r="D431" t="s">
        <v>74</v>
      </c>
      <c r="E431" t="s">
        <v>74</v>
      </c>
      <c r="F431" t="s">
        <v>8638</v>
      </c>
      <c r="G431" t="s">
        <v>74</v>
      </c>
      <c r="H431" t="s">
        <v>74</v>
      </c>
      <c r="I431" t="s">
        <v>8639</v>
      </c>
      <c r="J431" t="s">
        <v>8640</v>
      </c>
      <c r="K431" t="s">
        <v>74</v>
      </c>
      <c r="L431" t="s">
        <v>74</v>
      </c>
      <c r="M431" t="s">
        <v>78</v>
      </c>
      <c r="N431" t="s">
        <v>79</v>
      </c>
      <c r="O431" t="s">
        <v>74</v>
      </c>
      <c r="P431" t="s">
        <v>74</v>
      </c>
      <c r="Q431" t="s">
        <v>74</v>
      </c>
      <c r="R431" t="s">
        <v>74</v>
      </c>
      <c r="S431" t="s">
        <v>74</v>
      </c>
      <c r="T431" t="s">
        <v>8641</v>
      </c>
      <c r="U431" t="s">
        <v>8642</v>
      </c>
      <c r="V431" t="s">
        <v>8643</v>
      </c>
      <c r="W431" t="s">
        <v>8644</v>
      </c>
      <c r="X431" t="s">
        <v>8645</v>
      </c>
      <c r="Y431" t="s">
        <v>8646</v>
      </c>
      <c r="Z431" t="s">
        <v>74</v>
      </c>
      <c r="AA431" t="s">
        <v>8647</v>
      </c>
      <c r="AB431" t="s">
        <v>8648</v>
      </c>
      <c r="AC431" t="s">
        <v>8649</v>
      </c>
      <c r="AD431" t="s">
        <v>8650</v>
      </c>
      <c r="AE431" t="s">
        <v>8651</v>
      </c>
      <c r="AF431" t="s">
        <v>74</v>
      </c>
      <c r="AG431">
        <v>78</v>
      </c>
      <c r="AH431">
        <v>38</v>
      </c>
      <c r="AI431">
        <v>39</v>
      </c>
      <c r="AJ431">
        <v>6</v>
      </c>
      <c r="AK431">
        <v>44</v>
      </c>
      <c r="AL431" t="s">
        <v>8652</v>
      </c>
      <c r="AM431" t="s">
        <v>8653</v>
      </c>
      <c r="AN431" t="s">
        <v>8654</v>
      </c>
      <c r="AO431" t="s">
        <v>8655</v>
      </c>
      <c r="AP431" t="s">
        <v>74</v>
      </c>
      <c r="AQ431" t="s">
        <v>74</v>
      </c>
      <c r="AR431" t="s">
        <v>8656</v>
      </c>
      <c r="AS431" t="s">
        <v>8657</v>
      </c>
      <c r="AT431" t="s">
        <v>7895</v>
      </c>
      <c r="AU431">
        <v>2019</v>
      </c>
      <c r="AV431">
        <v>24</v>
      </c>
      <c r="AW431">
        <v>1</v>
      </c>
      <c r="AX431" t="s">
        <v>74</v>
      </c>
      <c r="AY431" t="s">
        <v>74</v>
      </c>
      <c r="AZ431" t="s">
        <v>74</v>
      </c>
      <c r="BA431" t="s">
        <v>74</v>
      </c>
      <c r="BB431" t="s">
        <v>74</v>
      </c>
      <c r="BC431" t="s">
        <v>74</v>
      </c>
      <c r="BD431">
        <v>16</v>
      </c>
      <c r="BE431" t="s">
        <v>8658</v>
      </c>
      <c r="BF431" t="str">
        <f>HYPERLINK("http://dx.doi.org/10.5751/ES-10704-240116","http://dx.doi.org/10.5751/ES-10704-240116")</f>
        <v>http://dx.doi.org/10.5751/ES-10704-240116</v>
      </c>
      <c r="BG431" t="s">
        <v>74</v>
      </c>
      <c r="BH431" t="s">
        <v>74</v>
      </c>
      <c r="BI431">
        <v>20</v>
      </c>
      <c r="BJ431" t="s">
        <v>8659</v>
      </c>
      <c r="BK431" t="s">
        <v>337</v>
      </c>
      <c r="BL431" t="s">
        <v>2297</v>
      </c>
      <c r="BM431" t="s">
        <v>8660</v>
      </c>
      <c r="BN431" t="s">
        <v>74</v>
      </c>
      <c r="BO431" t="s">
        <v>2739</v>
      </c>
      <c r="BP431" t="s">
        <v>74</v>
      </c>
      <c r="BQ431" t="s">
        <v>74</v>
      </c>
      <c r="BR431" t="s">
        <v>107</v>
      </c>
      <c r="BS431" t="s">
        <v>8661</v>
      </c>
      <c r="BT431" t="str">
        <f>HYPERLINK("https%3A%2F%2Fwww.webofscience.com%2Fwos%2Fwoscc%2Ffull-record%2FWOS:000464153200022","View Full Record in Web of Science")</f>
        <v>View Full Record in Web of Science</v>
      </c>
    </row>
    <row r="432" spans="1:72" x14ac:dyDescent="0.15">
      <c r="A432" t="s">
        <v>72</v>
      </c>
      <c r="B432" t="s">
        <v>8662</v>
      </c>
      <c r="C432" t="s">
        <v>74</v>
      </c>
      <c r="D432" t="s">
        <v>74</v>
      </c>
      <c r="E432" t="s">
        <v>74</v>
      </c>
      <c r="F432" t="s">
        <v>8663</v>
      </c>
      <c r="G432" t="s">
        <v>74</v>
      </c>
      <c r="H432" t="s">
        <v>74</v>
      </c>
      <c r="I432" t="s">
        <v>8664</v>
      </c>
      <c r="J432" t="s">
        <v>8665</v>
      </c>
      <c r="K432" t="s">
        <v>74</v>
      </c>
      <c r="L432" t="s">
        <v>74</v>
      </c>
      <c r="M432" t="s">
        <v>78</v>
      </c>
      <c r="N432" t="s">
        <v>79</v>
      </c>
      <c r="O432" t="s">
        <v>74</v>
      </c>
      <c r="P432" t="s">
        <v>74</v>
      </c>
      <c r="Q432" t="s">
        <v>74</v>
      </c>
      <c r="R432" t="s">
        <v>74</v>
      </c>
      <c r="S432" t="s">
        <v>74</v>
      </c>
      <c r="T432" t="s">
        <v>8666</v>
      </c>
      <c r="U432" t="s">
        <v>8667</v>
      </c>
      <c r="V432" t="s">
        <v>8668</v>
      </c>
      <c r="W432" t="s">
        <v>8669</v>
      </c>
      <c r="X432" t="s">
        <v>8670</v>
      </c>
      <c r="Y432" t="s">
        <v>8671</v>
      </c>
      <c r="Z432" t="s">
        <v>8672</v>
      </c>
      <c r="AA432" t="s">
        <v>8673</v>
      </c>
      <c r="AB432" t="s">
        <v>8674</v>
      </c>
      <c r="AC432" t="s">
        <v>8675</v>
      </c>
      <c r="AD432" t="s">
        <v>8676</v>
      </c>
      <c r="AE432" t="s">
        <v>8677</v>
      </c>
      <c r="AF432" t="s">
        <v>74</v>
      </c>
      <c r="AG432">
        <v>73</v>
      </c>
      <c r="AH432">
        <v>18</v>
      </c>
      <c r="AI432">
        <v>19</v>
      </c>
      <c r="AJ432">
        <v>3</v>
      </c>
      <c r="AK432">
        <v>25</v>
      </c>
      <c r="AL432" t="s">
        <v>153</v>
      </c>
      <c r="AM432" t="s">
        <v>154</v>
      </c>
      <c r="AN432" t="s">
        <v>155</v>
      </c>
      <c r="AO432" t="s">
        <v>8678</v>
      </c>
      <c r="AP432" t="s">
        <v>74</v>
      </c>
      <c r="AQ432" t="s">
        <v>74</v>
      </c>
      <c r="AR432" t="s">
        <v>8665</v>
      </c>
      <c r="AS432" t="s">
        <v>8679</v>
      </c>
      <c r="AT432" t="s">
        <v>7895</v>
      </c>
      <c r="AU432">
        <v>2019</v>
      </c>
      <c r="AV432">
        <v>10</v>
      </c>
      <c r="AW432">
        <v>3</v>
      </c>
      <c r="AX432" t="s">
        <v>74</v>
      </c>
      <c r="AY432" t="s">
        <v>74</v>
      </c>
      <c r="AZ432" t="s">
        <v>74</v>
      </c>
      <c r="BA432" t="s">
        <v>74</v>
      </c>
      <c r="BB432" t="s">
        <v>74</v>
      </c>
      <c r="BC432" t="s">
        <v>74</v>
      </c>
      <c r="BD432" t="s">
        <v>8680</v>
      </c>
      <c r="BE432" t="s">
        <v>8681</v>
      </c>
      <c r="BF432" t="str">
        <f>HYPERLINK("http://dx.doi.org/10.1002/ecs2.2641","http://dx.doi.org/10.1002/ecs2.2641")</f>
        <v>http://dx.doi.org/10.1002/ecs2.2641</v>
      </c>
      <c r="BG432" t="s">
        <v>74</v>
      </c>
      <c r="BH432" t="s">
        <v>74</v>
      </c>
      <c r="BI432">
        <v>18</v>
      </c>
      <c r="BJ432" t="s">
        <v>5763</v>
      </c>
      <c r="BK432" t="s">
        <v>102</v>
      </c>
      <c r="BL432" t="s">
        <v>2297</v>
      </c>
      <c r="BM432" t="s">
        <v>8682</v>
      </c>
      <c r="BN432" t="s">
        <v>74</v>
      </c>
      <c r="BO432" t="s">
        <v>463</v>
      </c>
      <c r="BP432" t="s">
        <v>74</v>
      </c>
      <c r="BQ432" t="s">
        <v>74</v>
      </c>
      <c r="BR432" t="s">
        <v>107</v>
      </c>
      <c r="BS432" t="s">
        <v>8683</v>
      </c>
      <c r="BT432" t="str">
        <f>HYPERLINK("https%3A%2F%2Fwww.webofscience.com%2Fwos%2Fwoscc%2Ffull-record%2FWOS:000463977000027","View Full Record in Web of Science")</f>
        <v>View Full Record in Web of Science</v>
      </c>
    </row>
    <row r="433" spans="1:72" x14ac:dyDescent="0.15">
      <c r="A433" t="s">
        <v>72</v>
      </c>
      <c r="B433" t="s">
        <v>8684</v>
      </c>
      <c r="C433" t="s">
        <v>74</v>
      </c>
      <c r="D433" t="s">
        <v>74</v>
      </c>
      <c r="E433" t="s">
        <v>74</v>
      </c>
      <c r="F433" t="s">
        <v>8685</v>
      </c>
      <c r="G433" t="s">
        <v>74</v>
      </c>
      <c r="H433" t="s">
        <v>74</v>
      </c>
      <c r="I433" t="s">
        <v>8686</v>
      </c>
      <c r="J433" t="s">
        <v>3481</v>
      </c>
      <c r="K433" t="s">
        <v>74</v>
      </c>
      <c r="L433" t="s">
        <v>74</v>
      </c>
      <c r="M433" t="s">
        <v>78</v>
      </c>
      <c r="N433" t="s">
        <v>79</v>
      </c>
      <c r="O433" t="s">
        <v>74</v>
      </c>
      <c r="P433" t="s">
        <v>74</v>
      </c>
      <c r="Q433" t="s">
        <v>74</v>
      </c>
      <c r="R433" t="s">
        <v>74</v>
      </c>
      <c r="S433" t="s">
        <v>74</v>
      </c>
      <c r="T433" t="s">
        <v>8687</v>
      </c>
      <c r="U433" t="s">
        <v>8688</v>
      </c>
      <c r="V433" t="s">
        <v>8689</v>
      </c>
      <c r="W433" t="s">
        <v>8690</v>
      </c>
      <c r="X433" t="s">
        <v>8691</v>
      </c>
      <c r="Y433" t="s">
        <v>8692</v>
      </c>
      <c r="Z433" t="s">
        <v>8693</v>
      </c>
      <c r="AA433" t="s">
        <v>8694</v>
      </c>
      <c r="AB433" t="s">
        <v>8695</v>
      </c>
      <c r="AC433" t="s">
        <v>8696</v>
      </c>
      <c r="AD433" t="s">
        <v>8697</v>
      </c>
      <c r="AE433" t="s">
        <v>74</v>
      </c>
      <c r="AF433" t="s">
        <v>74</v>
      </c>
      <c r="AG433">
        <v>72</v>
      </c>
      <c r="AH433">
        <v>18</v>
      </c>
      <c r="AI433">
        <v>20</v>
      </c>
      <c r="AJ433">
        <v>1</v>
      </c>
      <c r="AK433">
        <v>22</v>
      </c>
      <c r="AL433" t="s">
        <v>576</v>
      </c>
      <c r="AM433" t="s">
        <v>607</v>
      </c>
      <c r="AN433" t="s">
        <v>2143</v>
      </c>
      <c r="AO433" t="s">
        <v>3494</v>
      </c>
      <c r="AP433" t="s">
        <v>3495</v>
      </c>
      <c r="AQ433" t="s">
        <v>74</v>
      </c>
      <c r="AR433" t="s">
        <v>3496</v>
      </c>
      <c r="AS433" t="s">
        <v>3497</v>
      </c>
      <c r="AT433" t="s">
        <v>7895</v>
      </c>
      <c r="AU433">
        <v>2019</v>
      </c>
      <c r="AV433">
        <v>52</v>
      </c>
      <c r="AW433" t="s">
        <v>8698</v>
      </c>
      <c r="AX433" t="s">
        <v>74</v>
      </c>
      <c r="AY433" t="s">
        <v>74</v>
      </c>
      <c r="AZ433" t="s">
        <v>74</v>
      </c>
      <c r="BA433" t="s">
        <v>74</v>
      </c>
      <c r="BB433">
        <v>2775</v>
      </c>
      <c r="BC433">
        <v>2797</v>
      </c>
      <c r="BD433" t="s">
        <v>74</v>
      </c>
      <c r="BE433" t="s">
        <v>8699</v>
      </c>
      <c r="BF433" t="str">
        <f>HYPERLINK("http://dx.doi.org/10.1007/s00382-018-4292-2","http://dx.doi.org/10.1007/s00382-018-4292-2")</f>
        <v>http://dx.doi.org/10.1007/s00382-018-4292-2</v>
      </c>
      <c r="BG433" t="s">
        <v>74</v>
      </c>
      <c r="BH433" t="s">
        <v>74</v>
      </c>
      <c r="BI433">
        <v>23</v>
      </c>
      <c r="BJ433" t="s">
        <v>133</v>
      </c>
      <c r="BK433" t="s">
        <v>102</v>
      </c>
      <c r="BL433" t="s">
        <v>133</v>
      </c>
      <c r="BM433" t="s">
        <v>8700</v>
      </c>
      <c r="BN433" t="s">
        <v>74</v>
      </c>
      <c r="BO433" t="s">
        <v>1014</v>
      </c>
      <c r="BP433" t="s">
        <v>74</v>
      </c>
      <c r="BQ433" t="s">
        <v>74</v>
      </c>
      <c r="BR433" t="s">
        <v>107</v>
      </c>
      <c r="BS433" t="s">
        <v>8701</v>
      </c>
      <c r="BT433" t="str">
        <f>HYPERLINK("https%3A%2F%2Fwww.webofscience.com%2Fwos%2Fwoscc%2Ffull-record%2FWOS:000463842700016","View Full Record in Web of Science")</f>
        <v>View Full Record in Web of Science</v>
      </c>
    </row>
    <row r="434" spans="1:72" x14ac:dyDescent="0.15">
      <c r="A434" t="s">
        <v>72</v>
      </c>
      <c r="B434" t="s">
        <v>8702</v>
      </c>
      <c r="C434" t="s">
        <v>74</v>
      </c>
      <c r="D434" t="s">
        <v>74</v>
      </c>
      <c r="E434" t="s">
        <v>74</v>
      </c>
      <c r="F434" t="s">
        <v>8703</v>
      </c>
      <c r="G434" t="s">
        <v>74</v>
      </c>
      <c r="H434" t="s">
        <v>74</v>
      </c>
      <c r="I434" t="s">
        <v>8704</v>
      </c>
      <c r="J434" t="s">
        <v>3481</v>
      </c>
      <c r="K434" t="s">
        <v>74</v>
      </c>
      <c r="L434" t="s">
        <v>74</v>
      </c>
      <c r="M434" t="s">
        <v>78</v>
      </c>
      <c r="N434" t="s">
        <v>79</v>
      </c>
      <c r="O434" t="s">
        <v>74</v>
      </c>
      <c r="P434" t="s">
        <v>74</v>
      </c>
      <c r="Q434" t="s">
        <v>74</v>
      </c>
      <c r="R434" t="s">
        <v>74</v>
      </c>
      <c r="S434" t="s">
        <v>74</v>
      </c>
      <c r="T434" t="s">
        <v>74</v>
      </c>
      <c r="U434" t="s">
        <v>8705</v>
      </c>
      <c r="V434" t="s">
        <v>8706</v>
      </c>
      <c r="W434" t="s">
        <v>8707</v>
      </c>
      <c r="X434" t="s">
        <v>6901</v>
      </c>
      <c r="Y434" t="s">
        <v>8708</v>
      </c>
      <c r="Z434" t="s">
        <v>8709</v>
      </c>
      <c r="AA434" t="s">
        <v>8710</v>
      </c>
      <c r="AB434" t="s">
        <v>8711</v>
      </c>
      <c r="AC434" t="s">
        <v>8712</v>
      </c>
      <c r="AD434" t="s">
        <v>8713</v>
      </c>
      <c r="AE434" t="s">
        <v>8714</v>
      </c>
      <c r="AF434" t="s">
        <v>74</v>
      </c>
      <c r="AG434">
        <v>46</v>
      </c>
      <c r="AH434">
        <v>13</v>
      </c>
      <c r="AI434">
        <v>13</v>
      </c>
      <c r="AJ434">
        <v>1</v>
      </c>
      <c r="AK434">
        <v>21</v>
      </c>
      <c r="AL434" t="s">
        <v>576</v>
      </c>
      <c r="AM434" t="s">
        <v>607</v>
      </c>
      <c r="AN434" t="s">
        <v>2143</v>
      </c>
      <c r="AO434" t="s">
        <v>3494</v>
      </c>
      <c r="AP434" t="s">
        <v>3495</v>
      </c>
      <c r="AQ434" t="s">
        <v>74</v>
      </c>
      <c r="AR434" t="s">
        <v>3496</v>
      </c>
      <c r="AS434" t="s">
        <v>3497</v>
      </c>
      <c r="AT434" t="s">
        <v>7895</v>
      </c>
      <c r="AU434">
        <v>2019</v>
      </c>
      <c r="AV434">
        <v>52</v>
      </c>
      <c r="AW434" t="s">
        <v>8698</v>
      </c>
      <c r="AX434" t="s">
        <v>74</v>
      </c>
      <c r="AY434" t="s">
        <v>74</v>
      </c>
      <c r="AZ434" t="s">
        <v>74</v>
      </c>
      <c r="BA434" t="s">
        <v>74</v>
      </c>
      <c r="BB434">
        <v>3223</v>
      </c>
      <c r="BC434">
        <v>3239</v>
      </c>
      <c r="BD434" t="s">
        <v>74</v>
      </c>
      <c r="BE434" t="s">
        <v>8715</v>
      </c>
      <c r="BF434" t="str">
        <f>HYPERLINK("http://dx.doi.org/10.1007/s00382-018-4319-8","http://dx.doi.org/10.1007/s00382-018-4319-8")</f>
        <v>http://dx.doi.org/10.1007/s00382-018-4319-8</v>
      </c>
      <c r="BG434" t="s">
        <v>74</v>
      </c>
      <c r="BH434" t="s">
        <v>74</v>
      </c>
      <c r="BI434">
        <v>17</v>
      </c>
      <c r="BJ434" t="s">
        <v>133</v>
      </c>
      <c r="BK434" t="s">
        <v>102</v>
      </c>
      <c r="BL434" t="s">
        <v>133</v>
      </c>
      <c r="BM434" t="s">
        <v>8700</v>
      </c>
      <c r="BN434" t="s">
        <v>74</v>
      </c>
      <c r="BO434" t="s">
        <v>74</v>
      </c>
      <c r="BP434" t="s">
        <v>74</v>
      </c>
      <c r="BQ434" t="s">
        <v>74</v>
      </c>
      <c r="BR434" t="s">
        <v>107</v>
      </c>
      <c r="BS434" t="s">
        <v>8716</v>
      </c>
      <c r="BT434" t="str">
        <f>HYPERLINK("https%3A%2F%2Fwww.webofscience.com%2Fwos%2Fwoscc%2Ffull-record%2FWOS:000463842700040","View Full Record in Web of Science")</f>
        <v>View Full Record in Web of Science</v>
      </c>
    </row>
    <row r="435" spans="1:72" x14ac:dyDescent="0.15">
      <c r="A435" t="s">
        <v>72</v>
      </c>
      <c r="B435" t="s">
        <v>8717</v>
      </c>
      <c r="C435" t="s">
        <v>74</v>
      </c>
      <c r="D435" t="s">
        <v>74</v>
      </c>
      <c r="E435" t="s">
        <v>74</v>
      </c>
      <c r="F435" t="s">
        <v>8718</v>
      </c>
      <c r="G435" t="s">
        <v>74</v>
      </c>
      <c r="H435" t="s">
        <v>74</v>
      </c>
      <c r="I435" t="s">
        <v>8719</v>
      </c>
      <c r="J435" t="s">
        <v>8720</v>
      </c>
      <c r="K435" t="s">
        <v>74</v>
      </c>
      <c r="L435" t="s">
        <v>74</v>
      </c>
      <c r="M435" t="s">
        <v>78</v>
      </c>
      <c r="N435" t="s">
        <v>79</v>
      </c>
      <c r="O435" t="s">
        <v>74</v>
      </c>
      <c r="P435" t="s">
        <v>74</v>
      </c>
      <c r="Q435" t="s">
        <v>74</v>
      </c>
      <c r="R435" t="s">
        <v>74</v>
      </c>
      <c r="S435" t="s">
        <v>74</v>
      </c>
      <c r="T435" t="s">
        <v>8721</v>
      </c>
      <c r="U435" t="s">
        <v>8722</v>
      </c>
      <c r="V435" t="s">
        <v>8723</v>
      </c>
      <c r="W435" t="s">
        <v>8724</v>
      </c>
      <c r="X435" t="s">
        <v>8725</v>
      </c>
      <c r="Y435" t="s">
        <v>8726</v>
      </c>
      <c r="Z435" t="s">
        <v>8727</v>
      </c>
      <c r="AA435" t="s">
        <v>8728</v>
      </c>
      <c r="AB435" t="s">
        <v>8729</v>
      </c>
      <c r="AC435" t="s">
        <v>8730</v>
      </c>
      <c r="AD435" t="s">
        <v>8731</v>
      </c>
      <c r="AE435" t="s">
        <v>8732</v>
      </c>
      <c r="AF435" t="s">
        <v>74</v>
      </c>
      <c r="AG435">
        <v>72</v>
      </c>
      <c r="AH435">
        <v>15</v>
      </c>
      <c r="AI435">
        <v>15</v>
      </c>
      <c r="AJ435">
        <v>1</v>
      </c>
      <c r="AK435">
        <v>21</v>
      </c>
      <c r="AL435" t="s">
        <v>125</v>
      </c>
      <c r="AM435" t="s">
        <v>126</v>
      </c>
      <c r="AN435" t="s">
        <v>127</v>
      </c>
      <c r="AO435" t="s">
        <v>8733</v>
      </c>
      <c r="AP435" t="s">
        <v>8734</v>
      </c>
      <c r="AQ435" t="s">
        <v>74</v>
      </c>
      <c r="AR435" t="s">
        <v>8735</v>
      </c>
      <c r="AS435" t="s">
        <v>8736</v>
      </c>
      <c r="AT435" t="s">
        <v>7895</v>
      </c>
      <c r="AU435">
        <v>2019</v>
      </c>
      <c r="AV435">
        <v>124</v>
      </c>
      <c r="AW435">
        <v>3</v>
      </c>
      <c r="AX435" t="s">
        <v>74</v>
      </c>
      <c r="AY435" t="s">
        <v>74</v>
      </c>
      <c r="AZ435" t="s">
        <v>74</v>
      </c>
      <c r="BA435" t="s">
        <v>74</v>
      </c>
      <c r="BB435">
        <v>750</v>
      </c>
      <c r="BC435">
        <v>765</v>
      </c>
      <c r="BD435" t="s">
        <v>74</v>
      </c>
      <c r="BE435" t="s">
        <v>8737</v>
      </c>
      <c r="BF435" t="str">
        <f>HYPERLINK("http://dx.doi.org/10.1029/2018JF004772","http://dx.doi.org/10.1029/2018JF004772")</f>
        <v>http://dx.doi.org/10.1029/2018JF004772</v>
      </c>
      <c r="BG435" t="s">
        <v>74</v>
      </c>
      <c r="BH435" t="s">
        <v>74</v>
      </c>
      <c r="BI435">
        <v>16</v>
      </c>
      <c r="BJ435" t="s">
        <v>922</v>
      </c>
      <c r="BK435" t="s">
        <v>102</v>
      </c>
      <c r="BL435" t="s">
        <v>923</v>
      </c>
      <c r="BM435" t="s">
        <v>8738</v>
      </c>
      <c r="BN435" t="s">
        <v>74</v>
      </c>
      <c r="BO435" t="s">
        <v>925</v>
      </c>
      <c r="BP435" t="s">
        <v>74</v>
      </c>
      <c r="BQ435" t="s">
        <v>74</v>
      </c>
      <c r="BR435" t="s">
        <v>107</v>
      </c>
      <c r="BS435" t="s">
        <v>8739</v>
      </c>
      <c r="BT435" t="str">
        <f>HYPERLINK("https%3A%2F%2Fwww.webofscience.com%2Fwos%2Fwoscc%2Ffull-record%2FWOS:000463993300006","View Full Record in Web of Science")</f>
        <v>View Full Record in Web of Science</v>
      </c>
    </row>
    <row r="436" spans="1:72" x14ac:dyDescent="0.15">
      <c r="A436" t="s">
        <v>72</v>
      </c>
      <c r="B436" t="s">
        <v>8740</v>
      </c>
      <c r="C436" t="s">
        <v>74</v>
      </c>
      <c r="D436" t="s">
        <v>74</v>
      </c>
      <c r="E436" t="s">
        <v>74</v>
      </c>
      <c r="F436" t="s">
        <v>8741</v>
      </c>
      <c r="G436" t="s">
        <v>74</v>
      </c>
      <c r="H436" t="s">
        <v>74</v>
      </c>
      <c r="I436" t="s">
        <v>8742</v>
      </c>
      <c r="J436" t="s">
        <v>8720</v>
      </c>
      <c r="K436" t="s">
        <v>74</v>
      </c>
      <c r="L436" t="s">
        <v>74</v>
      </c>
      <c r="M436" t="s">
        <v>78</v>
      </c>
      <c r="N436" t="s">
        <v>79</v>
      </c>
      <c r="O436" t="s">
        <v>74</v>
      </c>
      <c r="P436" t="s">
        <v>74</v>
      </c>
      <c r="Q436" t="s">
        <v>74</v>
      </c>
      <c r="R436" t="s">
        <v>74</v>
      </c>
      <c r="S436" t="s">
        <v>74</v>
      </c>
      <c r="T436" t="s">
        <v>8743</v>
      </c>
      <c r="U436" t="s">
        <v>8744</v>
      </c>
      <c r="V436" t="s">
        <v>8745</v>
      </c>
      <c r="W436" t="s">
        <v>8746</v>
      </c>
      <c r="X436" t="s">
        <v>8747</v>
      </c>
      <c r="Y436" t="s">
        <v>8748</v>
      </c>
      <c r="Z436" t="s">
        <v>8749</v>
      </c>
      <c r="AA436" t="s">
        <v>74</v>
      </c>
      <c r="AB436" t="s">
        <v>8750</v>
      </c>
      <c r="AC436" t="s">
        <v>8751</v>
      </c>
      <c r="AD436" t="s">
        <v>8752</v>
      </c>
      <c r="AE436" t="s">
        <v>8753</v>
      </c>
      <c r="AF436" t="s">
        <v>74</v>
      </c>
      <c r="AG436">
        <v>97</v>
      </c>
      <c r="AH436">
        <v>2</v>
      </c>
      <c r="AI436">
        <v>3</v>
      </c>
      <c r="AJ436">
        <v>1</v>
      </c>
      <c r="AK436">
        <v>8</v>
      </c>
      <c r="AL436" t="s">
        <v>125</v>
      </c>
      <c r="AM436" t="s">
        <v>126</v>
      </c>
      <c r="AN436" t="s">
        <v>127</v>
      </c>
      <c r="AO436" t="s">
        <v>8733</v>
      </c>
      <c r="AP436" t="s">
        <v>8734</v>
      </c>
      <c r="AQ436" t="s">
        <v>74</v>
      </c>
      <c r="AR436" t="s">
        <v>8735</v>
      </c>
      <c r="AS436" t="s">
        <v>8736</v>
      </c>
      <c r="AT436" t="s">
        <v>7895</v>
      </c>
      <c r="AU436">
        <v>2019</v>
      </c>
      <c r="AV436">
        <v>124</v>
      </c>
      <c r="AW436">
        <v>3</v>
      </c>
      <c r="AX436" t="s">
        <v>74</v>
      </c>
      <c r="AY436" t="s">
        <v>74</v>
      </c>
      <c r="AZ436" t="s">
        <v>74</v>
      </c>
      <c r="BA436" t="s">
        <v>74</v>
      </c>
      <c r="BB436">
        <v>795</v>
      </c>
      <c r="BC436">
        <v>811</v>
      </c>
      <c r="BD436" t="s">
        <v>74</v>
      </c>
      <c r="BE436" t="s">
        <v>8754</v>
      </c>
      <c r="BF436" t="str">
        <f>HYPERLINK("http://dx.doi.org/10.1029/2018JF004692","http://dx.doi.org/10.1029/2018JF004692")</f>
        <v>http://dx.doi.org/10.1029/2018JF004692</v>
      </c>
      <c r="BG436" t="s">
        <v>74</v>
      </c>
      <c r="BH436" t="s">
        <v>74</v>
      </c>
      <c r="BI436">
        <v>17</v>
      </c>
      <c r="BJ436" t="s">
        <v>922</v>
      </c>
      <c r="BK436" t="s">
        <v>102</v>
      </c>
      <c r="BL436" t="s">
        <v>923</v>
      </c>
      <c r="BM436" t="s">
        <v>8738</v>
      </c>
      <c r="BN436" t="s">
        <v>74</v>
      </c>
      <c r="BO436" t="s">
        <v>74</v>
      </c>
      <c r="BP436" t="s">
        <v>74</v>
      </c>
      <c r="BQ436" t="s">
        <v>74</v>
      </c>
      <c r="BR436" t="s">
        <v>107</v>
      </c>
      <c r="BS436" t="s">
        <v>8755</v>
      </c>
      <c r="BT436" t="str">
        <f>HYPERLINK("https%3A%2F%2Fwww.webofscience.com%2Fwos%2Fwoscc%2Ffull-record%2FWOS:000463993300008","View Full Record in Web of Science")</f>
        <v>View Full Record in Web of Science</v>
      </c>
    </row>
    <row r="437" spans="1:72" x14ac:dyDescent="0.15">
      <c r="A437" t="s">
        <v>72</v>
      </c>
      <c r="B437" t="s">
        <v>8756</v>
      </c>
      <c r="C437" t="s">
        <v>74</v>
      </c>
      <c r="D437" t="s">
        <v>74</v>
      </c>
      <c r="E437" t="s">
        <v>74</v>
      </c>
      <c r="F437" t="s">
        <v>8757</v>
      </c>
      <c r="G437" t="s">
        <v>74</v>
      </c>
      <c r="H437" t="s">
        <v>74</v>
      </c>
      <c r="I437" t="s">
        <v>8758</v>
      </c>
      <c r="J437" t="s">
        <v>8720</v>
      </c>
      <c r="K437" t="s">
        <v>74</v>
      </c>
      <c r="L437" t="s">
        <v>74</v>
      </c>
      <c r="M437" t="s">
        <v>78</v>
      </c>
      <c r="N437" t="s">
        <v>79</v>
      </c>
      <c r="O437" t="s">
        <v>74</v>
      </c>
      <c r="P437" t="s">
        <v>74</v>
      </c>
      <c r="Q437" t="s">
        <v>74</v>
      </c>
      <c r="R437" t="s">
        <v>74</v>
      </c>
      <c r="S437" t="s">
        <v>74</v>
      </c>
      <c r="T437" t="s">
        <v>8759</v>
      </c>
      <c r="U437" t="s">
        <v>8760</v>
      </c>
      <c r="V437" t="s">
        <v>8761</v>
      </c>
      <c r="W437" t="s">
        <v>8762</v>
      </c>
      <c r="X437" t="s">
        <v>8763</v>
      </c>
      <c r="Y437" t="s">
        <v>8764</v>
      </c>
      <c r="Z437" t="s">
        <v>8765</v>
      </c>
      <c r="AA437" t="s">
        <v>8766</v>
      </c>
      <c r="AB437" t="s">
        <v>8767</v>
      </c>
      <c r="AC437" t="s">
        <v>8768</v>
      </c>
      <c r="AD437" t="s">
        <v>8769</v>
      </c>
      <c r="AE437" t="s">
        <v>8770</v>
      </c>
      <c r="AF437" t="s">
        <v>74</v>
      </c>
      <c r="AG437">
        <v>80</v>
      </c>
      <c r="AH437">
        <v>13</v>
      </c>
      <c r="AI437">
        <v>14</v>
      </c>
      <c r="AJ437">
        <v>0</v>
      </c>
      <c r="AK437">
        <v>3</v>
      </c>
      <c r="AL437" t="s">
        <v>125</v>
      </c>
      <c r="AM437" t="s">
        <v>126</v>
      </c>
      <c r="AN437" t="s">
        <v>127</v>
      </c>
      <c r="AO437" t="s">
        <v>8733</v>
      </c>
      <c r="AP437" t="s">
        <v>8734</v>
      </c>
      <c r="AQ437" t="s">
        <v>74</v>
      </c>
      <c r="AR437" t="s">
        <v>8735</v>
      </c>
      <c r="AS437" t="s">
        <v>8736</v>
      </c>
      <c r="AT437" t="s">
        <v>7895</v>
      </c>
      <c r="AU437">
        <v>2019</v>
      </c>
      <c r="AV437">
        <v>124</v>
      </c>
      <c r="AW437">
        <v>3</v>
      </c>
      <c r="AX437" t="s">
        <v>74</v>
      </c>
      <c r="AY437" t="s">
        <v>74</v>
      </c>
      <c r="AZ437" t="s">
        <v>74</v>
      </c>
      <c r="BA437" t="s">
        <v>74</v>
      </c>
      <c r="BB437">
        <v>812</v>
      </c>
      <c r="BC437">
        <v>829</v>
      </c>
      <c r="BD437" t="s">
        <v>74</v>
      </c>
      <c r="BE437" t="s">
        <v>8771</v>
      </c>
      <c r="BF437" t="str">
        <f>HYPERLINK("http://dx.doi.org/10.1029/2018JF004705","http://dx.doi.org/10.1029/2018JF004705")</f>
        <v>http://dx.doi.org/10.1029/2018JF004705</v>
      </c>
      <c r="BG437" t="s">
        <v>74</v>
      </c>
      <c r="BH437" t="s">
        <v>74</v>
      </c>
      <c r="BI437">
        <v>18</v>
      </c>
      <c r="BJ437" t="s">
        <v>922</v>
      </c>
      <c r="BK437" t="s">
        <v>102</v>
      </c>
      <c r="BL437" t="s">
        <v>923</v>
      </c>
      <c r="BM437" t="s">
        <v>8738</v>
      </c>
      <c r="BN437" t="s">
        <v>74</v>
      </c>
      <c r="BO437" t="s">
        <v>5420</v>
      </c>
      <c r="BP437" t="s">
        <v>74</v>
      </c>
      <c r="BQ437" t="s">
        <v>74</v>
      </c>
      <c r="BR437" t="s">
        <v>107</v>
      </c>
      <c r="BS437" t="s">
        <v>8772</v>
      </c>
      <c r="BT437" t="str">
        <f>HYPERLINK("https%3A%2F%2Fwww.webofscience.com%2Fwos%2Fwoscc%2Ffull-record%2FWOS:000463993300009","View Full Record in Web of Science")</f>
        <v>View Full Record in Web of Science</v>
      </c>
    </row>
    <row r="438" spans="1:72" x14ac:dyDescent="0.15">
      <c r="A438" t="s">
        <v>72</v>
      </c>
      <c r="B438" t="s">
        <v>8773</v>
      </c>
      <c r="C438" t="s">
        <v>74</v>
      </c>
      <c r="D438" t="s">
        <v>74</v>
      </c>
      <c r="E438" t="s">
        <v>74</v>
      </c>
      <c r="F438" t="s">
        <v>8774</v>
      </c>
      <c r="G438" t="s">
        <v>74</v>
      </c>
      <c r="H438" t="s">
        <v>74</v>
      </c>
      <c r="I438" t="s">
        <v>8775</v>
      </c>
      <c r="J438" t="s">
        <v>8776</v>
      </c>
      <c r="K438" t="s">
        <v>74</v>
      </c>
      <c r="L438" t="s">
        <v>74</v>
      </c>
      <c r="M438" t="s">
        <v>78</v>
      </c>
      <c r="N438" t="s">
        <v>79</v>
      </c>
      <c r="O438" t="s">
        <v>74</v>
      </c>
      <c r="P438" t="s">
        <v>74</v>
      </c>
      <c r="Q438" t="s">
        <v>74</v>
      </c>
      <c r="R438" t="s">
        <v>74</v>
      </c>
      <c r="S438" t="s">
        <v>74</v>
      </c>
      <c r="T438" t="s">
        <v>8777</v>
      </c>
      <c r="U438" t="s">
        <v>8778</v>
      </c>
      <c r="V438" t="s">
        <v>8779</v>
      </c>
      <c r="W438" t="s">
        <v>8780</v>
      </c>
      <c r="X438" t="s">
        <v>8781</v>
      </c>
      <c r="Y438" t="s">
        <v>8782</v>
      </c>
      <c r="Z438" t="s">
        <v>8783</v>
      </c>
      <c r="AA438" t="s">
        <v>8784</v>
      </c>
      <c r="AB438" t="s">
        <v>8785</v>
      </c>
      <c r="AC438" t="s">
        <v>8786</v>
      </c>
      <c r="AD438" t="s">
        <v>8787</v>
      </c>
      <c r="AE438" t="s">
        <v>8788</v>
      </c>
      <c r="AF438" t="s">
        <v>74</v>
      </c>
      <c r="AG438">
        <v>89</v>
      </c>
      <c r="AH438">
        <v>25</v>
      </c>
      <c r="AI438">
        <v>27</v>
      </c>
      <c r="AJ438">
        <v>7</v>
      </c>
      <c r="AK438">
        <v>42</v>
      </c>
      <c r="AL438" t="s">
        <v>153</v>
      </c>
      <c r="AM438" t="s">
        <v>154</v>
      </c>
      <c r="AN438" t="s">
        <v>155</v>
      </c>
      <c r="AO438" t="s">
        <v>8789</v>
      </c>
      <c r="AP438" t="s">
        <v>74</v>
      </c>
      <c r="AQ438" t="s">
        <v>74</v>
      </c>
      <c r="AR438" t="s">
        <v>8776</v>
      </c>
      <c r="AS438" t="s">
        <v>8790</v>
      </c>
      <c r="AT438" t="s">
        <v>7895</v>
      </c>
      <c r="AU438">
        <v>2019</v>
      </c>
      <c r="AV438">
        <v>8</v>
      </c>
      <c r="AW438">
        <v>3</v>
      </c>
      <c r="AX438" t="s">
        <v>74</v>
      </c>
      <c r="AY438" t="s">
        <v>74</v>
      </c>
      <c r="AZ438" t="s">
        <v>74</v>
      </c>
      <c r="BA438" t="s">
        <v>74</v>
      </c>
      <c r="BB438" t="s">
        <v>74</v>
      </c>
      <c r="BC438" t="s">
        <v>74</v>
      </c>
      <c r="BD438" t="s">
        <v>8791</v>
      </c>
      <c r="BE438" t="s">
        <v>8792</v>
      </c>
      <c r="BF438" t="str">
        <f>HYPERLINK("http://dx.doi.org/10.1002/mbo3.657","http://dx.doi.org/10.1002/mbo3.657")</f>
        <v>http://dx.doi.org/10.1002/mbo3.657</v>
      </c>
      <c r="BG438" t="s">
        <v>74</v>
      </c>
      <c r="BH438" t="s">
        <v>74</v>
      </c>
      <c r="BI438">
        <v>18</v>
      </c>
      <c r="BJ438" t="s">
        <v>901</v>
      </c>
      <c r="BK438" t="s">
        <v>102</v>
      </c>
      <c r="BL438" t="s">
        <v>901</v>
      </c>
      <c r="BM438" t="s">
        <v>8793</v>
      </c>
      <c r="BN438">
        <v>29926536</v>
      </c>
      <c r="BO438" t="s">
        <v>851</v>
      </c>
      <c r="BP438" t="s">
        <v>74</v>
      </c>
      <c r="BQ438" t="s">
        <v>74</v>
      </c>
      <c r="BR438" t="s">
        <v>107</v>
      </c>
      <c r="BS438" t="s">
        <v>8794</v>
      </c>
      <c r="BT438" t="str">
        <f>HYPERLINK("https%3A%2F%2Fwww.webofscience.com%2Fwos%2Fwoscc%2Ffull-record%2FWOS:000463972500014","View Full Record in Web of Science")</f>
        <v>View Full Record in Web of Science</v>
      </c>
    </row>
    <row r="439" spans="1:72" x14ac:dyDescent="0.15">
      <c r="A439" t="s">
        <v>72</v>
      </c>
      <c r="B439" t="s">
        <v>8795</v>
      </c>
      <c r="C439" t="s">
        <v>74</v>
      </c>
      <c r="D439" t="s">
        <v>74</v>
      </c>
      <c r="E439" t="s">
        <v>74</v>
      </c>
      <c r="F439" t="s">
        <v>8796</v>
      </c>
      <c r="G439" t="s">
        <v>74</v>
      </c>
      <c r="H439" t="s">
        <v>74</v>
      </c>
      <c r="I439" t="s">
        <v>8797</v>
      </c>
      <c r="J439" t="s">
        <v>8798</v>
      </c>
      <c r="K439" t="s">
        <v>74</v>
      </c>
      <c r="L439" t="s">
        <v>74</v>
      </c>
      <c r="M439" t="s">
        <v>78</v>
      </c>
      <c r="N439" t="s">
        <v>6706</v>
      </c>
      <c r="O439" t="s">
        <v>74</v>
      </c>
      <c r="P439" t="s">
        <v>74</v>
      </c>
      <c r="Q439" t="s">
        <v>74</v>
      </c>
      <c r="R439" t="s">
        <v>74</v>
      </c>
      <c r="S439" t="s">
        <v>74</v>
      </c>
      <c r="T439" t="s">
        <v>74</v>
      </c>
      <c r="U439" t="s">
        <v>74</v>
      </c>
      <c r="V439" t="s">
        <v>74</v>
      </c>
      <c r="W439" t="s">
        <v>8799</v>
      </c>
      <c r="X439" t="s">
        <v>8800</v>
      </c>
      <c r="Y439" t="s">
        <v>8801</v>
      </c>
      <c r="Z439" t="s">
        <v>8802</v>
      </c>
      <c r="AA439" t="s">
        <v>74</v>
      </c>
      <c r="AB439" t="s">
        <v>74</v>
      </c>
      <c r="AC439" t="s">
        <v>74</v>
      </c>
      <c r="AD439" t="s">
        <v>74</v>
      </c>
      <c r="AE439" t="s">
        <v>74</v>
      </c>
      <c r="AF439" t="s">
        <v>74</v>
      </c>
      <c r="AG439">
        <v>1</v>
      </c>
      <c r="AH439">
        <v>0</v>
      </c>
      <c r="AI439">
        <v>0</v>
      </c>
      <c r="AJ439">
        <v>1</v>
      </c>
      <c r="AK439">
        <v>3</v>
      </c>
      <c r="AL439" t="s">
        <v>8803</v>
      </c>
      <c r="AM439" t="s">
        <v>8804</v>
      </c>
      <c r="AN439" t="s">
        <v>8805</v>
      </c>
      <c r="AO439" t="s">
        <v>8806</v>
      </c>
      <c r="AP439" t="s">
        <v>8807</v>
      </c>
      <c r="AQ439" t="s">
        <v>74</v>
      </c>
      <c r="AR439" t="s">
        <v>8808</v>
      </c>
      <c r="AS439" t="s">
        <v>8809</v>
      </c>
      <c r="AT439" t="s">
        <v>7895</v>
      </c>
      <c r="AU439">
        <v>2019</v>
      </c>
      <c r="AV439">
        <v>145</v>
      </c>
      <c r="AW439">
        <v>3</v>
      </c>
      <c r="AX439" t="s">
        <v>74</v>
      </c>
      <c r="AY439" t="s">
        <v>74</v>
      </c>
      <c r="AZ439" t="s">
        <v>74</v>
      </c>
      <c r="BA439" t="s">
        <v>74</v>
      </c>
      <c r="BB439">
        <v>1426</v>
      </c>
      <c r="BC439">
        <v>1426</v>
      </c>
      <c r="BD439" t="s">
        <v>74</v>
      </c>
      <c r="BE439" t="s">
        <v>8810</v>
      </c>
      <c r="BF439" t="str">
        <f>HYPERLINK("http://dx.doi.org/10.1121/1.5094779","http://dx.doi.org/10.1121/1.5094779")</f>
        <v>http://dx.doi.org/10.1121/1.5094779</v>
      </c>
      <c r="BG439" t="s">
        <v>74</v>
      </c>
      <c r="BH439" t="s">
        <v>74</v>
      </c>
      <c r="BI439">
        <v>1</v>
      </c>
      <c r="BJ439" t="s">
        <v>8811</v>
      </c>
      <c r="BK439" t="s">
        <v>102</v>
      </c>
      <c r="BL439" t="s">
        <v>8811</v>
      </c>
      <c r="BM439" t="s">
        <v>8812</v>
      </c>
      <c r="BN439">
        <v>31067940</v>
      </c>
      <c r="BO439" t="s">
        <v>279</v>
      </c>
      <c r="BP439" t="s">
        <v>74</v>
      </c>
      <c r="BQ439" t="s">
        <v>74</v>
      </c>
      <c r="BR439" t="s">
        <v>107</v>
      </c>
      <c r="BS439" t="s">
        <v>8813</v>
      </c>
      <c r="BT439" t="str">
        <f>HYPERLINK("https%3A%2F%2Fwww.webofscience.com%2Fwos%2Fwoscc%2Ffull-record%2FWOS:000463743800039","View Full Record in Web of Science")</f>
        <v>View Full Record in Web of Science</v>
      </c>
    </row>
    <row r="440" spans="1:72" x14ac:dyDescent="0.15">
      <c r="A440" t="s">
        <v>72</v>
      </c>
      <c r="B440" t="s">
        <v>8814</v>
      </c>
      <c r="C440" t="s">
        <v>74</v>
      </c>
      <c r="D440" t="s">
        <v>74</v>
      </c>
      <c r="E440" t="s">
        <v>74</v>
      </c>
      <c r="F440" t="s">
        <v>8815</v>
      </c>
      <c r="G440" t="s">
        <v>74</v>
      </c>
      <c r="H440" t="s">
        <v>74</v>
      </c>
      <c r="I440" t="s">
        <v>8816</v>
      </c>
      <c r="J440" t="s">
        <v>8817</v>
      </c>
      <c r="K440" t="s">
        <v>74</v>
      </c>
      <c r="L440" t="s">
        <v>74</v>
      </c>
      <c r="M440" t="s">
        <v>78</v>
      </c>
      <c r="N440" t="s">
        <v>469</v>
      </c>
      <c r="O440" t="s">
        <v>74</v>
      </c>
      <c r="P440" t="s">
        <v>74</v>
      </c>
      <c r="Q440" t="s">
        <v>74</v>
      </c>
      <c r="R440" t="s">
        <v>74</v>
      </c>
      <c r="S440" t="s">
        <v>74</v>
      </c>
      <c r="T440" t="s">
        <v>74</v>
      </c>
      <c r="U440" t="s">
        <v>8818</v>
      </c>
      <c r="V440" t="s">
        <v>8819</v>
      </c>
      <c r="W440" t="s">
        <v>8820</v>
      </c>
      <c r="X440" t="s">
        <v>8821</v>
      </c>
      <c r="Y440" t="s">
        <v>8822</v>
      </c>
      <c r="Z440" t="s">
        <v>8823</v>
      </c>
      <c r="AA440" t="s">
        <v>8824</v>
      </c>
      <c r="AB440" t="s">
        <v>8825</v>
      </c>
      <c r="AC440" t="s">
        <v>8826</v>
      </c>
      <c r="AD440" t="s">
        <v>8827</v>
      </c>
      <c r="AE440" t="s">
        <v>8828</v>
      </c>
      <c r="AF440" t="s">
        <v>74</v>
      </c>
      <c r="AG440">
        <v>95</v>
      </c>
      <c r="AH440">
        <v>16</v>
      </c>
      <c r="AI440">
        <v>16</v>
      </c>
      <c r="AJ440">
        <v>5</v>
      </c>
      <c r="AK440">
        <v>34</v>
      </c>
      <c r="AL440" t="s">
        <v>8829</v>
      </c>
      <c r="AM440" t="s">
        <v>8830</v>
      </c>
      <c r="AN440" t="s">
        <v>8831</v>
      </c>
      <c r="AO440" t="s">
        <v>8832</v>
      </c>
      <c r="AP440" t="s">
        <v>74</v>
      </c>
      <c r="AQ440" t="s">
        <v>74</v>
      </c>
      <c r="AR440" t="s">
        <v>8833</v>
      </c>
      <c r="AS440" t="s">
        <v>8834</v>
      </c>
      <c r="AT440" t="s">
        <v>7895</v>
      </c>
      <c r="AU440">
        <v>2019</v>
      </c>
      <c r="AV440">
        <v>85</v>
      </c>
      <c r="AW440">
        <v>1</v>
      </c>
      <c r="AX440" t="s">
        <v>74</v>
      </c>
      <c r="AY440" t="s">
        <v>74</v>
      </c>
      <c r="AZ440" t="s">
        <v>74</v>
      </c>
      <c r="BA440" t="s">
        <v>74</v>
      </c>
      <c r="BB440">
        <v>169</v>
      </c>
      <c r="BC440">
        <v>187</v>
      </c>
      <c r="BD440" t="s">
        <v>74</v>
      </c>
      <c r="BE440" t="s">
        <v>8835</v>
      </c>
      <c r="BF440" t="str">
        <f>HYPERLINK("http://dx.doi.org/10.16943/ptinsa/2018/49553","http://dx.doi.org/10.16943/ptinsa/2018/49553")</f>
        <v>http://dx.doi.org/10.16943/ptinsa/2018/49553</v>
      </c>
      <c r="BG440" t="s">
        <v>74</v>
      </c>
      <c r="BH440" t="s">
        <v>74</v>
      </c>
      <c r="BI440">
        <v>19</v>
      </c>
      <c r="BJ440" t="s">
        <v>460</v>
      </c>
      <c r="BK440" t="s">
        <v>2712</v>
      </c>
      <c r="BL440" t="s">
        <v>461</v>
      </c>
      <c r="BM440" t="s">
        <v>8836</v>
      </c>
      <c r="BN440" t="s">
        <v>74</v>
      </c>
      <c r="BO440" t="s">
        <v>279</v>
      </c>
      <c r="BP440" t="s">
        <v>74</v>
      </c>
      <c r="BQ440" t="s">
        <v>74</v>
      </c>
      <c r="BR440" t="s">
        <v>107</v>
      </c>
      <c r="BS440" t="s">
        <v>8837</v>
      </c>
      <c r="BT440" t="str">
        <f>HYPERLINK("https%3A%2F%2Fwww.webofscience.com%2Fwos%2Fwoscc%2Ffull-record%2FWOS:000463670000012","View Full Record in Web of Science")</f>
        <v>View Full Record in Web of Science</v>
      </c>
    </row>
    <row r="441" spans="1:72" x14ac:dyDescent="0.15">
      <c r="A441" t="s">
        <v>72</v>
      </c>
      <c r="B441" t="s">
        <v>8838</v>
      </c>
      <c r="C441" t="s">
        <v>74</v>
      </c>
      <c r="D441" t="s">
        <v>74</v>
      </c>
      <c r="E441" t="s">
        <v>74</v>
      </c>
      <c r="F441" t="s">
        <v>8839</v>
      </c>
      <c r="G441" t="s">
        <v>74</v>
      </c>
      <c r="H441" t="s">
        <v>74</v>
      </c>
      <c r="I441" t="s">
        <v>8840</v>
      </c>
      <c r="J441" t="s">
        <v>8841</v>
      </c>
      <c r="K441" t="s">
        <v>74</v>
      </c>
      <c r="L441" t="s">
        <v>74</v>
      </c>
      <c r="M441" t="s">
        <v>78</v>
      </c>
      <c r="N441" t="s">
        <v>79</v>
      </c>
      <c r="O441" t="s">
        <v>74</v>
      </c>
      <c r="P441" t="s">
        <v>74</v>
      </c>
      <c r="Q441" t="s">
        <v>74</v>
      </c>
      <c r="R441" t="s">
        <v>74</v>
      </c>
      <c r="S441" t="s">
        <v>74</v>
      </c>
      <c r="T441" t="s">
        <v>74</v>
      </c>
      <c r="U441" t="s">
        <v>74</v>
      </c>
      <c r="V441" t="s">
        <v>8842</v>
      </c>
      <c r="W441" t="s">
        <v>8843</v>
      </c>
      <c r="X441" t="s">
        <v>8844</v>
      </c>
      <c r="Y441" t="s">
        <v>8845</v>
      </c>
      <c r="Z441" t="s">
        <v>74</v>
      </c>
      <c r="AA441" t="s">
        <v>74</v>
      </c>
      <c r="AB441" t="s">
        <v>74</v>
      </c>
      <c r="AC441" t="s">
        <v>74</v>
      </c>
      <c r="AD441" t="s">
        <v>74</v>
      </c>
      <c r="AE441" t="s">
        <v>74</v>
      </c>
      <c r="AF441" t="s">
        <v>74</v>
      </c>
      <c r="AG441">
        <v>38</v>
      </c>
      <c r="AH441">
        <v>0</v>
      </c>
      <c r="AI441">
        <v>0</v>
      </c>
      <c r="AJ441">
        <v>0</v>
      </c>
      <c r="AK441">
        <v>8</v>
      </c>
      <c r="AL441" t="s">
        <v>8846</v>
      </c>
      <c r="AM441" t="s">
        <v>8847</v>
      </c>
      <c r="AN441" t="s">
        <v>8848</v>
      </c>
      <c r="AO441" t="s">
        <v>8849</v>
      </c>
      <c r="AP441" t="s">
        <v>74</v>
      </c>
      <c r="AQ441" t="s">
        <v>74</v>
      </c>
      <c r="AR441" t="s">
        <v>8850</v>
      </c>
      <c r="AS441" t="s">
        <v>8851</v>
      </c>
      <c r="AT441" t="s">
        <v>7895</v>
      </c>
      <c r="AU441">
        <v>2019</v>
      </c>
      <c r="AV441">
        <v>36</v>
      </c>
      <c r="AW441">
        <v>2</v>
      </c>
      <c r="AX441" t="s">
        <v>74</v>
      </c>
      <c r="AY441" t="s">
        <v>74</v>
      </c>
      <c r="AZ441" t="s">
        <v>74</v>
      </c>
      <c r="BA441" t="s">
        <v>74</v>
      </c>
      <c r="BB441">
        <v>153</v>
      </c>
      <c r="BC441">
        <v>164</v>
      </c>
      <c r="BD441" t="s">
        <v>74</v>
      </c>
      <c r="BE441" t="s">
        <v>74</v>
      </c>
      <c r="BF441" t="s">
        <v>74</v>
      </c>
      <c r="BG441" t="s">
        <v>74</v>
      </c>
      <c r="BH441" t="s">
        <v>74</v>
      </c>
      <c r="BI441">
        <v>12</v>
      </c>
      <c r="BJ441" t="s">
        <v>8852</v>
      </c>
      <c r="BK441" t="s">
        <v>2712</v>
      </c>
      <c r="BL441" t="s">
        <v>8853</v>
      </c>
      <c r="BM441" t="s">
        <v>8854</v>
      </c>
      <c r="BN441" t="s">
        <v>74</v>
      </c>
      <c r="BO441" t="s">
        <v>74</v>
      </c>
      <c r="BP441" t="s">
        <v>74</v>
      </c>
      <c r="BQ441" t="s">
        <v>74</v>
      </c>
      <c r="BR441" t="s">
        <v>107</v>
      </c>
      <c r="BS441" t="s">
        <v>8855</v>
      </c>
      <c r="BT441" t="str">
        <f>HYPERLINK("https%3A%2F%2Fwww.webofscience.com%2Fwos%2Fwoscc%2Ffull-record%2FWOS:000463139300005","View Full Record in Web of Science")</f>
        <v>View Full Record in Web of Science</v>
      </c>
    </row>
    <row r="442" spans="1:72" x14ac:dyDescent="0.15">
      <c r="A442" t="s">
        <v>72</v>
      </c>
      <c r="B442" t="s">
        <v>8856</v>
      </c>
      <c r="C442" t="s">
        <v>74</v>
      </c>
      <c r="D442" t="s">
        <v>74</v>
      </c>
      <c r="E442" t="s">
        <v>74</v>
      </c>
      <c r="F442" t="s">
        <v>8857</v>
      </c>
      <c r="G442" t="s">
        <v>74</v>
      </c>
      <c r="H442" t="s">
        <v>74</v>
      </c>
      <c r="I442" t="s">
        <v>8858</v>
      </c>
      <c r="J442" t="s">
        <v>8859</v>
      </c>
      <c r="K442" t="s">
        <v>74</v>
      </c>
      <c r="L442" t="s">
        <v>74</v>
      </c>
      <c r="M442" t="s">
        <v>78</v>
      </c>
      <c r="N442" t="s">
        <v>79</v>
      </c>
      <c r="O442" t="s">
        <v>74</v>
      </c>
      <c r="P442" t="s">
        <v>74</v>
      </c>
      <c r="Q442" t="s">
        <v>74</v>
      </c>
      <c r="R442" t="s">
        <v>74</v>
      </c>
      <c r="S442" t="s">
        <v>74</v>
      </c>
      <c r="T442" t="s">
        <v>8860</v>
      </c>
      <c r="U442" t="s">
        <v>8861</v>
      </c>
      <c r="V442" t="s">
        <v>8862</v>
      </c>
      <c r="W442" t="s">
        <v>8863</v>
      </c>
      <c r="X442" t="s">
        <v>8864</v>
      </c>
      <c r="Y442" t="s">
        <v>8865</v>
      </c>
      <c r="Z442" t="s">
        <v>8866</v>
      </c>
      <c r="AA442" t="s">
        <v>8867</v>
      </c>
      <c r="AB442" t="s">
        <v>8868</v>
      </c>
      <c r="AC442" t="s">
        <v>74</v>
      </c>
      <c r="AD442" t="s">
        <v>74</v>
      </c>
      <c r="AE442" t="s">
        <v>74</v>
      </c>
      <c r="AF442" t="s">
        <v>74</v>
      </c>
      <c r="AG442">
        <v>107</v>
      </c>
      <c r="AH442">
        <v>12</v>
      </c>
      <c r="AI442">
        <v>12</v>
      </c>
      <c r="AJ442">
        <v>2</v>
      </c>
      <c r="AK442">
        <v>8</v>
      </c>
      <c r="AL442" t="s">
        <v>2960</v>
      </c>
      <c r="AM442" t="s">
        <v>1004</v>
      </c>
      <c r="AN442" t="s">
        <v>2961</v>
      </c>
      <c r="AO442" t="s">
        <v>8869</v>
      </c>
      <c r="AP442" t="s">
        <v>8870</v>
      </c>
      <c r="AQ442" t="s">
        <v>74</v>
      </c>
      <c r="AR442" t="s">
        <v>8871</v>
      </c>
      <c r="AS442" t="s">
        <v>8872</v>
      </c>
      <c r="AT442" t="s">
        <v>7895</v>
      </c>
      <c r="AU442">
        <v>2019</v>
      </c>
      <c r="AV442">
        <v>8</v>
      </c>
      <c r="AW442">
        <v>1</v>
      </c>
      <c r="AX442" t="s">
        <v>74</v>
      </c>
      <c r="AY442" t="s">
        <v>74</v>
      </c>
      <c r="AZ442" t="s">
        <v>74</v>
      </c>
      <c r="BA442" t="s">
        <v>74</v>
      </c>
      <c r="BB442">
        <v>59</v>
      </c>
      <c r="BC442">
        <v>87</v>
      </c>
      <c r="BD442" t="s">
        <v>74</v>
      </c>
      <c r="BE442" t="s">
        <v>8873</v>
      </c>
      <c r="BF442" t="str">
        <f>HYPERLINK("http://dx.doi.org/10.1017/S2047102518000195","http://dx.doi.org/10.1017/S2047102518000195")</f>
        <v>http://dx.doi.org/10.1017/S2047102518000195</v>
      </c>
      <c r="BG442" t="s">
        <v>74</v>
      </c>
      <c r="BH442" t="s">
        <v>74</v>
      </c>
      <c r="BI442">
        <v>29</v>
      </c>
      <c r="BJ442" t="s">
        <v>8874</v>
      </c>
      <c r="BK442" t="s">
        <v>314</v>
      </c>
      <c r="BL442" t="s">
        <v>8875</v>
      </c>
      <c r="BM442" t="s">
        <v>8876</v>
      </c>
      <c r="BN442" t="s">
        <v>74</v>
      </c>
      <c r="BO442" t="s">
        <v>2764</v>
      </c>
      <c r="BP442" t="s">
        <v>74</v>
      </c>
      <c r="BQ442" t="s">
        <v>74</v>
      </c>
      <c r="BR442" t="s">
        <v>107</v>
      </c>
      <c r="BS442" t="s">
        <v>8877</v>
      </c>
      <c r="BT442" t="str">
        <f>HYPERLINK("https%3A%2F%2Fwww.webofscience.com%2Fwos%2Fwoscc%2Ffull-record%2FWOS:000462865800004","View Full Record in Web of Science")</f>
        <v>View Full Record in Web of Science</v>
      </c>
    </row>
    <row r="443" spans="1:72" x14ac:dyDescent="0.15">
      <c r="A443" t="s">
        <v>72</v>
      </c>
      <c r="B443" t="s">
        <v>8878</v>
      </c>
      <c r="C443" t="s">
        <v>74</v>
      </c>
      <c r="D443" t="s">
        <v>74</v>
      </c>
      <c r="E443" t="s">
        <v>74</v>
      </c>
      <c r="F443" t="s">
        <v>8879</v>
      </c>
      <c r="G443" t="s">
        <v>74</v>
      </c>
      <c r="H443" t="s">
        <v>74</v>
      </c>
      <c r="I443" t="s">
        <v>8880</v>
      </c>
      <c r="J443" t="s">
        <v>8859</v>
      </c>
      <c r="K443" t="s">
        <v>74</v>
      </c>
      <c r="L443" t="s">
        <v>74</v>
      </c>
      <c r="M443" t="s">
        <v>78</v>
      </c>
      <c r="N443" t="s">
        <v>79</v>
      </c>
      <c r="O443" t="s">
        <v>74</v>
      </c>
      <c r="P443" t="s">
        <v>74</v>
      </c>
      <c r="Q443" t="s">
        <v>74</v>
      </c>
      <c r="R443" t="s">
        <v>74</v>
      </c>
      <c r="S443" t="s">
        <v>74</v>
      </c>
      <c r="T443" t="s">
        <v>8881</v>
      </c>
      <c r="U443" t="s">
        <v>8882</v>
      </c>
      <c r="V443" t="s">
        <v>8883</v>
      </c>
      <c r="W443" t="s">
        <v>8884</v>
      </c>
      <c r="X443" t="s">
        <v>2218</v>
      </c>
      <c r="Y443" t="s">
        <v>8885</v>
      </c>
      <c r="Z443" t="s">
        <v>8886</v>
      </c>
      <c r="AA443" t="s">
        <v>8887</v>
      </c>
      <c r="AB443" t="s">
        <v>8888</v>
      </c>
      <c r="AC443" t="s">
        <v>8889</v>
      </c>
      <c r="AD443" t="s">
        <v>8890</v>
      </c>
      <c r="AE443" t="s">
        <v>8891</v>
      </c>
      <c r="AF443" t="s">
        <v>74</v>
      </c>
      <c r="AG443">
        <v>175</v>
      </c>
      <c r="AH443">
        <v>13</v>
      </c>
      <c r="AI443">
        <v>13</v>
      </c>
      <c r="AJ443">
        <v>13</v>
      </c>
      <c r="AK443">
        <v>40</v>
      </c>
      <c r="AL443" t="s">
        <v>2960</v>
      </c>
      <c r="AM443" t="s">
        <v>1004</v>
      </c>
      <c r="AN443" t="s">
        <v>2961</v>
      </c>
      <c r="AO443" t="s">
        <v>8869</v>
      </c>
      <c r="AP443" t="s">
        <v>8870</v>
      </c>
      <c r="AQ443" t="s">
        <v>74</v>
      </c>
      <c r="AR443" t="s">
        <v>8871</v>
      </c>
      <c r="AS443" t="s">
        <v>8872</v>
      </c>
      <c r="AT443" t="s">
        <v>7895</v>
      </c>
      <c r="AU443">
        <v>2019</v>
      </c>
      <c r="AV443">
        <v>8</v>
      </c>
      <c r="AW443">
        <v>1</v>
      </c>
      <c r="AX443" t="s">
        <v>74</v>
      </c>
      <c r="AY443" t="s">
        <v>74</v>
      </c>
      <c r="AZ443" t="s">
        <v>74</v>
      </c>
      <c r="BA443" t="s">
        <v>74</v>
      </c>
      <c r="BB443">
        <v>89</v>
      </c>
      <c r="BC443">
        <v>118</v>
      </c>
      <c r="BD443" t="s">
        <v>74</v>
      </c>
      <c r="BE443" t="s">
        <v>8892</v>
      </c>
      <c r="BF443" t="str">
        <f>HYPERLINK("http://dx.doi.org/10.1017/S2047102518000286","http://dx.doi.org/10.1017/S2047102518000286")</f>
        <v>http://dx.doi.org/10.1017/S2047102518000286</v>
      </c>
      <c r="BG443" t="s">
        <v>74</v>
      </c>
      <c r="BH443" t="s">
        <v>74</v>
      </c>
      <c r="BI443">
        <v>30</v>
      </c>
      <c r="BJ443" t="s">
        <v>8874</v>
      </c>
      <c r="BK443" t="s">
        <v>314</v>
      </c>
      <c r="BL443" t="s">
        <v>8875</v>
      </c>
      <c r="BM443" t="s">
        <v>8876</v>
      </c>
      <c r="BN443" t="s">
        <v>74</v>
      </c>
      <c r="BO443" t="s">
        <v>279</v>
      </c>
      <c r="BP443" t="s">
        <v>74</v>
      </c>
      <c r="BQ443" t="s">
        <v>74</v>
      </c>
      <c r="BR443" t="s">
        <v>107</v>
      </c>
      <c r="BS443" t="s">
        <v>8893</v>
      </c>
      <c r="BT443" t="str">
        <f>HYPERLINK("https%3A%2F%2Fwww.webofscience.com%2Fwos%2Fwoscc%2Ffull-record%2FWOS:000462865800005","View Full Record in Web of Science")</f>
        <v>View Full Record in Web of Science</v>
      </c>
    </row>
    <row r="444" spans="1:72" x14ac:dyDescent="0.15">
      <c r="A444" t="s">
        <v>72</v>
      </c>
      <c r="B444" t="s">
        <v>8894</v>
      </c>
      <c r="C444" t="s">
        <v>74</v>
      </c>
      <c r="D444" t="s">
        <v>74</v>
      </c>
      <c r="E444" t="s">
        <v>74</v>
      </c>
      <c r="F444" t="s">
        <v>8895</v>
      </c>
      <c r="G444" t="s">
        <v>74</v>
      </c>
      <c r="H444" t="s">
        <v>74</v>
      </c>
      <c r="I444" t="s">
        <v>8896</v>
      </c>
      <c r="J444" t="s">
        <v>8859</v>
      </c>
      <c r="K444" t="s">
        <v>74</v>
      </c>
      <c r="L444" t="s">
        <v>74</v>
      </c>
      <c r="M444" t="s">
        <v>78</v>
      </c>
      <c r="N444" t="s">
        <v>5897</v>
      </c>
      <c r="O444" t="s">
        <v>74</v>
      </c>
      <c r="P444" t="s">
        <v>74</v>
      </c>
      <c r="Q444" t="s">
        <v>74</v>
      </c>
      <c r="R444" t="s">
        <v>74</v>
      </c>
      <c r="S444" t="s">
        <v>74</v>
      </c>
      <c r="T444" t="s">
        <v>74</v>
      </c>
      <c r="U444" t="s">
        <v>74</v>
      </c>
      <c r="V444" t="s">
        <v>74</v>
      </c>
      <c r="W444" t="s">
        <v>8897</v>
      </c>
      <c r="X444" t="s">
        <v>2218</v>
      </c>
      <c r="Y444" t="s">
        <v>8898</v>
      </c>
      <c r="Z444" t="s">
        <v>74</v>
      </c>
      <c r="AA444" t="s">
        <v>8899</v>
      </c>
      <c r="AB444" t="s">
        <v>8900</v>
      </c>
      <c r="AC444" t="s">
        <v>74</v>
      </c>
      <c r="AD444" t="s">
        <v>74</v>
      </c>
      <c r="AE444" t="s">
        <v>74</v>
      </c>
      <c r="AF444" t="s">
        <v>74</v>
      </c>
      <c r="AG444">
        <v>20</v>
      </c>
      <c r="AH444">
        <v>0</v>
      </c>
      <c r="AI444">
        <v>0</v>
      </c>
      <c r="AJ444">
        <v>0</v>
      </c>
      <c r="AK444">
        <v>3</v>
      </c>
      <c r="AL444" t="s">
        <v>2960</v>
      </c>
      <c r="AM444" t="s">
        <v>1004</v>
      </c>
      <c r="AN444" t="s">
        <v>2961</v>
      </c>
      <c r="AO444" t="s">
        <v>8869</v>
      </c>
      <c r="AP444" t="s">
        <v>8870</v>
      </c>
      <c r="AQ444" t="s">
        <v>74</v>
      </c>
      <c r="AR444" t="s">
        <v>8871</v>
      </c>
      <c r="AS444" t="s">
        <v>8872</v>
      </c>
      <c r="AT444" t="s">
        <v>7895</v>
      </c>
      <c r="AU444">
        <v>2019</v>
      </c>
      <c r="AV444">
        <v>8</v>
      </c>
      <c r="AW444">
        <v>1</v>
      </c>
      <c r="AX444" t="s">
        <v>74</v>
      </c>
      <c r="AY444" t="s">
        <v>74</v>
      </c>
      <c r="AZ444" t="s">
        <v>74</v>
      </c>
      <c r="BA444" t="s">
        <v>74</v>
      </c>
      <c r="BB444">
        <v>197</v>
      </c>
      <c r="BC444">
        <v>202</v>
      </c>
      <c r="BD444" t="s">
        <v>74</v>
      </c>
      <c r="BE444" t="s">
        <v>8901</v>
      </c>
      <c r="BF444" t="str">
        <f>HYPERLINK("http://dx.doi.org/10.1017/S2047102519000025","http://dx.doi.org/10.1017/S2047102519000025")</f>
        <v>http://dx.doi.org/10.1017/S2047102519000025</v>
      </c>
      <c r="BG444" t="s">
        <v>74</v>
      </c>
      <c r="BH444" t="s">
        <v>74</v>
      </c>
      <c r="BI444">
        <v>6</v>
      </c>
      <c r="BJ444" t="s">
        <v>8874</v>
      </c>
      <c r="BK444" t="s">
        <v>314</v>
      </c>
      <c r="BL444" t="s">
        <v>8875</v>
      </c>
      <c r="BM444" t="s">
        <v>8876</v>
      </c>
      <c r="BN444" t="s">
        <v>74</v>
      </c>
      <c r="BO444" t="s">
        <v>279</v>
      </c>
      <c r="BP444" t="s">
        <v>74</v>
      </c>
      <c r="BQ444" t="s">
        <v>74</v>
      </c>
      <c r="BR444" t="s">
        <v>107</v>
      </c>
      <c r="BS444" t="s">
        <v>8902</v>
      </c>
      <c r="BT444" t="str">
        <f>HYPERLINK("https%3A%2F%2Fwww.webofscience.com%2Fwos%2Fwoscc%2Ffull-record%2FWOS:000462865800010","View Full Record in Web of Science")</f>
        <v>View Full Record in Web of Science</v>
      </c>
    </row>
    <row r="445" spans="1:72" x14ac:dyDescent="0.15">
      <c r="A445" t="s">
        <v>72</v>
      </c>
      <c r="B445" t="s">
        <v>8903</v>
      </c>
      <c r="C445" t="s">
        <v>74</v>
      </c>
      <c r="D445" t="s">
        <v>74</v>
      </c>
      <c r="E445" t="s">
        <v>74</v>
      </c>
      <c r="F445" t="s">
        <v>8904</v>
      </c>
      <c r="G445" t="s">
        <v>74</v>
      </c>
      <c r="H445" t="s">
        <v>74</v>
      </c>
      <c r="I445" t="s">
        <v>8905</v>
      </c>
      <c r="J445" t="s">
        <v>8906</v>
      </c>
      <c r="K445" t="s">
        <v>74</v>
      </c>
      <c r="L445" t="s">
        <v>74</v>
      </c>
      <c r="M445" t="s">
        <v>78</v>
      </c>
      <c r="N445" t="s">
        <v>79</v>
      </c>
      <c r="O445" t="s">
        <v>74</v>
      </c>
      <c r="P445" t="s">
        <v>74</v>
      </c>
      <c r="Q445" t="s">
        <v>74</v>
      </c>
      <c r="R445" t="s">
        <v>74</v>
      </c>
      <c r="S445" t="s">
        <v>74</v>
      </c>
      <c r="T445" t="s">
        <v>8907</v>
      </c>
      <c r="U445" t="s">
        <v>8908</v>
      </c>
      <c r="V445" t="s">
        <v>8909</v>
      </c>
      <c r="W445" t="s">
        <v>8910</v>
      </c>
      <c r="X445" t="s">
        <v>8911</v>
      </c>
      <c r="Y445" t="s">
        <v>8912</v>
      </c>
      <c r="Z445" t="s">
        <v>8913</v>
      </c>
      <c r="AA445" t="s">
        <v>8914</v>
      </c>
      <c r="AB445" t="s">
        <v>8915</v>
      </c>
      <c r="AC445" t="s">
        <v>8916</v>
      </c>
      <c r="AD445" t="s">
        <v>8917</v>
      </c>
      <c r="AE445" t="s">
        <v>8918</v>
      </c>
      <c r="AF445" t="s">
        <v>74</v>
      </c>
      <c r="AG445">
        <v>61</v>
      </c>
      <c r="AH445">
        <v>33</v>
      </c>
      <c r="AI445">
        <v>34</v>
      </c>
      <c r="AJ445">
        <v>2</v>
      </c>
      <c r="AK445">
        <v>12</v>
      </c>
      <c r="AL445" t="s">
        <v>1486</v>
      </c>
      <c r="AM445" t="s">
        <v>126</v>
      </c>
      <c r="AN445" t="s">
        <v>1487</v>
      </c>
      <c r="AO445" t="s">
        <v>8919</v>
      </c>
      <c r="AP445" t="s">
        <v>74</v>
      </c>
      <c r="AQ445" t="s">
        <v>74</v>
      </c>
      <c r="AR445" t="s">
        <v>8920</v>
      </c>
      <c r="AS445" t="s">
        <v>8921</v>
      </c>
      <c r="AT445" t="s">
        <v>7895</v>
      </c>
      <c r="AU445">
        <v>2019</v>
      </c>
      <c r="AV445">
        <v>3</v>
      </c>
      <c r="AW445">
        <v>3</v>
      </c>
      <c r="AX445" t="s">
        <v>74</v>
      </c>
      <c r="AY445" t="s">
        <v>74</v>
      </c>
      <c r="AZ445" t="s">
        <v>74</v>
      </c>
      <c r="BA445" t="s">
        <v>74</v>
      </c>
      <c r="BB445">
        <v>463</v>
      </c>
      <c r="BC445">
        <v>472</v>
      </c>
      <c r="BD445" t="s">
        <v>74</v>
      </c>
      <c r="BE445" t="s">
        <v>8922</v>
      </c>
      <c r="BF445" t="str">
        <f>HYPERLINK("http://dx.doi.org/10.1021/acsearthspacechem.9b00006","http://dx.doi.org/10.1021/acsearthspacechem.9b00006")</f>
        <v>http://dx.doi.org/10.1021/acsearthspacechem.9b00006</v>
      </c>
      <c r="BG445" t="s">
        <v>74</v>
      </c>
      <c r="BH445" t="s">
        <v>74</v>
      </c>
      <c r="BI445">
        <v>19</v>
      </c>
      <c r="BJ445" t="s">
        <v>8923</v>
      </c>
      <c r="BK445" t="s">
        <v>102</v>
      </c>
      <c r="BL445" t="s">
        <v>8924</v>
      </c>
      <c r="BM445" t="s">
        <v>8925</v>
      </c>
      <c r="BN445">
        <v>32617450</v>
      </c>
      <c r="BO445" t="s">
        <v>6520</v>
      </c>
      <c r="BP445" t="s">
        <v>74</v>
      </c>
      <c r="BQ445" t="s">
        <v>74</v>
      </c>
      <c r="BR445" t="s">
        <v>107</v>
      </c>
      <c r="BS445" t="s">
        <v>8926</v>
      </c>
      <c r="BT445" t="str">
        <f>HYPERLINK("https%3A%2F%2Fwww.webofscience.com%2Fwos%2Fwoscc%2Ffull-record%2FWOS:000462261000015","View Full Record in Web of Science")</f>
        <v>View Full Record in Web of Science</v>
      </c>
    </row>
    <row r="446" spans="1:72" x14ac:dyDescent="0.15">
      <c r="A446" t="s">
        <v>72</v>
      </c>
      <c r="B446" t="s">
        <v>8927</v>
      </c>
      <c r="C446" t="s">
        <v>74</v>
      </c>
      <c r="D446" t="s">
        <v>74</v>
      </c>
      <c r="E446" t="s">
        <v>74</v>
      </c>
      <c r="F446" t="s">
        <v>8928</v>
      </c>
      <c r="G446" t="s">
        <v>74</v>
      </c>
      <c r="H446" t="s">
        <v>74</v>
      </c>
      <c r="I446" t="s">
        <v>8929</v>
      </c>
      <c r="J446" t="s">
        <v>8930</v>
      </c>
      <c r="K446" t="s">
        <v>74</v>
      </c>
      <c r="L446" t="s">
        <v>74</v>
      </c>
      <c r="M446" t="s">
        <v>78</v>
      </c>
      <c r="N446" t="s">
        <v>79</v>
      </c>
      <c r="O446" t="s">
        <v>74</v>
      </c>
      <c r="P446" t="s">
        <v>74</v>
      </c>
      <c r="Q446" t="s">
        <v>74</v>
      </c>
      <c r="R446" t="s">
        <v>74</v>
      </c>
      <c r="S446" t="s">
        <v>74</v>
      </c>
      <c r="T446" t="s">
        <v>8931</v>
      </c>
      <c r="U446" t="s">
        <v>8932</v>
      </c>
      <c r="V446" t="s">
        <v>8933</v>
      </c>
      <c r="W446" t="s">
        <v>8934</v>
      </c>
      <c r="X446" t="s">
        <v>8935</v>
      </c>
      <c r="Y446" t="s">
        <v>8936</v>
      </c>
      <c r="Z446" t="s">
        <v>8937</v>
      </c>
      <c r="AA446" t="s">
        <v>74</v>
      </c>
      <c r="AB446" t="s">
        <v>8938</v>
      </c>
      <c r="AC446" t="s">
        <v>8939</v>
      </c>
      <c r="AD446" t="s">
        <v>8940</v>
      </c>
      <c r="AE446" t="s">
        <v>8941</v>
      </c>
      <c r="AF446" t="s">
        <v>74</v>
      </c>
      <c r="AG446">
        <v>129</v>
      </c>
      <c r="AH446">
        <v>4</v>
      </c>
      <c r="AI446">
        <v>5</v>
      </c>
      <c r="AJ446">
        <v>4</v>
      </c>
      <c r="AK446">
        <v>32</v>
      </c>
      <c r="AL446" t="s">
        <v>576</v>
      </c>
      <c r="AM446" t="s">
        <v>607</v>
      </c>
      <c r="AN446" t="s">
        <v>3493</v>
      </c>
      <c r="AO446" t="s">
        <v>8942</v>
      </c>
      <c r="AP446" t="s">
        <v>8943</v>
      </c>
      <c r="AQ446" t="s">
        <v>74</v>
      </c>
      <c r="AR446" t="s">
        <v>8944</v>
      </c>
      <c r="AS446" t="s">
        <v>8945</v>
      </c>
      <c r="AT446" t="s">
        <v>7895</v>
      </c>
      <c r="AU446">
        <v>2019</v>
      </c>
      <c r="AV446">
        <v>38</v>
      </c>
      <c r="AW446">
        <v>3</v>
      </c>
      <c r="AX446" t="s">
        <v>74</v>
      </c>
      <c r="AY446" t="s">
        <v>74</v>
      </c>
      <c r="AZ446" t="s">
        <v>74</v>
      </c>
      <c r="BA446" t="s">
        <v>74</v>
      </c>
      <c r="BB446">
        <v>124</v>
      </c>
      <c r="BC446">
        <v>137</v>
      </c>
      <c r="BD446" t="s">
        <v>74</v>
      </c>
      <c r="BE446" t="s">
        <v>8946</v>
      </c>
      <c r="BF446" t="str">
        <f>HYPERLINK("http://dx.doi.org/10.1007/s13131-019-1405-7","http://dx.doi.org/10.1007/s13131-019-1405-7")</f>
        <v>http://dx.doi.org/10.1007/s13131-019-1405-7</v>
      </c>
      <c r="BG446" t="s">
        <v>74</v>
      </c>
      <c r="BH446" t="s">
        <v>74</v>
      </c>
      <c r="BI446">
        <v>14</v>
      </c>
      <c r="BJ446" t="s">
        <v>277</v>
      </c>
      <c r="BK446" t="s">
        <v>102</v>
      </c>
      <c r="BL446" t="s">
        <v>277</v>
      </c>
      <c r="BM446" t="s">
        <v>8947</v>
      </c>
      <c r="BN446" t="s">
        <v>74</v>
      </c>
      <c r="BO446" t="s">
        <v>74</v>
      </c>
      <c r="BP446" t="s">
        <v>74</v>
      </c>
      <c r="BQ446" t="s">
        <v>74</v>
      </c>
      <c r="BR446" t="s">
        <v>107</v>
      </c>
      <c r="BS446" t="s">
        <v>8948</v>
      </c>
      <c r="BT446" t="str">
        <f>HYPERLINK("https%3A%2F%2Fwww.webofscience.com%2Fwos%2Fwoscc%2Ffull-record%2FWOS:000462288400012","View Full Record in Web of Science")</f>
        <v>View Full Record in Web of Science</v>
      </c>
    </row>
    <row r="447" spans="1:72" x14ac:dyDescent="0.15">
      <c r="A447" t="s">
        <v>72</v>
      </c>
      <c r="B447" t="s">
        <v>8949</v>
      </c>
      <c r="C447" t="s">
        <v>74</v>
      </c>
      <c r="D447" t="s">
        <v>74</v>
      </c>
      <c r="E447" t="s">
        <v>74</v>
      </c>
      <c r="F447" t="s">
        <v>8950</v>
      </c>
      <c r="G447" t="s">
        <v>74</v>
      </c>
      <c r="H447" t="s">
        <v>74</v>
      </c>
      <c r="I447" t="s">
        <v>8951</v>
      </c>
      <c r="J447" t="s">
        <v>8952</v>
      </c>
      <c r="K447" t="s">
        <v>74</v>
      </c>
      <c r="L447" t="s">
        <v>74</v>
      </c>
      <c r="M447" t="s">
        <v>78</v>
      </c>
      <c r="N447" t="s">
        <v>79</v>
      </c>
      <c r="O447" t="s">
        <v>74</v>
      </c>
      <c r="P447" t="s">
        <v>74</v>
      </c>
      <c r="Q447" t="s">
        <v>74</v>
      </c>
      <c r="R447" t="s">
        <v>74</v>
      </c>
      <c r="S447" t="s">
        <v>74</v>
      </c>
      <c r="T447" t="s">
        <v>8953</v>
      </c>
      <c r="U447" t="s">
        <v>8954</v>
      </c>
      <c r="V447" t="s">
        <v>8955</v>
      </c>
      <c r="W447" t="s">
        <v>8956</v>
      </c>
      <c r="X447" t="s">
        <v>8957</v>
      </c>
      <c r="Y447" t="s">
        <v>8958</v>
      </c>
      <c r="Z447" t="s">
        <v>8959</v>
      </c>
      <c r="AA447" t="s">
        <v>8960</v>
      </c>
      <c r="AB447" t="s">
        <v>8961</v>
      </c>
      <c r="AC447" t="s">
        <v>8962</v>
      </c>
      <c r="AD447" t="s">
        <v>8963</v>
      </c>
      <c r="AE447" t="s">
        <v>8964</v>
      </c>
      <c r="AF447" t="s">
        <v>74</v>
      </c>
      <c r="AG447">
        <v>48</v>
      </c>
      <c r="AH447">
        <v>10</v>
      </c>
      <c r="AI447">
        <v>11</v>
      </c>
      <c r="AJ447">
        <v>1</v>
      </c>
      <c r="AK447">
        <v>6</v>
      </c>
      <c r="AL447" t="s">
        <v>2011</v>
      </c>
      <c r="AM447" t="s">
        <v>2012</v>
      </c>
      <c r="AN447" t="s">
        <v>2013</v>
      </c>
      <c r="AO447" t="s">
        <v>8965</v>
      </c>
      <c r="AP447" t="s">
        <v>8966</v>
      </c>
      <c r="AQ447" t="s">
        <v>74</v>
      </c>
      <c r="AR447" t="s">
        <v>8967</v>
      </c>
      <c r="AS447" t="s">
        <v>8968</v>
      </c>
      <c r="AT447" t="s">
        <v>8969</v>
      </c>
      <c r="AU447">
        <v>2019</v>
      </c>
      <c r="AV447">
        <v>16</v>
      </c>
      <c r="AW447">
        <v>5</v>
      </c>
      <c r="AX447" t="s">
        <v>74</v>
      </c>
      <c r="AY447" t="s">
        <v>74</v>
      </c>
      <c r="AZ447" t="s">
        <v>74</v>
      </c>
      <c r="BA447" t="s">
        <v>74</v>
      </c>
      <c r="BB447" t="s">
        <v>74</v>
      </c>
      <c r="BC447" t="s">
        <v>74</v>
      </c>
      <c r="BD447">
        <v>837</v>
      </c>
      <c r="BE447" t="s">
        <v>8970</v>
      </c>
      <c r="BF447" t="str">
        <f>HYPERLINK("http://dx.doi.org/10.3390/ijerph16050837","http://dx.doi.org/10.3390/ijerph16050837")</f>
        <v>http://dx.doi.org/10.3390/ijerph16050837</v>
      </c>
      <c r="BG447" t="s">
        <v>74</v>
      </c>
      <c r="BH447" t="s">
        <v>74</v>
      </c>
      <c r="BI447">
        <v>12</v>
      </c>
      <c r="BJ447" t="s">
        <v>8971</v>
      </c>
      <c r="BK447" t="s">
        <v>337</v>
      </c>
      <c r="BL447" t="s">
        <v>8972</v>
      </c>
      <c r="BM447" t="s">
        <v>8973</v>
      </c>
      <c r="BN447">
        <v>30866559</v>
      </c>
      <c r="BO447" t="s">
        <v>8974</v>
      </c>
      <c r="BP447" t="s">
        <v>74</v>
      </c>
      <c r="BQ447" t="s">
        <v>74</v>
      </c>
      <c r="BR447" t="s">
        <v>107</v>
      </c>
      <c r="BS447" t="s">
        <v>8975</v>
      </c>
      <c r="BT447" t="str">
        <f>HYPERLINK("https%3A%2F%2Fwww.webofscience.com%2Fwos%2Fwoscc%2Ffull-record%2FWOS:000462664200162","View Full Record in Web of Science")</f>
        <v>View Full Record in Web of Science</v>
      </c>
    </row>
    <row r="448" spans="1:72" x14ac:dyDescent="0.15">
      <c r="A448" t="s">
        <v>72</v>
      </c>
      <c r="B448" t="s">
        <v>8976</v>
      </c>
      <c r="C448" t="s">
        <v>74</v>
      </c>
      <c r="D448" t="s">
        <v>74</v>
      </c>
      <c r="E448" t="s">
        <v>74</v>
      </c>
      <c r="F448" t="s">
        <v>8977</v>
      </c>
      <c r="G448" t="s">
        <v>74</v>
      </c>
      <c r="H448" t="s">
        <v>74</v>
      </c>
      <c r="I448" t="s">
        <v>8978</v>
      </c>
      <c r="J448" t="s">
        <v>8979</v>
      </c>
      <c r="K448" t="s">
        <v>74</v>
      </c>
      <c r="L448" t="s">
        <v>74</v>
      </c>
      <c r="M448" t="s">
        <v>78</v>
      </c>
      <c r="N448" t="s">
        <v>79</v>
      </c>
      <c r="O448" t="s">
        <v>74</v>
      </c>
      <c r="P448" t="s">
        <v>74</v>
      </c>
      <c r="Q448" t="s">
        <v>74</v>
      </c>
      <c r="R448" t="s">
        <v>74</v>
      </c>
      <c r="S448" t="s">
        <v>74</v>
      </c>
      <c r="T448" t="s">
        <v>8980</v>
      </c>
      <c r="U448" t="s">
        <v>8981</v>
      </c>
      <c r="V448" t="s">
        <v>8982</v>
      </c>
      <c r="W448" t="s">
        <v>8983</v>
      </c>
      <c r="X448" t="s">
        <v>8984</v>
      </c>
      <c r="Y448" t="s">
        <v>8985</v>
      </c>
      <c r="Z448" t="s">
        <v>8986</v>
      </c>
      <c r="AA448" t="s">
        <v>8987</v>
      </c>
      <c r="AB448" t="s">
        <v>8988</v>
      </c>
      <c r="AC448" t="s">
        <v>74</v>
      </c>
      <c r="AD448" t="s">
        <v>74</v>
      </c>
      <c r="AE448" t="s">
        <v>74</v>
      </c>
      <c r="AF448" t="s">
        <v>74</v>
      </c>
      <c r="AG448">
        <v>36</v>
      </c>
      <c r="AH448">
        <v>4</v>
      </c>
      <c r="AI448">
        <v>4</v>
      </c>
      <c r="AJ448">
        <v>0</v>
      </c>
      <c r="AK448">
        <v>5</v>
      </c>
      <c r="AL448" t="s">
        <v>8989</v>
      </c>
      <c r="AM448" t="s">
        <v>8990</v>
      </c>
      <c r="AN448" t="s">
        <v>8991</v>
      </c>
      <c r="AO448" t="s">
        <v>8992</v>
      </c>
      <c r="AP448" t="s">
        <v>8993</v>
      </c>
      <c r="AQ448" t="s">
        <v>74</v>
      </c>
      <c r="AR448" t="s">
        <v>8994</v>
      </c>
      <c r="AS448" t="s">
        <v>8995</v>
      </c>
      <c r="AT448" t="s">
        <v>7895</v>
      </c>
      <c r="AU448">
        <v>2019</v>
      </c>
      <c r="AV448">
        <v>126</v>
      </c>
      <c r="AW448">
        <v>3</v>
      </c>
      <c r="AX448" t="s">
        <v>74</v>
      </c>
      <c r="AY448" t="s">
        <v>74</v>
      </c>
      <c r="AZ448" t="s">
        <v>74</v>
      </c>
      <c r="BA448" t="s">
        <v>74</v>
      </c>
      <c r="BB448">
        <v>681</v>
      </c>
      <c r="BC448">
        <v>690</v>
      </c>
      <c r="BD448" t="s">
        <v>74</v>
      </c>
      <c r="BE448" t="s">
        <v>8996</v>
      </c>
      <c r="BF448" t="str">
        <f>HYPERLINK("http://dx.doi.org/10.1152/japplphysiol.00792.2018","http://dx.doi.org/10.1152/japplphysiol.00792.2018")</f>
        <v>http://dx.doi.org/10.1152/japplphysiol.00792.2018</v>
      </c>
      <c r="BG448" t="s">
        <v>74</v>
      </c>
      <c r="BH448" t="s">
        <v>74</v>
      </c>
      <c r="BI448">
        <v>10</v>
      </c>
      <c r="BJ448" t="s">
        <v>8997</v>
      </c>
      <c r="BK448" t="s">
        <v>102</v>
      </c>
      <c r="BL448" t="s">
        <v>8997</v>
      </c>
      <c r="BM448" t="s">
        <v>8998</v>
      </c>
      <c r="BN448">
        <v>30571278</v>
      </c>
      <c r="BO448" t="s">
        <v>2228</v>
      </c>
      <c r="BP448" t="s">
        <v>74</v>
      </c>
      <c r="BQ448" t="s">
        <v>74</v>
      </c>
      <c r="BR448" t="s">
        <v>107</v>
      </c>
      <c r="BS448" t="s">
        <v>8999</v>
      </c>
      <c r="BT448" t="str">
        <f>HYPERLINK("https%3A%2F%2Fwww.webofscience.com%2Fwos%2Fwoscc%2Ffull-record%2FWOS:000462574300015","View Full Record in Web of Science")</f>
        <v>View Full Record in Web of Science</v>
      </c>
    </row>
    <row r="449" spans="1:72" x14ac:dyDescent="0.15">
      <c r="A449" t="s">
        <v>72</v>
      </c>
      <c r="B449" t="s">
        <v>9000</v>
      </c>
      <c r="C449" t="s">
        <v>74</v>
      </c>
      <c r="D449" t="s">
        <v>74</v>
      </c>
      <c r="E449" t="s">
        <v>74</v>
      </c>
      <c r="F449" t="s">
        <v>9001</v>
      </c>
      <c r="G449" t="s">
        <v>74</v>
      </c>
      <c r="H449" t="s">
        <v>74</v>
      </c>
      <c r="I449" t="s">
        <v>9002</v>
      </c>
      <c r="J449" t="s">
        <v>9003</v>
      </c>
      <c r="K449" t="s">
        <v>74</v>
      </c>
      <c r="L449" t="s">
        <v>74</v>
      </c>
      <c r="M449" t="s">
        <v>78</v>
      </c>
      <c r="N449" t="s">
        <v>79</v>
      </c>
      <c r="O449" t="s">
        <v>74</v>
      </c>
      <c r="P449" t="s">
        <v>74</v>
      </c>
      <c r="Q449" t="s">
        <v>74</v>
      </c>
      <c r="R449" t="s">
        <v>74</v>
      </c>
      <c r="S449" t="s">
        <v>74</v>
      </c>
      <c r="T449" t="s">
        <v>9004</v>
      </c>
      <c r="U449" t="s">
        <v>9005</v>
      </c>
      <c r="V449" t="s">
        <v>9006</v>
      </c>
      <c r="W449" t="s">
        <v>9007</v>
      </c>
      <c r="X449" t="s">
        <v>9008</v>
      </c>
      <c r="Y449" t="s">
        <v>9009</v>
      </c>
      <c r="Z449" t="s">
        <v>9010</v>
      </c>
      <c r="AA449" t="s">
        <v>9011</v>
      </c>
      <c r="AB449" t="s">
        <v>9012</v>
      </c>
      <c r="AC449" t="s">
        <v>9013</v>
      </c>
      <c r="AD449" t="s">
        <v>9014</v>
      </c>
      <c r="AE449" t="s">
        <v>9015</v>
      </c>
      <c r="AF449" t="s">
        <v>74</v>
      </c>
      <c r="AG449">
        <v>67</v>
      </c>
      <c r="AH449">
        <v>4</v>
      </c>
      <c r="AI449">
        <v>4</v>
      </c>
      <c r="AJ449">
        <v>1</v>
      </c>
      <c r="AK449">
        <v>3</v>
      </c>
      <c r="AL449" t="s">
        <v>2960</v>
      </c>
      <c r="AM449" t="s">
        <v>607</v>
      </c>
      <c r="AN449" t="s">
        <v>4525</v>
      </c>
      <c r="AO449" t="s">
        <v>9016</v>
      </c>
      <c r="AP449" t="s">
        <v>9017</v>
      </c>
      <c r="AQ449" t="s">
        <v>74</v>
      </c>
      <c r="AR449" t="s">
        <v>9018</v>
      </c>
      <c r="AS449" t="s">
        <v>9019</v>
      </c>
      <c r="AT449" t="s">
        <v>7895</v>
      </c>
      <c r="AU449">
        <v>2019</v>
      </c>
      <c r="AV449">
        <v>99</v>
      </c>
      <c r="AW449">
        <v>2</v>
      </c>
      <c r="AX449" t="s">
        <v>74</v>
      </c>
      <c r="AY449" t="s">
        <v>74</v>
      </c>
      <c r="AZ449" t="s">
        <v>74</v>
      </c>
      <c r="BA449" t="s">
        <v>74</v>
      </c>
      <c r="BB449">
        <v>303</v>
      </c>
      <c r="BC449">
        <v>310</v>
      </c>
      <c r="BD449" t="s">
        <v>74</v>
      </c>
      <c r="BE449" t="s">
        <v>9020</v>
      </c>
      <c r="BF449" t="str">
        <f>HYPERLINK("http://dx.doi.org/10.1017/S0025315418000218","http://dx.doi.org/10.1017/S0025315418000218")</f>
        <v>http://dx.doi.org/10.1017/S0025315418000218</v>
      </c>
      <c r="BG449" t="s">
        <v>74</v>
      </c>
      <c r="BH449" t="s">
        <v>74</v>
      </c>
      <c r="BI449">
        <v>8</v>
      </c>
      <c r="BJ449" t="s">
        <v>558</v>
      </c>
      <c r="BK449" t="s">
        <v>102</v>
      </c>
      <c r="BL449" t="s">
        <v>558</v>
      </c>
      <c r="BM449" t="s">
        <v>9021</v>
      </c>
      <c r="BN449" t="s">
        <v>74</v>
      </c>
      <c r="BO449" t="s">
        <v>74</v>
      </c>
      <c r="BP449" t="s">
        <v>74</v>
      </c>
      <c r="BQ449" t="s">
        <v>74</v>
      </c>
      <c r="BR449" t="s">
        <v>107</v>
      </c>
      <c r="BS449" t="s">
        <v>9022</v>
      </c>
      <c r="BT449" t="str">
        <f>HYPERLINK("https%3A%2F%2Fwww.webofscience.com%2Fwos%2Fwoscc%2Ffull-record%2FWOS:000462532100005","View Full Record in Web of Science")</f>
        <v>View Full Record in Web of Science</v>
      </c>
    </row>
    <row r="450" spans="1:72" x14ac:dyDescent="0.15">
      <c r="A450" t="s">
        <v>72</v>
      </c>
      <c r="B450" t="s">
        <v>9023</v>
      </c>
      <c r="C450" t="s">
        <v>74</v>
      </c>
      <c r="D450" t="s">
        <v>74</v>
      </c>
      <c r="E450" t="s">
        <v>74</v>
      </c>
      <c r="F450" t="s">
        <v>9024</v>
      </c>
      <c r="G450" t="s">
        <v>74</v>
      </c>
      <c r="H450" t="s">
        <v>74</v>
      </c>
      <c r="I450" t="s">
        <v>9025</v>
      </c>
      <c r="J450" t="s">
        <v>9026</v>
      </c>
      <c r="K450" t="s">
        <v>74</v>
      </c>
      <c r="L450" t="s">
        <v>74</v>
      </c>
      <c r="M450" t="s">
        <v>78</v>
      </c>
      <c r="N450" t="s">
        <v>79</v>
      </c>
      <c r="O450" t="s">
        <v>74</v>
      </c>
      <c r="P450" t="s">
        <v>74</v>
      </c>
      <c r="Q450" t="s">
        <v>74</v>
      </c>
      <c r="R450" t="s">
        <v>74</v>
      </c>
      <c r="S450" t="s">
        <v>74</v>
      </c>
      <c r="T450" t="s">
        <v>9027</v>
      </c>
      <c r="U450" t="s">
        <v>9028</v>
      </c>
      <c r="V450" t="s">
        <v>9029</v>
      </c>
      <c r="W450" t="s">
        <v>9030</v>
      </c>
      <c r="X450" t="s">
        <v>9031</v>
      </c>
      <c r="Y450" t="s">
        <v>9032</v>
      </c>
      <c r="Z450" t="s">
        <v>9033</v>
      </c>
      <c r="AA450" t="s">
        <v>9034</v>
      </c>
      <c r="AB450" t="s">
        <v>9035</v>
      </c>
      <c r="AC450" t="s">
        <v>9036</v>
      </c>
      <c r="AD450" t="s">
        <v>8940</v>
      </c>
      <c r="AE450" t="s">
        <v>9037</v>
      </c>
      <c r="AF450" t="s">
        <v>74</v>
      </c>
      <c r="AG450">
        <v>18</v>
      </c>
      <c r="AH450">
        <v>17</v>
      </c>
      <c r="AI450">
        <v>20</v>
      </c>
      <c r="AJ450">
        <v>1</v>
      </c>
      <c r="AK450">
        <v>16</v>
      </c>
      <c r="AL450" t="s">
        <v>2011</v>
      </c>
      <c r="AM450" t="s">
        <v>2012</v>
      </c>
      <c r="AN450" t="s">
        <v>2013</v>
      </c>
      <c r="AO450" t="s">
        <v>74</v>
      </c>
      <c r="AP450" t="s">
        <v>9038</v>
      </c>
      <c r="AQ450" t="s">
        <v>74</v>
      </c>
      <c r="AR450" t="s">
        <v>9039</v>
      </c>
      <c r="AS450" t="s">
        <v>9040</v>
      </c>
      <c r="AT450" t="s">
        <v>8969</v>
      </c>
      <c r="AU450">
        <v>2019</v>
      </c>
      <c r="AV450">
        <v>19</v>
      </c>
      <c r="AW450">
        <v>5</v>
      </c>
      <c r="AX450" t="s">
        <v>74</v>
      </c>
      <c r="AY450" t="s">
        <v>74</v>
      </c>
      <c r="AZ450" t="s">
        <v>74</v>
      </c>
      <c r="BA450" t="s">
        <v>74</v>
      </c>
      <c r="BB450" t="s">
        <v>74</v>
      </c>
      <c r="BC450" t="s">
        <v>74</v>
      </c>
      <c r="BD450">
        <v>1138</v>
      </c>
      <c r="BE450" t="s">
        <v>9041</v>
      </c>
      <c r="BF450" t="str">
        <f>HYPERLINK("http://dx.doi.org/10.3390/s19051138","http://dx.doi.org/10.3390/s19051138")</f>
        <v>http://dx.doi.org/10.3390/s19051138</v>
      </c>
      <c r="BG450" t="s">
        <v>74</v>
      </c>
      <c r="BH450" t="s">
        <v>74</v>
      </c>
      <c r="BI450">
        <v>17</v>
      </c>
      <c r="BJ450" t="s">
        <v>9042</v>
      </c>
      <c r="BK450" t="s">
        <v>102</v>
      </c>
      <c r="BL450" t="s">
        <v>9043</v>
      </c>
      <c r="BM450" t="s">
        <v>9044</v>
      </c>
      <c r="BN450">
        <v>30845733</v>
      </c>
      <c r="BO450" t="s">
        <v>2020</v>
      </c>
      <c r="BP450" t="s">
        <v>74</v>
      </c>
      <c r="BQ450" t="s">
        <v>74</v>
      </c>
      <c r="BR450" t="s">
        <v>107</v>
      </c>
      <c r="BS450" t="s">
        <v>9045</v>
      </c>
      <c r="BT450" t="str">
        <f>HYPERLINK("https%3A%2F%2Fwww.webofscience.com%2Fwos%2Fwoscc%2Ffull-record%2FWOS:000462540400157","View Full Record in Web of Science")</f>
        <v>View Full Record in Web of Science</v>
      </c>
    </row>
    <row r="451" spans="1:72" x14ac:dyDescent="0.15">
      <c r="A451" t="s">
        <v>72</v>
      </c>
      <c r="B451" t="s">
        <v>9046</v>
      </c>
      <c r="C451" t="s">
        <v>74</v>
      </c>
      <c r="D451" t="s">
        <v>74</v>
      </c>
      <c r="E451" t="s">
        <v>74</v>
      </c>
      <c r="F451" t="s">
        <v>9047</v>
      </c>
      <c r="G451" t="s">
        <v>74</v>
      </c>
      <c r="H451" t="s">
        <v>74</v>
      </c>
      <c r="I451" t="s">
        <v>9048</v>
      </c>
      <c r="J451" t="s">
        <v>9049</v>
      </c>
      <c r="K451" t="s">
        <v>74</v>
      </c>
      <c r="L451" t="s">
        <v>74</v>
      </c>
      <c r="M451" t="s">
        <v>78</v>
      </c>
      <c r="N451" t="s">
        <v>79</v>
      </c>
      <c r="O451" t="s">
        <v>74</v>
      </c>
      <c r="P451" t="s">
        <v>74</v>
      </c>
      <c r="Q451" t="s">
        <v>74</v>
      </c>
      <c r="R451" t="s">
        <v>74</v>
      </c>
      <c r="S451" t="s">
        <v>74</v>
      </c>
      <c r="T451" t="s">
        <v>9050</v>
      </c>
      <c r="U451" t="s">
        <v>9051</v>
      </c>
      <c r="V451" t="s">
        <v>9052</v>
      </c>
      <c r="W451" t="s">
        <v>9053</v>
      </c>
      <c r="X451" t="s">
        <v>9054</v>
      </c>
      <c r="Y451" t="s">
        <v>9055</v>
      </c>
      <c r="Z451" t="s">
        <v>9056</v>
      </c>
      <c r="AA451" t="s">
        <v>9057</v>
      </c>
      <c r="AB451" t="s">
        <v>9058</v>
      </c>
      <c r="AC451" t="s">
        <v>9059</v>
      </c>
      <c r="AD451" t="s">
        <v>9060</v>
      </c>
      <c r="AE451" t="s">
        <v>9061</v>
      </c>
      <c r="AF451" t="s">
        <v>74</v>
      </c>
      <c r="AG451">
        <v>76</v>
      </c>
      <c r="AH451">
        <v>23</v>
      </c>
      <c r="AI451">
        <v>26</v>
      </c>
      <c r="AJ451">
        <v>1</v>
      </c>
      <c r="AK451">
        <v>21</v>
      </c>
      <c r="AL451" t="s">
        <v>240</v>
      </c>
      <c r="AM451" t="s">
        <v>241</v>
      </c>
      <c r="AN451" t="s">
        <v>5009</v>
      </c>
      <c r="AO451" t="s">
        <v>9062</v>
      </c>
      <c r="AP451" t="s">
        <v>74</v>
      </c>
      <c r="AQ451" t="s">
        <v>74</v>
      </c>
      <c r="AR451" t="s">
        <v>9063</v>
      </c>
      <c r="AS451" t="s">
        <v>9064</v>
      </c>
      <c r="AT451" t="s">
        <v>7895</v>
      </c>
      <c r="AU451">
        <v>2019</v>
      </c>
      <c r="AV451">
        <v>3</v>
      </c>
      <c r="AW451">
        <v>2</v>
      </c>
      <c r="AX451" t="s">
        <v>74</v>
      </c>
      <c r="AY451" t="s">
        <v>74</v>
      </c>
      <c r="AZ451" t="s">
        <v>74</v>
      </c>
      <c r="BA451" t="s">
        <v>74</v>
      </c>
      <c r="BB451">
        <v>166</v>
      </c>
      <c r="BC451">
        <v>181</v>
      </c>
      <c r="BD451" t="s">
        <v>74</v>
      </c>
      <c r="BE451" t="s">
        <v>9065</v>
      </c>
      <c r="BF451" t="str">
        <f>HYPERLINK("http://dx.doi.org/10.26464/epp2019012","http://dx.doi.org/10.26464/epp2019012")</f>
        <v>http://dx.doi.org/10.26464/epp2019012</v>
      </c>
      <c r="BG451" t="s">
        <v>74</v>
      </c>
      <c r="BH451" t="s">
        <v>74</v>
      </c>
      <c r="BI451">
        <v>16</v>
      </c>
      <c r="BJ451" t="s">
        <v>922</v>
      </c>
      <c r="BK451" t="s">
        <v>2712</v>
      </c>
      <c r="BL451" t="s">
        <v>923</v>
      </c>
      <c r="BM451" t="s">
        <v>9066</v>
      </c>
      <c r="BN451" t="s">
        <v>74</v>
      </c>
      <c r="BO451" t="s">
        <v>1415</v>
      </c>
      <c r="BP451" t="s">
        <v>74</v>
      </c>
      <c r="BQ451" t="s">
        <v>74</v>
      </c>
      <c r="BR451" t="s">
        <v>107</v>
      </c>
      <c r="BS451" t="s">
        <v>9067</v>
      </c>
      <c r="BT451" t="str">
        <f>HYPERLINK("https%3A%2F%2Fwww.webofscience.com%2Fwos%2Fwoscc%2Ffull-record%2FWOS:000462191700010","View Full Record in Web of Science")</f>
        <v>View Full Record in Web of Science</v>
      </c>
    </row>
    <row r="452" spans="1:72" x14ac:dyDescent="0.15">
      <c r="A452" t="s">
        <v>72</v>
      </c>
      <c r="B452" t="s">
        <v>9068</v>
      </c>
      <c r="C452" t="s">
        <v>74</v>
      </c>
      <c r="D452" t="s">
        <v>74</v>
      </c>
      <c r="E452" t="s">
        <v>74</v>
      </c>
      <c r="F452" t="s">
        <v>9069</v>
      </c>
      <c r="G452" t="s">
        <v>74</v>
      </c>
      <c r="H452" t="s">
        <v>74</v>
      </c>
      <c r="I452" t="s">
        <v>9070</v>
      </c>
      <c r="J452" t="s">
        <v>9071</v>
      </c>
      <c r="K452" t="s">
        <v>74</v>
      </c>
      <c r="L452" t="s">
        <v>74</v>
      </c>
      <c r="M452" t="s">
        <v>9072</v>
      </c>
      <c r="N452" t="s">
        <v>5897</v>
      </c>
      <c r="O452" t="s">
        <v>74</v>
      </c>
      <c r="P452" t="s">
        <v>74</v>
      </c>
      <c r="Q452" t="s">
        <v>74</v>
      </c>
      <c r="R452" t="s">
        <v>74</v>
      </c>
      <c r="S452" t="s">
        <v>74</v>
      </c>
      <c r="T452" t="s">
        <v>74</v>
      </c>
      <c r="U452" t="s">
        <v>74</v>
      </c>
      <c r="V452" t="s">
        <v>74</v>
      </c>
      <c r="W452" t="s">
        <v>74</v>
      </c>
      <c r="X452" t="s">
        <v>74</v>
      </c>
      <c r="Y452" t="s">
        <v>74</v>
      </c>
      <c r="Z452" t="s">
        <v>74</v>
      </c>
      <c r="AA452" t="s">
        <v>74</v>
      </c>
      <c r="AB452" t="s">
        <v>74</v>
      </c>
      <c r="AC452" t="s">
        <v>74</v>
      </c>
      <c r="AD452" t="s">
        <v>74</v>
      </c>
      <c r="AE452" t="s">
        <v>74</v>
      </c>
      <c r="AF452" t="s">
        <v>74</v>
      </c>
      <c r="AG452">
        <v>1</v>
      </c>
      <c r="AH452">
        <v>0</v>
      </c>
      <c r="AI452">
        <v>0</v>
      </c>
      <c r="AJ452">
        <v>0</v>
      </c>
      <c r="AK452">
        <v>0</v>
      </c>
      <c r="AL452" t="s">
        <v>9073</v>
      </c>
      <c r="AM452" t="s">
        <v>9074</v>
      </c>
      <c r="AN452" t="s">
        <v>9075</v>
      </c>
      <c r="AO452" t="s">
        <v>9076</v>
      </c>
      <c r="AP452" t="s">
        <v>74</v>
      </c>
      <c r="AQ452" t="s">
        <v>74</v>
      </c>
      <c r="AR452" t="s">
        <v>9071</v>
      </c>
      <c r="AS452" t="s">
        <v>9077</v>
      </c>
      <c r="AT452" t="s">
        <v>7895</v>
      </c>
      <c r="AU452">
        <v>2019</v>
      </c>
      <c r="AV452" t="s">
        <v>74</v>
      </c>
      <c r="AW452">
        <v>867</v>
      </c>
      <c r="AX452" t="s">
        <v>74</v>
      </c>
      <c r="AY452" t="s">
        <v>74</v>
      </c>
      <c r="AZ452" t="s">
        <v>74</v>
      </c>
      <c r="BA452" t="s">
        <v>74</v>
      </c>
      <c r="BB452">
        <v>89</v>
      </c>
      <c r="BC452">
        <v>89</v>
      </c>
      <c r="BD452" t="s">
        <v>74</v>
      </c>
      <c r="BE452" t="s">
        <v>74</v>
      </c>
      <c r="BF452" t="s">
        <v>74</v>
      </c>
      <c r="BG452" t="s">
        <v>74</v>
      </c>
      <c r="BH452" t="s">
        <v>74</v>
      </c>
      <c r="BI452">
        <v>1</v>
      </c>
      <c r="BJ452" t="s">
        <v>9078</v>
      </c>
      <c r="BK452" t="s">
        <v>4407</v>
      </c>
      <c r="BL452" t="s">
        <v>9078</v>
      </c>
      <c r="BM452" t="s">
        <v>9079</v>
      </c>
      <c r="BN452" t="s">
        <v>74</v>
      </c>
      <c r="BO452" t="s">
        <v>74</v>
      </c>
      <c r="BP452" t="s">
        <v>74</v>
      </c>
      <c r="BQ452" t="s">
        <v>74</v>
      </c>
      <c r="BR452" t="s">
        <v>107</v>
      </c>
      <c r="BS452" t="s">
        <v>9080</v>
      </c>
      <c r="BT452" t="str">
        <f>HYPERLINK("https%3A%2F%2Fwww.webofscience.com%2Fwos%2Fwoscc%2Ffull-record%2FWOS:000462250700055","View Full Record in Web of Science")</f>
        <v>View Full Record in Web of Science</v>
      </c>
    </row>
    <row r="453" spans="1:72" x14ac:dyDescent="0.15">
      <c r="A453" t="s">
        <v>72</v>
      </c>
      <c r="B453" t="s">
        <v>9081</v>
      </c>
      <c r="C453" t="s">
        <v>74</v>
      </c>
      <c r="D453" t="s">
        <v>74</v>
      </c>
      <c r="E453" t="s">
        <v>74</v>
      </c>
      <c r="F453" t="s">
        <v>9082</v>
      </c>
      <c r="G453" t="s">
        <v>74</v>
      </c>
      <c r="H453" t="s">
        <v>74</v>
      </c>
      <c r="I453" t="s">
        <v>9083</v>
      </c>
      <c r="J453" t="s">
        <v>9084</v>
      </c>
      <c r="K453" t="s">
        <v>74</v>
      </c>
      <c r="L453" t="s">
        <v>74</v>
      </c>
      <c r="M453" t="s">
        <v>78</v>
      </c>
      <c r="N453" t="s">
        <v>79</v>
      </c>
      <c r="O453" t="s">
        <v>74</v>
      </c>
      <c r="P453" t="s">
        <v>74</v>
      </c>
      <c r="Q453" t="s">
        <v>74</v>
      </c>
      <c r="R453" t="s">
        <v>74</v>
      </c>
      <c r="S453" t="s">
        <v>74</v>
      </c>
      <c r="T453" t="s">
        <v>74</v>
      </c>
      <c r="U453" t="s">
        <v>9085</v>
      </c>
      <c r="V453" t="s">
        <v>9086</v>
      </c>
      <c r="W453" t="s">
        <v>9087</v>
      </c>
      <c r="X453" t="s">
        <v>9088</v>
      </c>
      <c r="Y453" t="s">
        <v>208</v>
      </c>
      <c r="Z453" t="s">
        <v>209</v>
      </c>
      <c r="AA453" t="s">
        <v>74</v>
      </c>
      <c r="AB453" t="s">
        <v>74</v>
      </c>
      <c r="AC453" t="s">
        <v>5899</v>
      </c>
      <c r="AD453" t="s">
        <v>5899</v>
      </c>
      <c r="AE453" t="s">
        <v>9089</v>
      </c>
      <c r="AF453" t="s">
        <v>74</v>
      </c>
      <c r="AG453">
        <v>43</v>
      </c>
      <c r="AH453">
        <v>17</v>
      </c>
      <c r="AI453">
        <v>18</v>
      </c>
      <c r="AJ453">
        <v>3</v>
      </c>
      <c r="AK453">
        <v>23</v>
      </c>
      <c r="AL453" t="s">
        <v>153</v>
      </c>
      <c r="AM453" t="s">
        <v>154</v>
      </c>
      <c r="AN453" t="s">
        <v>155</v>
      </c>
      <c r="AO453" t="s">
        <v>9090</v>
      </c>
      <c r="AP453" t="s">
        <v>9091</v>
      </c>
      <c r="AQ453" t="s">
        <v>74</v>
      </c>
      <c r="AR453" t="s">
        <v>9092</v>
      </c>
      <c r="AS453" t="s">
        <v>9093</v>
      </c>
      <c r="AT453" t="s">
        <v>7895</v>
      </c>
      <c r="AU453">
        <v>2019</v>
      </c>
      <c r="AV453">
        <v>64</v>
      </c>
      <c r="AW453">
        <v>2</v>
      </c>
      <c r="AX453" t="s">
        <v>74</v>
      </c>
      <c r="AY453" t="s">
        <v>74</v>
      </c>
      <c r="AZ453" t="s">
        <v>74</v>
      </c>
      <c r="BA453" t="s">
        <v>74</v>
      </c>
      <c r="BB453">
        <v>575</v>
      </c>
      <c r="BC453">
        <v>584</v>
      </c>
      <c r="BD453" t="s">
        <v>74</v>
      </c>
      <c r="BE453" t="s">
        <v>9094</v>
      </c>
      <c r="BF453" t="str">
        <f>HYPERLINK("http://dx.doi.org/10.1002/lno.11061","http://dx.doi.org/10.1002/lno.11061")</f>
        <v>http://dx.doi.org/10.1002/lno.11061</v>
      </c>
      <c r="BG453" t="s">
        <v>74</v>
      </c>
      <c r="BH453" t="s">
        <v>74</v>
      </c>
      <c r="BI453">
        <v>10</v>
      </c>
      <c r="BJ453" t="s">
        <v>249</v>
      </c>
      <c r="BK453" t="s">
        <v>102</v>
      </c>
      <c r="BL453" t="s">
        <v>250</v>
      </c>
      <c r="BM453" t="s">
        <v>9095</v>
      </c>
      <c r="BN453" t="s">
        <v>74</v>
      </c>
      <c r="BO453" t="s">
        <v>279</v>
      </c>
      <c r="BP453" t="s">
        <v>74</v>
      </c>
      <c r="BQ453" t="s">
        <v>74</v>
      </c>
      <c r="BR453" t="s">
        <v>107</v>
      </c>
      <c r="BS453" t="s">
        <v>9096</v>
      </c>
      <c r="BT453" t="str">
        <f>HYPERLINK("https%3A%2F%2Fwww.webofscience.com%2Fwos%2Fwoscc%2Ffull-record%2FWOS:000461865500011","View Full Record in Web of Science")</f>
        <v>View Full Record in Web of Science</v>
      </c>
    </row>
    <row r="454" spans="1:72" x14ac:dyDescent="0.15">
      <c r="A454" t="s">
        <v>72</v>
      </c>
      <c r="B454" t="s">
        <v>9097</v>
      </c>
      <c r="C454" t="s">
        <v>74</v>
      </c>
      <c r="D454" t="s">
        <v>74</v>
      </c>
      <c r="E454" t="s">
        <v>74</v>
      </c>
      <c r="F454" t="s">
        <v>9098</v>
      </c>
      <c r="G454" t="s">
        <v>74</v>
      </c>
      <c r="H454" t="s">
        <v>74</v>
      </c>
      <c r="I454" t="s">
        <v>9099</v>
      </c>
      <c r="J454" t="s">
        <v>3659</v>
      </c>
      <c r="K454" t="s">
        <v>74</v>
      </c>
      <c r="L454" t="s">
        <v>74</v>
      </c>
      <c r="M454" t="s">
        <v>78</v>
      </c>
      <c r="N454" t="s">
        <v>469</v>
      </c>
      <c r="O454" t="s">
        <v>74</v>
      </c>
      <c r="P454" t="s">
        <v>74</v>
      </c>
      <c r="Q454" t="s">
        <v>74</v>
      </c>
      <c r="R454" t="s">
        <v>74</v>
      </c>
      <c r="S454" t="s">
        <v>74</v>
      </c>
      <c r="T454" t="s">
        <v>9100</v>
      </c>
      <c r="U454" t="s">
        <v>9101</v>
      </c>
      <c r="V454" t="s">
        <v>9102</v>
      </c>
      <c r="W454" t="s">
        <v>9103</v>
      </c>
      <c r="X454" t="s">
        <v>9104</v>
      </c>
      <c r="Y454" t="s">
        <v>9105</v>
      </c>
      <c r="Z454" t="s">
        <v>9106</v>
      </c>
      <c r="AA454" t="s">
        <v>9107</v>
      </c>
      <c r="AB454" t="s">
        <v>9108</v>
      </c>
      <c r="AC454" t="s">
        <v>9109</v>
      </c>
      <c r="AD454" t="s">
        <v>9110</v>
      </c>
      <c r="AE454" t="s">
        <v>9111</v>
      </c>
      <c r="AF454" t="s">
        <v>74</v>
      </c>
      <c r="AG454">
        <v>92</v>
      </c>
      <c r="AH454">
        <v>105</v>
      </c>
      <c r="AI454">
        <v>108</v>
      </c>
      <c r="AJ454">
        <v>12</v>
      </c>
      <c r="AK454">
        <v>64</v>
      </c>
      <c r="AL454" t="s">
        <v>378</v>
      </c>
      <c r="AM454" t="s">
        <v>93</v>
      </c>
      <c r="AN454" t="s">
        <v>379</v>
      </c>
      <c r="AO454" t="s">
        <v>3671</v>
      </c>
      <c r="AP454" t="s">
        <v>3672</v>
      </c>
      <c r="AQ454" t="s">
        <v>74</v>
      </c>
      <c r="AR454" t="s">
        <v>3673</v>
      </c>
      <c r="AS454" t="s">
        <v>3674</v>
      </c>
      <c r="AT454" t="s">
        <v>7895</v>
      </c>
      <c r="AU454">
        <v>2019</v>
      </c>
      <c r="AV454">
        <v>140</v>
      </c>
      <c r="AW454" t="s">
        <v>74</v>
      </c>
      <c r="AX454" t="s">
        <v>74</v>
      </c>
      <c r="AY454" t="s">
        <v>74</v>
      </c>
      <c r="AZ454" t="s">
        <v>74</v>
      </c>
      <c r="BA454" t="s">
        <v>74</v>
      </c>
      <c r="BB454">
        <v>17</v>
      </c>
      <c r="BC454">
        <v>29</v>
      </c>
      <c r="BD454" t="s">
        <v>74</v>
      </c>
      <c r="BE454" t="s">
        <v>9112</v>
      </c>
      <c r="BF454" t="str">
        <f>HYPERLINK("http://dx.doi.org/10.1016/j.marpolbul.2019.01.009","http://dx.doi.org/10.1016/j.marpolbul.2019.01.009")</f>
        <v>http://dx.doi.org/10.1016/j.marpolbul.2019.01.009</v>
      </c>
      <c r="BG454" t="s">
        <v>74</v>
      </c>
      <c r="BH454" t="s">
        <v>74</v>
      </c>
      <c r="BI454">
        <v>13</v>
      </c>
      <c r="BJ454" t="s">
        <v>829</v>
      </c>
      <c r="BK454" t="s">
        <v>102</v>
      </c>
      <c r="BL454" t="s">
        <v>830</v>
      </c>
      <c r="BM454" t="s">
        <v>9113</v>
      </c>
      <c r="BN454">
        <v>30803631</v>
      </c>
      <c r="BO454" t="s">
        <v>186</v>
      </c>
      <c r="BP454" t="s">
        <v>74</v>
      </c>
      <c r="BQ454" t="s">
        <v>74</v>
      </c>
      <c r="BR454" t="s">
        <v>107</v>
      </c>
      <c r="BS454" t="s">
        <v>9114</v>
      </c>
      <c r="BT454" t="str">
        <f>HYPERLINK("https%3A%2F%2Fwww.webofscience.com%2Fwos%2Fwoscc%2Ffull-record%2FWOS:000461402300003","View Full Record in Web of Science")</f>
        <v>View Full Record in Web of Science</v>
      </c>
    </row>
    <row r="455" spans="1:72" x14ac:dyDescent="0.15">
      <c r="A455" t="s">
        <v>72</v>
      </c>
      <c r="B455" t="s">
        <v>9115</v>
      </c>
      <c r="C455" t="s">
        <v>74</v>
      </c>
      <c r="D455" t="s">
        <v>74</v>
      </c>
      <c r="E455" t="s">
        <v>74</v>
      </c>
      <c r="F455" t="s">
        <v>9116</v>
      </c>
      <c r="G455" t="s">
        <v>74</v>
      </c>
      <c r="H455" t="s">
        <v>74</v>
      </c>
      <c r="I455" t="s">
        <v>9117</v>
      </c>
      <c r="J455" t="s">
        <v>3659</v>
      </c>
      <c r="K455" t="s">
        <v>74</v>
      </c>
      <c r="L455" t="s">
        <v>74</v>
      </c>
      <c r="M455" t="s">
        <v>78</v>
      </c>
      <c r="N455" t="s">
        <v>79</v>
      </c>
      <c r="O455" t="s">
        <v>74</v>
      </c>
      <c r="P455" t="s">
        <v>74</v>
      </c>
      <c r="Q455" t="s">
        <v>74</v>
      </c>
      <c r="R455" t="s">
        <v>74</v>
      </c>
      <c r="S455" t="s">
        <v>74</v>
      </c>
      <c r="T455" t="s">
        <v>9118</v>
      </c>
      <c r="U455" t="s">
        <v>9119</v>
      </c>
      <c r="V455" t="s">
        <v>9120</v>
      </c>
      <c r="W455" t="s">
        <v>9121</v>
      </c>
      <c r="X455" t="s">
        <v>9122</v>
      </c>
      <c r="Y455" t="s">
        <v>9123</v>
      </c>
      <c r="Z455" t="s">
        <v>9124</v>
      </c>
      <c r="AA455" t="s">
        <v>9125</v>
      </c>
      <c r="AB455" t="s">
        <v>9126</v>
      </c>
      <c r="AC455" t="s">
        <v>9127</v>
      </c>
      <c r="AD455" t="s">
        <v>9128</v>
      </c>
      <c r="AE455" t="s">
        <v>9129</v>
      </c>
      <c r="AF455" t="s">
        <v>74</v>
      </c>
      <c r="AG455">
        <v>40</v>
      </c>
      <c r="AH455">
        <v>13</v>
      </c>
      <c r="AI455">
        <v>13</v>
      </c>
      <c r="AJ455">
        <v>1</v>
      </c>
      <c r="AK455">
        <v>32</v>
      </c>
      <c r="AL455" t="s">
        <v>378</v>
      </c>
      <c r="AM455" t="s">
        <v>93</v>
      </c>
      <c r="AN455" t="s">
        <v>379</v>
      </c>
      <c r="AO455" t="s">
        <v>3671</v>
      </c>
      <c r="AP455" t="s">
        <v>3672</v>
      </c>
      <c r="AQ455" t="s">
        <v>74</v>
      </c>
      <c r="AR455" t="s">
        <v>3673</v>
      </c>
      <c r="AS455" t="s">
        <v>3674</v>
      </c>
      <c r="AT455" t="s">
        <v>7895</v>
      </c>
      <c r="AU455">
        <v>2019</v>
      </c>
      <c r="AV455">
        <v>140</v>
      </c>
      <c r="AW455" t="s">
        <v>74</v>
      </c>
      <c r="AX455" t="s">
        <v>74</v>
      </c>
      <c r="AY455" t="s">
        <v>74</v>
      </c>
      <c r="AZ455" t="s">
        <v>74</v>
      </c>
      <c r="BA455" t="s">
        <v>74</v>
      </c>
      <c r="BB455">
        <v>60</v>
      </c>
      <c r="BC455">
        <v>64</v>
      </c>
      <c r="BD455" t="s">
        <v>74</v>
      </c>
      <c r="BE455" t="s">
        <v>9130</v>
      </c>
      <c r="BF455" t="str">
        <f>HYPERLINK("http://dx.doi.org/10.1016/j.marpolbul.2019.01.026","http://dx.doi.org/10.1016/j.marpolbul.2019.01.026")</f>
        <v>http://dx.doi.org/10.1016/j.marpolbul.2019.01.026</v>
      </c>
      <c r="BG455" t="s">
        <v>74</v>
      </c>
      <c r="BH455" t="s">
        <v>74</v>
      </c>
      <c r="BI455">
        <v>5</v>
      </c>
      <c r="BJ455" t="s">
        <v>829</v>
      </c>
      <c r="BK455" t="s">
        <v>102</v>
      </c>
      <c r="BL455" t="s">
        <v>830</v>
      </c>
      <c r="BM455" t="s">
        <v>9113</v>
      </c>
      <c r="BN455">
        <v>30803682</v>
      </c>
      <c r="BO455" t="s">
        <v>74</v>
      </c>
      <c r="BP455" t="s">
        <v>74</v>
      </c>
      <c r="BQ455" t="s">
        <v>74</v>
      </c>
      <c r="BR455" t="s">
        <v>107</v>
      </c>
      <c r="BS455" t="s">
        <v>9131</v>
      </c>
      <c r="BT455" t="str">
        <f>HYPERLINK("https%3A%2F%2Fwww.webofscience.com%2Fwos%2Fwoscc%2Ffull-record%2FWOS:000461402300008","View Full Record in Web of Science")</f>
        <v>View Full Record in Web of Science</v>
      </c>
    </row>
    <row r="456" spans="1:72" x14ac:dyDescent="0.15">
      <c r="A456" t="s">
        <v>72</v>
      </c>
      <c r="B456" t="s">
        <v>9132</v>
      </c>
      <c r="C456" t="s">
        <v>74</v>
      </c>
      <c r="D456" t="s">
        <v>74</v>
      </c>
      <c r="E456" t="s">
        <v>74</v>
      </c>
      <c r="F456" t="s">
        <v>9133</v>
      </c>
      <c r="G456" t="s">
        <v>74</v>
      </c>
      <c r="H456" t="s">
        <v>74</v>
      </c>
      <c r="I456" t="s">
        <v>9134</v>
      </c>
      <c r="J456" t="s">
        <v>9135</v>
      </c>
      <c r="K456" t="s">
        <v>74</v>
      </c>
      <c r="L456" t="s">
        <v>74</v>
      </c>
      <c r="M456" t="s">
        <v>78</v>
      </c>
      <c r="N456" t="s">
        <v>79</v>
      </c>
      <c r="O456" t="s">
        <v>74</v>
      </c>
      <c r="P456" t="s">
        <v>74</v>
      </c>
      <c r="Q456" t="s">
        <v>74</v>
      </c>
      <c r="R456" t="s">
        <v>74</v>
      </c>
      <c r="S456" t="s">
        <v>74</v>
      </c>
      <c r="T456" t="s">
        <v>74</v>
      </c>
      <c r="U456" t="s">
        <v>9136</v>
      </c>
      <c r="V456" t="s">
        <v>9137</v>
      </c>
      <c r="W456" t="s">
        <v>9138</v>
      </c>
      <c r="X456" t="s">
        <v>9139</v>
      </c>
      <c r="Y456" t="s">
        <v>9140</v>
      </c>
      <c r="Z456" t="s">
        <v>9141</v>
      </c>
      <c r="AA456" t="s">
        <v>9142</v>
      </c>
      <c r="AB456" t="s">
        <v>9143</v>
      </c>
      <c r="AC456" t="s">
        <v>9144</v>
      </c>
      <c r="AD456" t="s">
        <v>9145</v>
      </c>
      <c r="AE456" t="s">
        <v>9146</v>
      </c>
      <c r="AF456" t="s">
        <v>74</v>
      </c>
      <c r="AG456">
        <v>369</v>
      </c>
      <c r="AH456">
        <v>104</v>
      </c>
      <c r="AI456">
        <v>108</v>
      </c>
      <c r="AJ456">
        <v>7</v>
      </c>
      <c r="AK456">
        <v>136</v>
      </c>
      <c r="AL456" t="s">
        <v>9147</v>
      </c>
      <c r="AM456" t="s">
        <v>329</v>
      </c>
      <c r="AN456" t="s">
        <v>9148</v>
      </c>
      <c r="AO456" t="s">
        <v>9149</v>
      </c>
      <c r="AP456" t="s">
        <v>9150</v>
      </c>
      <c r="AQ456" t="s">
        <v>74</v>
      </c>
      <c r="AR456" t="s">
        <v>9151</v>
      </c>
      <c r="AS456" t="s">
        <v>9152</v>
      </c>
      <c r="AT456" t="s">
        <v>8969</v>
      </c>
      <c r="AU456">
        <v>2019</v>
      </c>
      <c r="AV456">
        <v>18</v>
      </c>
      <c r="AW456">
        <v>3</v>
      </c>
      <c r="AX456" t="s">
        <v>74</v>
      </c>
      <c r="AY456" t="s">
        <v>74</v>
      </c>
      <c r="AZ456" t="s">
        <v>74</v>
      </c>
      <c r="BA456" t="s">
        <v>74</v>
      </c>
      <c r="BB456">
        <v>681</v>
      </c>
      <c r="BC456">
        <v>716</v>
      </c>
      <c r="BD456" t="s">
        <v>74</v>
      </c>
      <c r="BE456" t="s">
        <v>9153</v>
      </c>
      <c r="BF456" t="str">
        <f>HYPERLINK("http://dx.doi.org/10.1039/c8pp90061b","http://dx.doi.org/10.1039/c8pp90061b")</f>
        <v>http://dx.doi.org/10.1039/c8pp90061b</v>
      </c>
      <c r="BG456" t="s">
        <v>74</v>
      </c>
      <c r="BH456" t="s">
        <v>74</v>
      </c>
      <c r="BI456">
        <v>36</v>
      </c>
      <c r="BJ456" t="s">
        <v>9154</v>
      </c>
      <c r="BK456" t="s">
        <v>102</v>
      </c>
      <c r="BL456" t="s">
        <v>9155</v>
      </c>
      <c r="BM456" t="s">
        <v>9156</v>
      </c>
      <c r="BN456">
        <v>30810560</v>
      </c>
      <c r="BO456" t="s">
        <v>6520</v>
      </c>
      <c r="BP456" t="s">
        <v>74</v>
      </c>
      <c r="BQ456" t="s">
        <v>74</v>
      </c>
      <c r="BR456" t="s">
        <v>107</v>
      </c>
      <c r="BS456" t="s">
        <v>9157</v>
      </c>
      <c r="BT456" t="str">
        <f>HYPERLINK("https%3A%2F%2Fwww.webofscience.com%2Fwos%2Fwoscc%2Ffull-record%2FWOS:000461049300003","View Full Record in Web of Science")</f>
        <v>View Full Record in Web of Science</v>
      </c>
    </row>
    <row r="457" spans="1:72" x14ac:dyDescent="0.15">
      <c r="A457" t="s">
        <v>72</v>
      </c>
      <c r="B457" t="s">
        <v>9158</v>
      </c>
      <c r="C457" t="s">
        <v>74</v>
      </c>
      <c r="D457" t="s">
        <v>74</v>
      </c>
      <c r="E457" t="s">
        <v>74</v>
      </c>
      <c r="F457" t="s">
        <v>9159</v>
      </c>
      <c r="G457" t="s">
        <v>74</v>
      </c>
      <c r="H457" t="s">
        <v>74</v>
      </c>
      <c r="I457" t="s">
        <v>9160</v>
      </c>
      <c r="J457" t="s">
        <v>9161</v>
      </c>
      <c r="K457" t="s">
        <v>74</v>
      </c>
      <c r="L457" t="s">
        <v>74</v>
      </c>
      <c r="M457" t="s">
        <v>78</v>
      </c>
      <c r="N457" t="s">
        <v>79</v>
      </c>
      <c r="O457" t="s">
        <v>74</v>
      </c>
      <c r="P457" t="s">
        <v>74</v>
      </c>
      <c r="Q457" t="s">
        <v>74</v>
      </c>
      <c r="R457" t="s">
        <v>74</v>
      </c>
      <c r="S457" t="s">
        <v>74</v>
      </c>
      <c r="T457" t="s">
        <v>9162</v>
      </c>
      <c r="U457" t="s">
        <v>9163</v>
      </c>
      <c r="V457" t="s">
        <v>9164</v>
      </c>
      <c r="W457" t="s">
        <v>9165</v>
      </c>
      <c r="X457" t="s">
        <v>9166</v>
      </c>
      <c r="Y457" t="s">
        <v>9167</v>
      </c>
      <c r="Z457" t="s">
        <v>9168</v>
      </c>
      <c r="AA457" t="s">
        <v>9169</v>
      </c>
      <c r="AB457" t="s">
        <v>9170</v>
      </c>
      <c r="AC457" t="s">
        <v>9171</v>
      </c>
      <c r="AD457" t="s">
        <v>9172</v>
      </c>
      <c r="AE457" t="s">
        <v>9173</v>
      </c>
      <c r="AF457" t="s">
        <v>74</v>
      </c>
      <c r="AG457">
        <v>51</v>
      </c>
      <c r="AH457">
        <v>14</v>
      </c>
      <c r="AI457">
        <v>15</v>
      </c>
      <c r="AJ457">
        <v>2</v>
      </c>
      <c r="AK457">
        <v>37</v>
      </c>
      <c r="AL457" t="s">
        <v>576</v>
      </c>
      <c r="AM457" t="s">
        <v>577</v>
      </c>
      <c r="AN457" t="s">
        <v>578</v>
      </c>
      <c r="AO457" t="s">
        <v>9174</v>
      </c>
      <c r="AP457" t="s">
        <v>9175</v>
      </c>
      <c r="AQ457" t="s">
        <v>74</v>
      </c>
      <c r="AR457" t="s">
        <v>9176</v>
      </c>
      <c r="AS457" t="s">
        <v>9177</v>
      </c>
      <c r="AT457" t="s">
        <v>7895</v>
      </c>
      <c r="AU457">
        <v>2019</v>
      </c>
      <c r="AV457">
        <v>12</v>
      </c>
      <c r="AW457">
        <v>3</v>
      </c>
      <c r="AX457" t="s">
        <v>74</v>
      </c>
      <c r="AY457" t="s">
        <v>74</v>
      </c>
      <c r="AZ457" t="s">
        <v>74</v>
      </c>
      <c r="BA457" t="s">
        <v>74</v>
      </c>
      <c r="BB457">
        <v>271</v>
      </c>
      <c r="BC457">
        <v>288</v>
      </c>
      <c r="BD457" t="s">
        <v>74</v>
      </c>
      <c r="BE457" t="s">
        <v>9178</v>
      </c>
      <c r="BF457" t="str">
        <f>HYPERLINK("http://dx.doi.org/10.1007/s11869-018-0642-9","http://dx.doi.org/10.1007/s11869-018-0642-9")</f>
        <v>http://dx.doi.org/10.1007/s11869-018-0642-9</v>
      </c>
      <c r="BG457" t="s">
        <v>74</v>
      </c>
      <c r="BH457" t="s">
        <v>74</v>
      </c>
      <c r="BI457">
        <v>18</v>
      </c>
      <c r="BJ457" t="s">
        <v>2296</v>
      </c>
      <c r="BK457" t="s">
        <v>102</v>
      </c>
      <c r="BL457" t="s">
        <v>2297</v>
      </c>
      <c r="BM457" t="s">
        <v>9179</v>
      </c>
      <c r="BN457" t="s">
        <v>74</v>
      </c>
      <c r="BO457" t="s">
        <v>74</v>
      </c>
      <c r="BP457" t="s">
        <v>74</v>
      </c>
      <c r="BQ457" t="s">
        <v>74</v>
      </c>
      <c r="BR457" t="s">
        <v>107</v>
      </c>
      <c r="BS457" t="s">
        <v>9180</v>
      </c>
      <c r="BT457" t="str">
        <f>HYPERLINK("https%3A%2F%2Fwww.webofscience.com%2Fwos%2Fwoscc%2Ffull-record%2FWOS:000461397800002","View Full Record in Web of Science")</f>
        <v>View Full Record in Web of Science</v>
      </c>
    </row>
    <row r="458" spans="1:72" x14ac:dyDescent="0.15">
      <c r="A458" t="s">
        <v>72</v>
      </c>
      <c r="B458" t="s">
        <v>9181</v>
      </c>
      <c r="C458" t="s">
        <v>74</v>
      </c>
      <c r="D458" t="s">
        <v>74</v>
      </c>
      <c r="E458" t="s">
        <v>74</v>
      </c>
      <c r="F458" t="s">
        <v>9182</v>
      </c>
      <c r="G458" t="s">
        <v>74</v>
      </c>
      <c r="H458" t="s">
        <v>74</v>
      </c>
      <c r="I458" t="s">
        <v>9183</v>
      </c>
      <c r="J458" t="s">
        <v>9184</v>
      </c>
      <c r="K458" t="s">
        <v>74</v>
      </c>
      <c r="L458" t="s">
        <v>74</v>
      </c>
      <c r="M458" t="s">
        <v>78</v>
      </c>
      <c r="N458" t="s">
        <v>79</v>
      </c>
      <c r="O458" t="s">
        <v>74</v>
      </c>
      <c r="P458" t="s">
        <v>74</v>
      </c>
      <c r="Q458" t="s">
        <v>74</v>
      </c>
      <c r="R458" t="s">
        <v>74</v>
      </c>
      <c r="S458" t="s">
        <v>74</v>
      </c>
      <c r="T458" t="s">
        <v>9185</v>
      </c>
      <c r="U458" t="s">
        <v>9186</v>
      </c>
      <c r="V458" t="s">
        <v>9187</v>
      </c>
      <c r="W458" t="s">
        <v>9188</v>
      </c>
      <c r="X458" t="s">
        <v>9189</v>
      </c>
      <c r="Y458" t="s">
        <v>9190</v>
      </c>
      <c r="Z458" t="s">
        <v>9191</v>
      </c>
      <c r="AA458" t="s">
        <v>9192</v>
      </c>
      <c r="AB458" t="s">
        <v>9193</v>
      </c>
      <c r="AC458" t="s">
        <v>9194</v>
      </c>
      <c r="AD458" t="s">
        <v>9195</v>
      </c>
      <c r="AE458" t="s">
        <v>9196</v>
      </c>
      <c r="AF458" t="s">
        <v>74</v>
      </c>
      <c r="AG458">
        <v>118</v>
      </c>
      <c r="AH458">
        <v>18</v>
      </c>
      <c r="AI458">
        <v>20</v>
      </c>
      <c r="AJ458">
        <v>1</v>
      </c>
      <c r="AK458">
        <v>15</v>
      </c>
      <c r="AL458" t="s">
        <v>5901</v>
      </c>
      <c r="AM458" t="s">
        <v>329</v>
      </c>
      <c r="AN458" t="s">
        <v>5902</v>
      </c>
      <c r="AO458" t="s">
        <v>9197</v>
      </c>
      <c r="AP458" t="s">
        <v>9198</v>
      </c>
      <c r="AQ458" t="s">
        <v>74</v>
      </c>
      <c r="AR458" t="s">
        <v>9184</v>
      </c>
      <c r="AS458" t="s">
        <v>9199</v>
      </c>
      <c r="AT458" t="s">
        <v>7895</v>
      </c>
      <c r="AU458">
        <v>2019</v>
      </c>
      <c r="AV458">
        <v>29</v>
      </c>
      <c r="AW458">
        <v>3</v>
      </c>
      <c r="AX458" t="s">
        <v>74</v>
      </c>
      <c r="AY458" t="s">
        <v>74</v>
      </c>
      <c r="AZ458" t="s">
        <v>74</v>
      </c>
      <c r="BA458" t="s">
        <v>74</v>
      </c>
      <c r="BB458">
        <v>403</v>
      </c>
      <c r="BC458">
        <v>420</v>
      </c>
      <c r="BD458" t="s">
        <v>74</v>
      </c>
      <c r="BE458" t="s">
        <v>9200</v>
      </c>
      <c r="BF458" t="str">
        <f>HYPERLINK("http://dx.doi.org/10.1177/0959683618816446","http://dx.doi.org/10.1177/0959683618816446")</f>
        <v>http://dx.doi.org/10.1177/0959683618816446</v>
      </c>
      <c r="BG458" t="s">
        <v>74</v>
      </c>
      <c r="BH458" t="s">
        <v>74</v>
      </c>
      <c r="BI458">
        <v>18</v>
      </c>
      <c r="BJ458" t="s">
        <v>1142</v>
      </c>
      <c r="BK458" t="s">
        <v>102</v>
      </c>
      <c r="BL458" t="s">
        <v>1143</v>
      </c>
      <c r="BM458" t="s">
        <v>9201</v>
      </c>
      <c r="BN458" t="s">
        <v>74</v>
      </c>
      <c r="BO458" t="s">
        <v>7156</v>
      </c>
      <c r="BP458" t="s">
        <v>74</v>
      </c>
      <c r="BQ458" t="s">
        <v>74</v>
      </c>
      <c r="BR458" t="s">
        <v>107</v>
      </c>
      <c r="BS458" t="s">
        <v>9202</v>
      </c>
      <c r="BT458" t="str">
        <f>HYPERLINK("https%3A%2F%2Fwww.webofscience.com%2Fwos%2Fwoscc%2Ffull-record%2FWOS:000461697500003","View Full Record in Web of Science")</f>
        <v>View Full Record in Web of Science</v>
      </c>
    </row>
    <row r="459" spans="1:72" x14ac:dyDescent="0.15">
      <c r="A459" t="s">
        <v>72</v>
      </c>
      <c r="B459" t="s">
        <v>9203</v>
      </c>
      <c r="C459" t="s">
        <v>74</v>
      </c>
      <c r="D459" t="s">
        <v>74</v>
      </c>
      <c r="E459" t="s">
        <v>74</v>
      </c>
      <c r="F459" t="s">
        <v>9204</v>
      </c>
      <c r="G459" t="s">
        <v>74</v>
      </c>
      <c r="H459" t="s">
        <v>74</v>
      </c>
      <c r="I459" t="s">
        <v>9205</v>
      </c>
      <c r="J459" t="s">
        <v>9206</v>
      </c>
      <c r="K459" t="s">
        <v>74</v>
      </c>
      <c r="L459" t="s">
        <v>74</v>
      </c>
      <c r="M459" t="s">
        <v>78</v>
      </c>
      <c r="N459" t="s">
        <v>79</v>
      </c>
      <c r="O459" t="s">
        <v>74</v>
      </c>
      <c r="P459" t="s">
        <v>74</v>
      </c>
      <c r="Q459" t="s">
        <v>74</v>
      </c>
      <c r="R459" t="s">
        <v>74</v>
      </c>
      <c r="S459" t="s">
        <v>74</v>
      </c>
      <c r="T459" t="s">
        <v>74</v>
      </c>
      <c r="U459" t="s">
        <v>9207</v>
      </c>
      <c r="V459" t="s">
        <v>9208</v>
      </c>
      <c r="W459" t="s">
        <v>9209</v>
      </c>
      <c r="X459" t="s">
        <v>9210</v>
      </c>
      <c r="Y459" t="s">
        <v>9211</v>
      </c>
      <c r="Z459" t="s">
        <v>9212</v>
      </c>
      <c r="AA459" t="s">
        <v>9213</v>
      </c>
      <c r="AB459" t="s">
        <v>9214</v>
      </c>
      <c r="AC459" t="s">
        <v>9215</v>
      </c>
      <c r="AD459" t="s">
        <v>9216</v>
      </c>
      <c r="AE459" t="s">
        <v>9217</v>
      </c>
      <c r="AF459" t="s">
        <v>74</v>
      </c>
      <c r="AG459">
        <v>100</v>
      </c>
      <c r="AH459">
        <v>16</v>
      </c>
      <c r="AI459">
        <v>20</v>
      </c>
      <c r="AJ459">
        <v>0</v>
      </c>
      <c r="AK459">
        <v>18</v>
      </c>
      <c r="AL459" t="s">
        <v>9218</v>
      </c>
      <c r="AM459" t="s">
        <v>9219</v>
      </c>
      <c r="AN459" t="s">
        <v>9220</v>
      </c>
      <c r="AO459" t="s">
        <v>9221</v>
      </c>
      <c r="AP459" t="s">
        <v>74</v>
      </c>
      <c r="AQ459" t="s">
        <v>74</v>
      </c>
      <c r="AR459" t="s">
        <v>9206</v>
      </c>
      <c r="AS459" t="s">
        <v>277</v>
      </c>
      <c r="AT459" t="s">
        <v>7895</v>
      </c>
      <c r="AU459">
        <v>2019</v>
      </c>
      <c r="AV459">
        <v>32</v>
      </c>
      <c r="AW459">
        <v>1</v>
      </c>
      <c r="AX459" t="s">
        <v>74</v>
      </c>
      <c r="AY459" t="s">
        <v>74</v>
      </c>
      <c r="AZ459" t="s">
        <v>247</v>
      </c>
      <c r="BA459" t="s">
        <v>74</v>
      </c>
      <c r="BB459">
        <v>32</v>
      </c>
      <c r="BC459">
        <v>46</v>
      </c>
      <c r="BD459" t="s">
        <v>74</v>
      </c>
      <c r="BE459" t="s">
        <v>9222</v>
      </c>
      <c r="BF459" t="str">
        <f>HYPERLINK("http://dx.doi.org/10.5670/oceanog.2019.117","http://dx.doi.org/10.5670/oceanog.2019.117")</f>
        <v>http://dx.doi.org/10.5670/oceanog.2019.117</v>
      </c>
      <c r="BG459" t="s">
        <v>74</v>
      </c>
      <c r="BH459" t="s">
        <v>74</v>
      </c>
      <c r="BI459">
        <v>15</v>
      </c>
      <c r="BJ459" t="s">
        <v>277</v>
      </c>
      <c r="BK459" t="s">
        <v>102</v>
      </c>
      <c r="BL459" t="s">
        <v>277</v>
      </c>
      <c r="BM459" t="s">
        <v>9223</v>
      </c>
      <c r="BN459" t="s">
        <v>74</v>
      </c>
      <c r="BO459" t="s">
        <v>851</v>
      </c>
      <c r="BP459" t="s">
        <v>74</v>
      </c>
      <c r="BQ459" t="s">
        <v>74</v>
      </c>
      <c r="BR459" t="s">
        <v>107</v>
      </c>
      <c r="BS459" t="s">
        <v>9224</v>
      </c>
      <c r="BT459" t="str">
        <f>HYPERLINK("https%3A%2F%2Fwww.webofscience.com%2Fwos%2Fwoscc%2Ffull-record%2FWOS:000461760800013","View Full Record in Web of Science")</f>
        <v>View Full Record in Web of Science</v>
      </c>
    </row>
    <row r="460" spans="1:72" x14ac:dyDescent="0.15">
      <c r="A460" t="s">
        <v>72</v>
      </c>
      <c r="B460" t="s">
        <v>9225</v>
      </c>
      <c r="C460" t="s">
        <v>74</v>
      </c>
      <c r="D460" t="s">
        <v>74</v>
      </c>
      <c r="E460" t="s">
        <v>74</v>
      </c>
      <c r="F460" t="s">
        <v>9226</v>
      </c>
      <c r="G460" t="s">
        <v>74</v>
      </c>
      <c r="H460" t="s">
        <v>74</v>
      </c>
      <c r="I460" t="s">
        <v>9227</v>
      </c>
      <c r="J460" t="s">
        <v>9206</v>
      </c>
      <c r="K460" t="s">
        <v>74</v>
      </c>
      <c r="L460" t="s">
        <v>74</v>
      </c>
      <c r="M460" t="s">
        <v>78</v>
      </c>
      <c r="N460" t="s">
        <v>79</v>
      </c>
      <c r="O460" t="s">
        <v>74</v>
      </c>
      <c r="P460" t="s">
        <v>74</v>
      </c>
      <c r="Q460" t="s">
        <v>74</v>
      </c>
      <c r="R460" t="s">
        <v>74</v>
      </c>
      <c r="S460" t="s">
        <v>74</v>
      </c>
      <c r="T460" t="s">
        <v>74</v>
      </c>
      <c r="U460" t="s">
        <v>9228</v>
      </c>
      <c r="V460" t="s">
        <v>9229</v>
      </c>
      <c r="W460" t="s">
        <v>9230</v>
      </c>
      <c r="X460" t="s">
        <v>9231</v>
      </c>
      <c r="Y460" t="s">
        <v>9232</v>
      </c>
      <c r="Z460" t="s">
        <v>9233</v>
      </c>
      <c r="AA460" t="s">
        <v>9234</v>
      </c>
      <c r="AB460" t="s">
        <v>9235</v>
      </c>
      <c r="AC460" t="s">
        <v>9236</v>
      </c>
      <c r="AD460" t="s">
        <v>9237</v>
      </c>
      <c r="AE460" t="s">
        <v>9238</v>
      </c>
      <c r="AF460" t="s">
        <v>74</v>
      </c>
      <c r="AG460">
        <v>48</v>
      </c>
      <c r="AH460">
        <v>8</v>
      </c>
      <c r="AI460">
        <v>11</v>
      </c>
      <c r="AJ460">
        <v>1</v>
      </c>
      <c r="AK460">
        <v>7</v>
      </c>
      <c r="AL460" t="s">
        <v>9218</v>
      </c>
      <c r="AM460" t="s">
        <v>9219</v>
      </c>
      <c r="AN460" t="s">
        <v>9220</v>
      </c>
      <c r="AO460" t="s">
        <v>9221</v>
      </c>
      <c r="AP460" t="s">
        <v>74</v>
      </c>
      <c r="AQ460" t="s">
        <v>74</v>
      </c>
      <c r="AR460" t="s">
        <v>9206</v>
      </c>
      <c r="AS460" t="s">
        <v>277</v>
      </c>
      <c r="AT460" t="s">
        <v>7895</v>
      </c>
      <c r="AU460">
        <v>2019</v>
      </c>
      <c r="AV460">
        <v>32</v>
      </c>
      <c r="AW460">
        <v>1</v>
      </c>
      <c r="AX460" t="s">
        <v>74</v>
      </c>
      <c r="AY460" t="s">
        <v>74</v>
      </c>
      <c r="AZ460" t="s">
        <v>247</v>
      </c>
      <c r="BA460" t="s">
        <v>74</v>
      </c>
      <c r="BB460">
        <v>64</v>
      </c>
      <c r="BC460">
        <v>71</v>
      </c>
      <c r="BD460" t="s">
        <v>74</v>
      </c>
      <c r="BE460" t="s">
        <v>9239</v>
      </c>
      <c r="BF460" t="str">
        <f>HYPERLINK("http://dx.doi.org/10.5670/oceanog.2019.121","http://dx.doi.org/10.5670/oceanog.2019.121")</f>
        <v>http://dx.doi.org/10.5670/oceanog.2019.121</v>
      </c>
      <c r="BG460" t="s">
        <v>74</v>
      </c>
      <c r="BH460" t="s">
        <v>74</v>
      </c>
      <c r="BI460">
        <v>8</v>
      </c>
      <c r="BJ460" t="s">
        <v>277</v>
      </c>
      <c r="BK460" t="s">
        <v>102</v>
      </c>
      <c r="BL460" t="s">
        <v>277</v>
      </c>
      <c r="BM460" t="s">
        <v>9223</v>
      </c>
      <c r="BN460" t="s">
        <v>74</v>
      </c>
      <c r="BO460" t="s">
        <v>851</v>
      </c>
      <c r="BP460" t="s">
        <v>74</v>
      </c>
      <c r="BQ460" t="s">
        <v>74</v>
      </c>
      <c r="BR460" t="s">
        <v>107</v>
      </c>
      <c r="BS460" t="s">
        <v>9240</v>
      </c>
      <c r="BT460" t="str">
        <f>HYPERLINK("https%3A%2F%2Fwww.webofscience.com%2Fwos%2Fwoscc%2Ffull-record%2FWOS:000461760800017","View Full Record in Web of Science")</f>
        <v>View Full Record in Web of Science</v>
      </c>
    </row>
    <row r="461" spans="1:72" x14ac:dyDescent="0.15">
      <c r="A461" t="s">
        <v>72</v>
      </c>
      <c r="B461" t="s">
        <v>9241</v>
      </c>
      <c r="C461" t="s">
        <v>74</v>
      </c>
      <c r="D461" t="s">
        <v>74</v>
      </c>
      <c r="E461" t="s">
        <v>74</v>
      </c>
      <c r="F461" t="s">
        <v>9242</v>
      </c>
      <c r="G461" t="s">
        <v>74</v>
      </c>
      <c r="H461" t="s">
        <v>74</v>
      </c>
      <c r="I461" t="s">
        <v>9243</v>
      </c>
      <c r="J461" t="s">
        <v>9206</v>
      </c>
      <c r="K461" t="s">
        <v>74</v>
      </c>
      <c r="L461" t="s">
        <v>74</v>
      </c>
      <c r="M461" t="s">
        <v>78</v>
      </c>
      <c r="N461" t="s">
        <v>79</v>
      </c>
      <c r="O461" t="s">
        <v>74</v>
      </c>
      <c r="P461" t="s">
        <v>74</v>
      </c>
      <c r="Q461" t="s">
        <v>74</v>
      </c>
      <c r="R461" t="s">
        <v>74</v>
      </c>
      <c r="S461" t="s">
        <v>74</v>
      </c>
      <c r="T461" t="s">
        <v>74</v>
      </c>
      <c r="U461" t="s">
        <v>9244</v>
      </c>
      <c r="V461" t="s">
        <v>9245</v>
      </c>
      <c r="W461" t="s">
        <v>9246</v>
      </c>
      <c r="X461" t="s">
        <v>9247</v>
      </c>
      <c r="Y461" t="s">
        <v>9248</v>
      </c>
      <c r="Z461" t="s">
        <v>9249</v>
      </c>
      <c r="AA461" t="s">
        <v>9250</v>
      </c>
      <c r="AB461" t="s">
        <v>9251</v>
      </c>
      <c r="AC461" t="s">
        <v>74</v>
      </c>
      <c r="AD461" t="s">
        <v>74</v>
      </c>
      <c r="AE461" t="s">
        <v>74</v>
      </c>
      <c r="AF461" t="s">
        <v>74</v>
      </c>
      <c r="AG461">
        <v>167</v>
      </c>
      <c r="AH461">
        <v>13</v>
      </c>
      <c r="AI461">
        <v>14</v>
      </c>
      <c r="AJ461">
        <v>0</v>
      </c>
      <c r="AK461">
        <v>11</v>
      </c>
      <c r="AL461" t="s">
        <v>9218</v>
      </c>
      <c r="AM461" t="s">
        <v>9219</v>
      </c>
      <c r="AN461" t="s">
        <v>9220</v>
      </c>
      <c r="AO461" t="s">
        <v>9221</v>
      </c>
      <c r="AP461" t="s">
        <v>74</v>
      </c>
      <c r="AQ461" t="s">
        <v>74</v>
      </c>
      <c r="AR461" t="s">
        <v>9206</v>
      </c>
      <c r="AS461" t="s">
        <v>277</v>
      </c>
      <c r="AT461" t="s">
        <v>7895</v>
      </c>
      <c r="AU461">
        <v>2019</v>
      </c>
      <c r="AV461">
        <v>32</v>
      </c>
      <c r="AW461">
        <v>1</v>
      </c>
      <c r="AX461" t="s">
        <v>74</v>
      </c>
      <c r="AY461" t="s">
        <v>74</v>
      </c>
      <c r="AZ461" t="s">
        <v>247</v>
      </c>
      <c r="BA461" t="s">
        <v>74</v>
      </c>
      <c r="BB461">
        <v>176</v>
      </c>
      <c r="BC461">
        <v>192</v>
      </c>
      <c r="BD461" t="s">
        <v>74</v>
      </c>
      <c r="BE461" t="s">
        <v>9252</v>
      </c>
      <c r="BF461" t="str">
        <f>HYPERLINK("http://dx.doi.org/10.5670/oceanog.2019.142","http://dx.doi.org/10.5670/oceanog.2019.142")</f>
        <v>http://dx.doi.org/10.5670/oceanog.2019.142</v>
      </c>
      <c r="BG461" t="s">
        <v>74</v>
      </c>
      <c r="BH461" t="s">
        <v>74</v>
      </c>
      <c r="BI461">
        <v>17</v>
      </c>
      <c r="BJ461" t="s">
        <v>277</v>
      </c>
      <c r="BK461" t="s">
        <v>102</v>
      </c>
      <c r="BL461" t="s">
        <v>277</v>
      </c>
      <c r="BM461" t="s">
        <v>9223</v>
      </c>
      <c r="BN461" t="s">
        <v>74</v>
      </c>
      <c r="BO461" t="s">
        <v>2020</v>
      </c>
      <c r="BP461" t="s">
        <v>74</v>
      </c>
      <c r="BQ461" t="s">
        <v>74</v>
      </c>
      <c r="BR461" t="s">
        <v>107</v>
      </c>
      <c r="BS461" t="s">
        <v>9253</v>
      </c>
      <c r="BT461" t="str">
        <f>HYPERLINK("https%3A%2F%2Fwww.webofscience.com%2Fwos%2Fwoscc%2Ffull-record%2FWOS:000461760800038","View Full Record in Web of Science")</f>
        <v>View Full Record in Web of Science</v>
      </c>
    </row>
    <row r="462" spans="1:72" x14ac:dyDescent="0.15">
      <c r="A462" t="s">
        <v>72</v>
      </c>
      <c r="B462" t="s">
        <v>9254</v>
      </c>
      <c r="C462" t="s">
        <v>74</v>
      </c>
      <c r="D462" t="s">
        <v>74</v>
      </c>
      <c r="E462" t="s">
        <v>74</v>
      </c>
      <c r="F462" t="s">
        <v>9255</v>
      </c>
      <c r="G462" t="s">
        <v>74</v>
      </c>
      <c r="H462" t="s">
        <v>74</v>
      </c>
      <c r="I462" t="s">
        <v>9256</v>
      </c>
      <c r="J462" t="s">
        <v>9257</v>
      </c>
      <c r="K462" t="s">
        <v>74</v>
      </c>
      <c r="L462" t="s">
        <v>74</v>
      </c>
      <c r="M462" t="s">
        <v>78</v>
      </c>
      <c r="N462" t="s">
        <v>79</v>
      </c>
      <c r="O462" t="s">
        <v>74</v>
      </c>
      <c r="P462" t="s">
        <v>74</v>
      </c>
      <c r="Q462" t="s">
        <v>74</v>
      </c>
      <c r="R462" t="s">
        <v>74</v>
      </c>
      <c r="S462" t="s">
        <v>74</v>
      </c>
      <c r="T462" t="s">
        <v>9258</v>
      </c>
      <c r="U462" t="s">
        <v>9259</v>
      </c>
      <c r="V462" t="s">
        <v>9260</v>
      </c>
      <c r="W462" t="s">
        <v>9261</v>
      </c>
      <c r="X462" t="s">
        <v>9262</v>
      </c>
      <c r="Y462" t="s">
        <v>9263</v>
      </c>
      <c r="Z462" t="s">
        <v>9264</v>
      </c>
      <c r="AA462" t="s">
        <v>9265</v>
      </c>
      <c r="AB462" t="s">
        <v>9266</v>
      </c>
      <c r="AC462" t="s">
        <v>9267</v>
      </c>
      <c r="AD462" t="s">
        <v>9268</v>
      </c>
      <c r="AE462" t="s">
        <v>9269</v>
      </c>
      <c r="AF462" t="s">
        <v>74</v>
      </c>
      <c r="AG462">
        <v>95</v>
      </c>
      <c r="AH462">
        <v>11</v>
      </c>
      <c r="AI462">
        <v>11</v>
      </c>
      <c r="AJ462">
        <v>2</v>
      </c>
      <c r="AK462">
        <v>25</v>
      </c>
      <c r="AL462" t="s">
        <v>153</v>
      </c>
      <c r="AM462" t="s">
        <v>154</v>
      </c>
      <c r="AN462" t="s">
        <v>155</v>
      </c>
      <c r="AO462" t="s">
        <v>9270</v>
      </c>
      <c r="AP462" t="s">
        <v>9271</v>
      </c>
      <c r="AQ462" t="s">
        <v>74</v>
      </c>
      <c r="AR462" t="s">
        <v>9257</v>
      </c>
      <c r="AS462" t="s">
        <v>9272</v>
      </c>
      <c r="AT462" t="s">
        <v>7895</v>
      </c>
      <c r="AU462">
        <v>2019</v>
      </c>
      <c r="AV462">
        <v>12</v>
      </c>
      <c r="AW462">
        <v>2</v>
      </c>
      <c r="AX462" t="s">
        <v>74</v>
      </c>
      <c r="AY462" t="s">
        <v>74</v>
      </c>
      <c r="AZ462" t="s">
        <v>74</v>
      </c>
      <c r="BA462" t="s">
        <v>74</v>
      </c>
      <c r="BB462" t="s">
        <v>74</v>
      </c>
      <c r="BC462" t="s">
        <v>74</v>
      </c>
      <c r="BD462" t="s">
        <v>9273</v>
      </c>
      <c r="BE462" t="s">
        <v>9274</v>
      </c>
      <c r="BF462" t="str">
        <f>HYPERLINK("http://dx.doi.org/10.1002/eco.2063","http://dx.doi.org/10.1002/eco.2063")</f>
        <v>http://dx.doi.org/10.1002/eco.2063</v>
      </c>
      <c r="BG462" t="s">
        <v>74</v>
      </c>
      <c r="BH462" t="s">
        <v>74</v>
      </c>
      <c r="BI462">
        <v>16</v>
      </c>
      <c r="BJ462" t="s">
        <v>9275</v>
      </c>
      <c r="BK462" t="s">
        <v>102</v>
      </c>
      <c r="BL462" t="s">
        <v>2737</v>
      </c>
      <c r="BM462" t="s">
        <v>9276</v>
      </c>
      <c r="BN462" t="s">
        <v>74</v>
      </c>
      <c r="BO462" t="s">
        <v>74</v>
      </c>
      <c r="BP462" t="s">
        <v>74</v>
      </c>
      <c r="BQ462" t="s">
        <v>74</v>
      </c>
      <c r="BR462" t="s">
        <v>107</v>
      </c>
      <c r="BS462" t="s">
        <v>9277</v>
      </c>
      <c r="BT462" t="str">
        <f>HYPERLINK("https%3A%2F%2Fwww.webofscience.com%2Fwos%2Fwoscc%2Ffull-record%2FWOS:000461581900010","View Full Record in Web of Science")</f>
        <v>View Full Record in Web of Science</v>
      </c>
    </row>
    <row r="463" spans="1:72" x14ac:dyDescent="0.15">
      <c r="A463" t="s">
        <v>72</v>
      </c>
      <c r="B463" t="s">
        <v>9278</v>
      </c>
      <c r="C463" t="s">
        <v>74</v>
      </c>
      <c r="D463" t="s">
        <v>74</v>
      </c>
      <c r="E463" t="s">
        <v>74</v>
      </c>
      <c r="F463" t="s">
        <v>9279</v>
      </c>
      <c r="G463" t="s">
        <v>74</v>
      </c>
      <c r="H463" t="s">
        <v>74</v>
      </c>
      <c r="I463" t="s">
        <v>9280</v>
      </c>
      <c r="J463" t="s">
        <v>9281</v>
      </c>
      <c r="K463" t="s">
        <v>74</v>
      </c>
      <c r="L463" t="s">
        <v>74</v>
      </c>
      <c r="M463" t="s">
        <v>78</v>
      </c>
      <c r="N463" t="s">
        <v>79</v>
      </c>
      <c r="O463" t="s">
        <v>74</v>
      </c>
      <c r="P463" t="s">
        <v>74</v>
      </c>
      <c r="Q463" t="s">
        <v>74</v>
      </c>
      <c r="R463" t="s">
        <v>74</v>
      </c>
      <c r="S463" t="s">
        <v>74</v>
      </c>
      <c r="T463" t="s">
        <v>9282</v>
      </c>
      <c r="U463" t="s">
        <v>9283</v>
      </c>
      <c r="V463" t="s">
        <v>9284</v>
      </c>
      <c r="W463" t="s">
        <v>9285</v>
      </c>
      <c r="X463" t="s">
        <v>9286</v>
      </c>
      <c r="Y463" t="s">
        <v>9287</v>
      </c>
      <c r="Z463" t="s">
        <v>9288</v>
      </c>
      <c r="AA463" t="s">
        <v>9289</v>
      </c>
      <c r="AB463" t="s">
        <v>9290</v>
      </c>
      <c r="AC463" t="s">
        <v>9291</v>
      </c>
      <c r="AD463" t="s">
        <v>9292</v>
      </c>
      <c r="AE463" t="s">
        <v>9293</v>
      </c>
      <c r="AF463" t="s">
        <v>74</v>
      </c>
      <c r="AG463">
        <v>67</v>
      </c>
      <c r="AH463">
        <v>17</v>
      </c>
      <c r="AI463">
        <v>18</v>
      </c>
      <c r="AJ463">
        <v>5</v>
      </c>
      <c r="AK463">
        <v>40</v>
      </c>
      <c r="AL463" t="s">
        <v>662</v>
      </c>
      <c r="AM463" t="s">
        <v>635</v>
      </c>
      <c r="AN463" t="s">
        <v>663</v>
      </c>
      <c r="AO463" t="s">
        <v>9294</v>
      </c>
      <c r="AP463" t="s">
        <v>9295</v>
      </c>
      <c r="AQ463" t="s">
        <v>74</v>
      </c>
      <c r="AR463" t="s">
        <v>9296</v>
      </c>
      <c r="AS463" t="s">
        <v>9297</v>
      </c>
      <c r="AT463" t="s">
        <v>7895</v>
      </c>
      <c r="AU463">
        <v>2019</v>
      </c>
      <c r="AV463">
        <v>174</v>
      </c>
      <c r="AW463" t="s">
        <v>74</v>
      </c>
      <c r="AX463" t="s">
        <v>74</v>
      </c>
      <c r="AY463" t="s">
        <v>74</v>
      </c>
      <c r="AZ463" t="s">
        <v>74</v>
      </c>
      <c r="BA463" t="s">
        <v>74</v>
      </c>
      <c r="BB463">
        <v>1</v>
      </c>
      <c r="BC463">
        <v>15</v>
      </c>
      <c r="BD463" t="s">
        <v>74</v>
      </c>
      <c r="BE463" t="s">
        <v>9298</v>
      </c>
      <c r="BF463" t="str">
        <f>HYPERLINK("http://dx.doi.org/10.1016/j.gloplacha.2018.12.012","http://dx.doi.org/10.1016/j.gloplacha.2018.12.012")</f>
        <v>http://dx.doi.org/10.1016/j.gloplacha.2018.12.012</v>
      </c>
      <c r="BG463" t="s">
        <v>74</v>
      </c>
      <c r="BH463" t="s">
        <v>74</v>
      </c>
      <c r="BI463">
        <v>15</v>
      </c>
      <c r="BJ463" t="s">
        <v>1142</v>
      </c>
      <c r="BK463" t="s">
        <v>102</v>
      </c>
      <c r="BL463" t="s">
        <v>1143</v>
      </c>
      <c r="BM463" t="s">
        <v>9299</v>
      </c>
      <c r="BN463" t="s">
        <v>74</v>
      </c>
      <c r="BO463" t="s">
        <v>403</v>
      </c>
      <c r="BP463" t="s">
        <v>74</v>
      </c>
      <c r="BQ463" t="s">
        <v>74</v>
      </c>
      <c r="BR463" t="s">
        <v>107</v>
      </c>
      <c r="BS463" t="s">
        <v>9300</v>
      </c>
      <c r="BT463" t="str">
        <f>HYPERLINK("https%3A%2F%2Fwww.webofscience.com%2Fwos%2Fwoscc%2Ffull-record%2FWOS:000461411900001","View Full Record in Web of Science")</f>
        <v>View Full Record in Web of Science</v>
      </c>
    </row>
    <row r="464" spans="1:72" x14ac:dyDescent="0.15">
      <c r="A464" t="s">
        <v>72</v>
      </c>
      <c r="B464" t="s">
        <v>9301</v>
      </c>
      <c r="C464" t="s">
        <v>74</v>
      </c>
      <c r="D464" t="s">
        <v>74</v>
      </c>
      <c r="E464" t="s">
        <v>74</v>
      </c>
      <c r="F464" t="s">
        <v>9302</v>
      </c>
      <c r="G464" t="s">
        <v>74</v>
      </c>
      <c r="H464" t="s">
        <v>74</v>
      </c>
      <c r="I464" t="s">
        <v>9303</v>
      </c>
      <c r="J464" t="s">
        <v>9304</v>
      </c>
      <c r="K464" t="s">
        <v>74</v>
      </c>
      <c r="L464" t="s">
        <v>74</v>
      </c>
      <c r="M464" t="s">
        <v>78</v>
      </c>
      <c r="N464" t="s">
        <v>79</v>
      </c>
      <c r="O464" t="s">
        <v>74</v>
      </c>
      <c r="P464" t="s">
        <v>74</v>
      </c>
      <c r="Q464" t="s">
        <v>74</v>
      </c>
      <c r="R464" t="s">
        <v>74</v>
      </c>
      <c r="S464" t="s">
        <v>74</v>
      </c>
      <c r="T464" t="s">
        <v>9305</v>
      </c>
      <c r="U464" t="s">
        <v>9306</v>
      </c>
      <c r="V464" t="s">
        <v>9307</v>
      </c>
      <c r="W464" t="s">
        <v>9308</v>
      </c>
      <c r="X464" t="s">
        <v>9309</v>
      </c>
      <c r="Y464" t="s">
        <v>9310</v>
      </c>
      <c r="Z464" t="s">
        <v>9311</v>
      </c>
      <c r="AA464" t="s">
        <v>9312</v>
      </c>
      <c r="AB464" t="s">
        <v>9313</v>
      </c>
      <c r="AC464" t="s">
        <v>9314</v>
      </c>
      <c r="AD464" t="s">
        <v>7993</v>
      </c>
      <c r="AE464" t="s">
        <v>9315</v>
      </c>
      <c r="AF464" t="s">
        <v>74</v>
      </c>
      <c r="AG464">
        <v>28</v>
      </c>
      <c r="AH464">
        <v>2</v>
      </c>
      <c r="AI464">
        <v>4</v>
      </c>
      <c r="AJ464">
        <v>0</v>
      </c>
      <c r="AK464">
        <v>5</v>
      </c>
      <c r="AL464" t="s">
        <v>9316</v>
      </c>
      <c r="AM464" t="s">
        <v>607</v>
      </c>
      <c r="AN464" t="s">
        <v>9317</v>
      </c>
      <c r="AO464" t="s">
        <v>9318</v>
      </c>
      <c r="AP464" t="s">
        <v>9319</v>
      </c>
      <c r="AQ464" t="s">
        <v>74</v>
      </c>
      <c r="AR464" t="s">
        <v>9320</v>
      </c>
      <c r="AS464" t="s">
        <v>9321</v>
      </c>
      <c r="AT464" t="s">
        <v>7895</v>
      </c>
      <c r="AU464">
        <v>2019</v>
      </c>
      <c r="AV464">
        <v>9</v>
      </c>
      <c r="AW464">
        <v>1</v>
      </c>
      <c r="AX464" t="s">
        <v>74</v>
      </c>
      <c r="AY464" t="s">
        <v>74</v>
      </c>
      <c r="AZ464" t="s">
        <v>74</v>
      </c>
      <c r="BA464" t="s">
        <v>74</v>
      </c>
      <c r="BB464">
        <v>43</v>
      </c>
      <c r="BC464">
        <v>47</v>
      </c>
      <c r="BD464" t="s">
        <v>74</v>
      </c>
      <c r="BE464" t="s">
        <v>9322</v>
      </c>
      <c r="BF464" t="str">
        <f>HYPERLINK("http://dx.doi.org/10.21103/Article9(1)_OA8","http://dx.doi.org/10.21103/Article9(1)_OA8")</f>
        <v>http://dx.doi.org/10.21103/Article9(1)_OA8</v>
      </c>
      <c r="BG464" t="s">
        <v>74</v>
      </c>
      <c r="BH464" t="s">
        <v>74</v>
      </c>
      <c r="BI464">
        <v>5</v>
      </c>
      <c r="BJ464" t="s">
        <v>9323</v>
      </c>
      <c r="BK464" t="s">
        <v>2712</v>
      </c>
      <c r="BL464" t="s">
        <v>9324</v>
      </c>
      <c r="BM464" t="s">
        <v>9325</v>
      </c>
      <c r="BN464" t="s">
        <v>74</v>
      </c>
      <c r="BO464" t="s">
        <v>1415</v>
      </c>
      <c r="BP464" t="s">
        <v>74</v>
      </c>
      <c r="BQ464" t="s">
        <v>74</v>
      </c>
      <c r="BR464" t="s">
        <v>107</v>
      </c>
      <c r="BS464" t="s">
        <v>9326</v>
      </c>
      <c r="BT464" t="str">
        <f>HYPERLINK("https%3A%2F%2Fwww.webofscience.com%2Fwos%2Fwoscc%2Ffull-record%2FWOS:000461443400009","View Full Record in Web of Science")</f>
        <v>View Full Record in Web of Science</v>
      </c>
    </row>
    <row r="465" spans="1:72" x14ac:dyDescent="0.15">
      <c r="A465" t="s">
        <v>72</v>
      </c>
      <c r="B465" t="s">
        <v>9327</v>
      </c>
      <c r="C465" t="s">
        <v>74</v>
      </c>
      <c r="D465" t="s">
        <v>74</v>
      </c>
      <c r="E465" t="s">
        <v>74</v>
      </c>
      <c r="F465" t="s">
        <v>9328</v>
      </c>
      <c r="G465" t="s">
        <v>74</v>
      </c>
      <c r="H465" t="s">
        <v>74</v>
      </c>
      <c r="I465" t="s">
        <v>9329</v>
      </c>
      <c r="J465" t="s">
        <v>256</v>
      </c>
      <c r="K465" t="s">
        <v>74</v>
      </c>
      <c r="L465" t="s">
        <v>74</v>
      </c>
      <c r="M465" t="s">
        <v>78</v>
      </c>
      <c r="N465" t="s">
        <v>79</v>
      </c>
      <c r="O465" t="s">
        <v>74</v>
      </c>
      <c r="P465" t="s">
        <v>74</v>
      </c>
      <c r="Q465" t="s">
        <v>74</v>
      </c>
      <c r="R465" t="s">
        <v>74</v>
      </c>
      <c r="S465" t="s">
        <v>74</v>
      </c>
      <c r="T465" t="s">
        <v>9330</v>
      </c>
      <c r="U465" t="s">
        <v>9331</v>
      </c>
      <c r="V465" t="s">
        <v>9332</v>
      </c>
      <c r="W465" t="s">
        <v>9333</v>
      </c>
      <c r="X465" t="s">
        <v>9334</v>
      </c>
      <c r="Y465" t="s">
        <v>9335</v>
      </c>
      <c r="Z465" t="s">
        <v>9336</v>
      </c>
      <c r="AA465" t="s">
        <v>74</v>
      </c>
      <c r="AB465" t="s">
        <v>9337</v>
      </c>
      <c r="AC465" t="s">
        <v>9338</v>
      </c>
      <c r="AD465" t="s">
        <v>9339</v>
      </c>
      <c r="AE465" t="s">
        <v>9340</v>
      </c>
      <c r="AF465" t="s">
        <v>74</v>
      </c>
      <c r="AG465">
        <v>42</v>
      </c>
      <c r="AH465">
        <v>4</v>
      </c>
      <c r="AI465">
        <v>5</v>
      </c>
      <c r="AJ465">
        <v>0</v>
      </c>
      <c r="AK465">
        <v>7</v>
      </c>
      <c r="AL465" t="s">
        <v>269</v>
      </c>
      <c r="AM465" t="s">
        <v>270</v>
      </c>
      <c r="AN465" t="s">
        <v>271</v>
      </c>
      <c r="AO465" t="s">
        <v>272</v>
      </c>
      <c r="AP465" t="s">
        <v>273</v>
      </c>
      <c r="AQ465" t="s">
        <v>74</v>
      </c>
      <c r="AR465" t="s">
        <v>274</v>
      </c>
      <c r="AS465" t="s">
        <v>275</v>
      </c>
      <c r="AT465" t="s">
        <v>7895</v>
      </c>
      <c r="AU465">
        <v>2019</v>
      </c>
      <c r="AV465">
        <v>49</v>
      </c>
      <c r="AW465">
        <v>3</v>
      </c>
      <c r="AX465" t="s">
        <v>74</v>
      </c>
      <c r="AY465" t="s">
        <v>74</v>
      </c>
      <c r="AZ465" t="s">
        <v>74</v>
      </c>
      <c r="BA465" t="s">
        <v>74</v>
      </c>
      <c r="BB465">
        <v>867</v>
      </c>
      <c r="BC465">
        <v>884</v>
      </c>
      <c r="BD465" t="s">
        <v>74</v>
      </c>
      <c r="BE465" t="s">
        <v>9341</v>
      </c>
      <c r="BF465" t="str">
        <f>HYPERLINK("http://dx.doi.org/10.1175/JPO-D-18-0150.1","http://dx.doi.org/10.1175/JPO-D-18-0150.1")</f>
        <v>http://dx.doi.org/10.1175/JPO-D-18-0150.1</v>
      </c>
      <c r="BG465" t="s">
        <v>74</v>
      </c>
      <c r="BH465" t="s">
        <v>74</v>
      </c>
      <c r="BI465">
        <v>18</v>
      </c>
      <c r="BJ465" t="s">
        <v>277</v>
      </c>
      <c r="BK465" t="s">
        <v>102</v>
      </c>
      <c r="BL465" t="s">
        <v>277</v>
      </c>
      <c r="BM465" t="s">
        <v>9342</v>
      </c>
      <c r="BN465" t="s">
        <v>74</v>
      </c>
      <c r="BO465" t="s">
        <v>279</v>
      </c>
      <c r="BP465" t="s">
        <v>74</v>
      </c>
      <c r="BQ465" t="s">
        <v>74</v>
      </c>
      <c r="BR465" t="s">
        <v>107</v>
      </c>
      <c r="BS465" t="s">
        <v>9343</v>
      </c>
      <c r="BT465" t="str">
        <f>HYPERLINK("https%3A%2F%2Fwww.webofscience.com%2Fwos%2Fwoscc%2Ffull-record%2FWOS:000461367700002","View Full Record in Web of Science")</f>
        <v>View Full Record in Web of Science</v>
      </c>
    </row>
    <row r="466" spans="1:72" x14ac:dyDescent="0.15">
      <c r="A466" t="s">
        <v>72</v>
      </c>
      <c r="B466" t="s">
        <v>9344</v>
      </c>
      <c r="C466" t="s">
        <v>74</v>
      </c>
      <c r="D466" t="s">
        <v>74</v>
      </c>
      <c r="E466" t="s">
        <v>74</v>
      </c>
      <c r="F466" t="s">
        <v>9345</v>
      </c>
      <c r="G466" t="s">
        <v>74</v>
      </c>
      <c r="H466" t="s">
        <v>74</v>
      </c>
      <c r="I466" t="s">
        <v>9346</v>
      </c>
      <c r="J466" t="s">
        <v>2986</v>
      </c>
      <c r="K466" t="s">
        <v>74</v>
      </c>
      <c r="L466" t="s">
        <v>74</v>
      </c>
      <c r="M466" t="s">
        <v>78</v>
      </c>
      <c r="N466" t="s">
        <v>79</v>
      </c>
      <c r="O466" t="s">
        <v>74</v>
      </c>
      <c r="P466" t="s">
        <v>74</v>
      </c>
      <c r="Q466" t="s">
        <v>74</v>
      </c>
      <c r="R466" t="s">
        <v>74</v>
      </c>
      <c r="S466" t="s">
        <v>74</v>
      </c>
      <c r="T466" t="s">
        <v>9347</v>
      </c>
      <c r="U466" t="s">
        <v>9348</v>
      </c>
      <c r="V466" t="s">
        <v>9349</v>
      </c>
      <c r="W466" t="s">
        <v>9350</v>
      </c>
      <c r="X466" t="s">
        <v>9351</v>
      </c>
      <c r="Y466" t="s">
        <v>9352</v>
      </c>
      <c r="Z466" t="s">
        <v>9353</v>
      </c>
      <c r="AA466" t="s">
        <v>9354</v>
      </c>
      <c r="AB466" t="s">
        <v>9355</v>
      </c>
      <c r="AC466" t="s">
        <v>9356</v>
      </c>
      <c r="AD466" t="s">
        <v>9357</v>
      </c>
      <c r="AE466" t="s">
        <v>9358</v>
      </c>
      <c r="AF466" t="s">
        <v>74</v>
      </c>
      <c r="AG466">
        <v>155</v>
      </c>
      <c r="AH466">
        <v>19</v>
      </c>
      <c r="AI466">
        <v>20</v>
      </c>
      <c r="AJ466">
        <v>0</v>
      </c>
      <c r="AK466">
        <v>12</v>
      </c>
      <c r="AL466" t="s">
        <v>378</v>
      </c>
      <c r="AM466" t="s">
        <v>93</v>
      </c>
      <c r="AN466" t="s">
        <v>379</v>
      </c>
      <c r="AO466" t="s">
        <v>2998</v>
      </c>
      <c r="AP466" t="s">
        <v>74</v>
      </c>
      <c r="AQ466" t="s">
        <v>74</v>
      </c>
      <c r="AR466" t="s">
        <v>2999</v>
      </c>
      <c r="AS466" t="s">
        <v>3000</v>
      </c>
      <c r="AT466" t="s">
        <v>7895</v>
      </c>
      <c r="AU466">
        <v>2019</v>
      </c>
      <c r="AV466">
        <v>90</v>
      </c>
      <c r="AW466" t="s">
        <v>74</v>
      </c>
      <c r="AX466" t="s">
        <v>74</v>
      </c>
      <c r="AY466" t="s">
        <v>74</v>
      </c>
      <c r="AZ466" t="s">
        <v>74</v>
      </c>
      <c r="BA466" t="s">
        <v>74</v>
      </c>
      <c r="BB466">
        <v>471</v>
      </c>
      <c r="BC466">
        <v>486</v>
      </c>
      <c r="BD466" t="s">
        <v>74</v>
      </c>
      <c r="BE466" t="s">
        <v>9359</v>
      </c>
      <c r="BF466" t="str">
        <f>HYPERLINK("http://dx.doi.org/10.1016/j.jsames.2018.12.015","http://dx.doi.org/10.1016/j.jsames.2018.12.015")</f>
        <v>http://dx.doi.org/10.1016/j.jsames.2018.12.015</v>
      </c>
      <c r="BG466" t="s">
        <v>74</v>
      </c>
      <c r="BH466" t="s">
        <v>74</v>
      </c>
      <c r="BI466">
        <v>16</v>
      </c>
      <c r="BJ466" t="s">
        <v>922</v>
      </c>
      <c r="BK466" t="s">
        <v>102</v>
      </c>
      <c r="BL466" t="s">
        <v>923</v>
      </c>
      <c r="BM466" t="s">
        <v>9360</v>
      </c>
      <c r="BN466" t="s">
        <v>74</v>
      </c>
      <c r="BO466" t="s">
        <v>9361</v>
      </c>
      <c r="BP466" t="s">
        <v>74</v>
      </c>
      <c r="BQ466" t="s">
        <v>74</v>
      </c>
      <c r="BR466" t="s">
        <v>107</v>
      </c>
      <c r="BS466" t="s">
        <v>9362</v>
      </c>
      <c r="BT466" t="str">
        <f>HYPERLINK("https%3A%2F%2Fwww.webofscience.com%2Fwos%2Fwoscc%2Ffull-record%2FWOS:000461525800033","View Full Record in Web of Science")</f>
        <v>View Full Record in Web of Science</v>
      </c>
    </row>
    <row r="467" spans="1:72" x14ac:dyDescent="0.15">
      <c r="A467" t="s">
        <v>72</v>
      </c>
      <c r="B467" t="s">
        <v>9363</v>
      </c>
      <c r="C467" t="s">
        <v>74</v>
      </c>
      <c r="D467" t="s">
        <v>74</v>
      </c>
      <c r="E467" t="s">
        <v>74</v>
      </c>
      <c r="F467" t="s">
        <v>9364</v>
      </c>
      <c r="G467" t="s">
        <v>74</v>
      </c>
      <c r="H467" t="s">
        <v>74</v>
      </c>
      <c r="I467" t="s">
        <v>9365</v>
      </c>
      <c r="J467" t="s">
        <v>300</v>
      </c>
      <c r="K467" t="s">
        <v>74</v>
      </c>
      <c r="L467" t="s">
        <v>74</v>
      </c>
      <c r="M467" t="s">
        <v>78</v>
      </c>
      <c r="N467" t="s">
        <v>79</v>
      </c>
      <c r="O467" t="s">
        <v>74</v>
      </c>
      <c r="P467" t="s">
        <v>74</v>
      </c>
      <c r="Q467" t="s">
        <v>74</v>
      </c>
      <c r="R467" t="s">
        <v>74</v>
      </c>
      <c r="S467" t="s">
        <v>74</v>
      </c>
      <c r="T467" t="s">
        <v>9366</v>
      </c>
      <c r="U467" t="s">
        <v>9367</v>
      </c>
      <c r="V467" t="s">
        <v>9368</v>
      </c>
      <c r="W467" t="s">
        <v>9369</v>
      </c>
      <c r="X467" t="s">
        <v>2218</v>
      </c>
      <c r="Y467" t="s">
        <v>9370</v>
      </c>
      <c r="Z467" t="s">
        <v>9371</v>
      </c>
      <c r="AA467" t="s">
        <v>9372</v>
      </c>
      <c r="AB467" t="s">
        <v>9373</v>
      </c>
      <c r="AC467" t="s">
        <v>9374</v>
      </c>
      <c r="AD467" t="s">
        <v>9374</v>
      </c>
      <c r="AE467" t="s">
        <v>9375</v>
      </c>
      <c r="AF467" t="s">
        <v>74</v>
      </c>
      <c r="AG467">
        <v>78</v>
      </c>
      <c r="AH467">
        <v>32</v>
      </c>
      <c r="AI467">
        <v>32</v>
      </c>
      <c r="AJ467">
        <v>0</v>
      </c>
      <c r="AK467">
        <v>21</v>
      </c>
      <c r="AL467" t="s">
        <v>306</v>
      </c>
      <c r="AM467" t="s">
        <v>93</v>
      </c>
      <c r="AN467" t="s">
        <v>307</v>
      </c>
      <c r="AO467" t="s">
        <v>308</v>
      </c>
      <c r="AP467" t="s">
        <v>309</v>
      </c>
      <c r="AQ467" t="s">
        <v>74</v>
      </c>
      <c r="AR467" t="s">
        <v>310</v>
      </c>
      <c r="AS467" t="s">
        <v>311</v>
      </c>
      <c r="AT467" t="s">
        <v>7895</v>
      </c>
      <c r="AU467">
        <v>2019</v>
      </c>
      <c r="AV467">
        <v>101</v>
      </c>
      <c r="AW467" t="s">
        <v>74</v>
      </c>
      <c r="AX467" t="s">
        <v>74</v>
      </c>
      <c r="AY467" t="s">
        <v>74</v>
      </c>
      <c r="AZ467" t="s">
        <v>74</v>
      </c>
      <c r="BA467" t="s">
        <v>74</v>
      </c>
      <c r="BB467">
        <v>33</v>
      </c>
      <c r="BC467">
        <v>38</v>
      </c>
      <c r="BD467" t="s">
        <v>74</v>
      </c>
      <c r="BE467" t="s">
        <v>9376</v>
      </c>
      <c r="BF467" t="str">
        <f>HYPERLINK("http://dx.doi.org/10.1016/j.marpol.2018.12.019","http://dx.doi.org/10.1016/j.marpol.2018.12.019")</f>
        <v>http://dx.doi.org/10.1016/j.marpol.2018.12.019</v>
      </c>
      <c r="BG467" t="s">
        <v>74</v>
      </c>
      <c r="BH467" t="s">
        <v>74</v>
      </c>
      <c r="BI467">
        <v>6</v>
      </c>
      <c r="BJ467" t="s">
        <v>313</v>
      </c>
      <c r="BK467" t="s">
        <v>314</v>
      </c>
      <c r="BL467" t="s">
        <v>315</v>
      </c>
      <c r="BM467" t="s">
        <v>9377</v>
      </c>
      <c r="BN467" t="s">
        <v>74</v>
      </c>
      <c r="BO467" t="s">
        <v>74</v>
      </c>
      <c r="BP467" t="s">
        <v>74</v>
      </c>
      <c r="BQ467" t="s">
        <v>74</v>
      </c>
      <c r="BR467" t="s">
        <v>107</v>
      </c>
      <c r="BS467" t="s">
        <v>9378</v>
      </c>
      <c r="BT467" t="str">
        <f>HYPERLINK("https%3A%2F%2Fwww.webofscience.com%2Fwos%2Fwoscc%2Ffull-record%2FWOS:000460992600005","View Full Record in Web of Science")</f>
        <v>View Full Record in Web of Science</v>
      </c>
    </row>
    <row r="468" spans="1:72" x14ac:dyDescent="0.15">
      <c r="A468" t="s">
        <v>72</v>
      </c>
      <c r="B468" t="s">
        <v>9379</v>
      </c>
      <c r="C468" t="s">
        <v>74</v>
      </c>
      <c r="D468" t="s">
        <v>74</v>
      </c>
      <c r="E468" t="s">
        <v>74</v>
      </c>
      <c r="F468" t="s">
        <v>9380</v>
      </c>
      <c r="G468" t="s">
        <v>74</v>
      </c>
      <c r="H468" t="s">
        <v>74</v>
      </c>
      <c r="I468" t="s">
        <v>9381</v>
      </c>
      <c r="J468" t="s">
        <v>9382</v>
      </c>
      <c r="K468" t="s">
        <v>74</v>
      </c>
      <c r="L468" t="s">
        <v>74</v>
      </c>
      <c r="M468" t="s">
        <v>78</v>
      </c>
      <c r="N468" t="s">
        <v>79</v>
      </c>
      <c r="O468" t="s">
        <v>74</v>
      </c>
      <c r="P468" t="s">
        <v>74</v>
      </c>
      <c r="Q468" t="s">
        <v>74</v>
      </c>
      <c r="R468" t="s">
        <v>74</v>
      </c>
      <c r="S468" t="s">
        <v>74</v>
      </c>
      <c r="T468" t="s">
        <v>9383</v>
      </c>
      <c r="U468" t="s">
        <v>9384</v>
      </c>
      <c r="V468" t="s">
        <v>9385</v>
      </c>
      <c r="W468" t="s">
        <v>9386</v>
      </c>
      <c r="X468" t="s">
        <v>9387</v>
      </c>
      <c r="Y468" t="s">
        <v>9388</v>
      </c>
      <c r="Z468" t="s">
        <v>9389</v>
      </c>
      <c r="AA468" t="s">
        <v>9390</v>
      </c>
      <c r="AB468" t="s">
        <v>9391</v>
      </c>
      <c r="AC468" t="s">
        <v>9392</v>
      </c>
      <c r="AD468" t="s">
        <v>9393</v>
      </c>
      <c r="AE468" t="s">
        <v>9394</v>
      </c>
      <c r="AF468" t="s">
        <v>74</v>
      </c>
      <c r="AG468">
        <v>17</v>
      </c>
      <c r="AH468">
        <v>44</v>
      </c>
      <c r="AI468">
        <v>45</v>
      </c>
      <c r="AJ468">
        <v>3</v>
      </c>
      <c r="AK468">
        <v>20</v>
      </c>
      <c r="AL468" t="s">
        <v>793</v>
      </c>
      <c r="AM468" t="s">
        <v>794</v>
      </c>
      <c r="AN468" t="s">
        <v>795</v>
      </c>
      <c r="AO468" t="s">
        <v>9395</v>
      </c>
      <c r="AP468" t="s">
        <v>74</v>
      </c>
      <c r="AQ468" t="s">
        <v>74</v>
      </c>
      <c r="AR468" t="s">
        <v>9396</v>
      </c>
      <c r="AS468" t="s">
        <v>9397</v>
      </c>
      <c r="AT468" t="s">
        <v>7895</v>
      </c>
      <c r="AU468">
        <v>2019</v>
      </c>
      <c r="AV468">
        <v>14</v>
      </c>
      <c r="AW468">
        <v>3</v>
      </c>
      <c r="AX468" t="s">
        <v>74</v>
      </c>
      <c r="AY468" t="s">
        <v>74</v>
      </c>
      <c r="AZ468" t="s">
        <v>74</v>
      </c>
      <c r="BA468" t="s">
        <v>74</v>
      </c>
      <c r="BB468" t="s">
        <v>74</v>
      </c>
      <c r="BC468" t="s">
        <v>74</v>
      </c>
      <c r="BD468">
        <v>35005</v>
      </c>
      <c r="BE468" t="s">
        <v>9398</v>
      </c>
      <c r="BF468" t="str">
        <f>HYPERLINK("http://dx.doi.org/10.1088/1748-9326/aaf52c","http://dx.doi.org/10.1088/1748-9326/aaf52c")</f>
        <v>http://dx.doi.org/10.1088/1748-9326/aaf52c</v>
      </c>
      <c r="BG468" t="s">
        <v>74</v>
      </c>
      <c r="BH468" t="s">
        <v>74</v>
      </c>
      <c r="BI468">
        <v>16</v>
      </c>
      <c r="BJ468" t="s">
        <v>1060</v>
      </c>
      <c r="BK468" t="s">
        <v>102</v>
      </c>
      <c r="BL468" t="s">
        <v>338</v>
      </c>
      <c r="BM468" t="s">
        <v>9399</v>
      </c>
      <c r="BN468" t="s">
        <v>74</v>
      </c>
      <c r="BO468" t="s">
        <v>851</v>
      </c>
      <c r="BP468" t="s">
        <v>74</v>
      </c>
      <c r="BQ468" t="s">
        <v>74</v>
      </c>
      <c r="BR468" t="s">
        <v>107</v>
      </c>
      <c r="BS468" t="s">
        <v>9400</v>
      </c>
      <c r="BT468" t="str">
        <f>HYPERLINK("https%3A%2F%2Fwww.webofscience.com%2Fwos%2Fwoscc%2Ffull-record%2FWOS:000460971300002","View Full Record in Web of Science")</f>
        <v>View Full Record in Web of Science</v>
      </c>
    </row>
    <row r="469" spans="1:72" x14ac:dyDescent="0.15">
      <c r="A469" t="s">
        <v>72</v>
      </c>
      <c r="B469" t="s">
        <v>9401</v>
      </c>
      <c r="C469" t="s">
        <v>74</v>
      </c>
      <c r="D469" t="s">
        <v>74</v>
      </c>
      <c r="E469" t="s">
        <v>74</v>
      </c>
      <c r="F469" t="s">
        <v>9402</v>
      </c>
      <c r="G469" t="s">
        <v>74</v>
      </c>
      <c r="H469" t="s">
        <v>74</v>
      </c>
      <c r="I469" t="s">
        <v>9403</v>
      </c>
      <c r="J469" t="s">
        <v>9404</v>
      </c>
      <c r="K469" t="s">
        <v>74</v>
      </c>
      <c r="L469" t="s">
        <v>74</v>
      </c>
      <c r="M469" t="s">
        <v>78</v>
      </c>
      <c r="N469" t="s">
        <v>52</v>
      </c>
      <c r="O469" t="s">
        <v>9405</v>
      </c>
      <c r="P469" t="s">
        <v>9406</v>
      </c>
      <c r="Q469" t="s">
        <v>9407</v>
      </c>
      <c r="R469" t="s">
        <v>74</v>
      </c>
      <c r="S469" t="s">
        <v>74</v>
      </c>
      <c r="T469" t="s">
        <v>74</v>
      </c>
      <c r="U469" t="s">
        <v>74</v>
      </c>
      <c r="V469" t="s">
        <v>74</v>
      </c>
      <c r="W469" t="s">
        <v>9408</v>
      </c>
      <c r="X469" t="s">
        <v>9409</v>
      </c>
      <c r="Y469" t="s">
        <v>74</v>
      </c>
      <c r="Z469" t="s">
        <v>9410</v>
      </c>
      <c r="AA469" t="s">
        <v>74</v>
      </c>
      <c r="AB469" t="s">
        <v>74</v>
      </c>
      <c r="AC469" t="s">
        <v>74</v>
      </c>
      <c r="AD469" t="s">
        <v>74</v>
      </c>
      <c r="AE469" t="s">
        <v>74</v>
      </c>
      <c r="AF469" t="s">
        <v>74</v>
      </c>
      <c r="AG469">
        <v>0</v>
      </c>
      <c r="AH469">
        <v>0</v>
      </c>
      <c r="AI469">
        <v>0</v>
      </c>
      <c r="AJ469">
        <v>0</v>
      </c>
      <c r="AK469">
        <v>2</v>
      </c>
      <c r="AL469" t="s">
        <v>9411</v>
      </c>
      <c r="AM469" t="s">
        <v>9412</v>
      </c>
      <c r="AN469" t="s">
        <v>9413</v>
      </c>
      <c r="AO469" t="s">
        <v>9414</v>
      </c>
      <c r="AP469" t="s">
        <v>9415</v>
      </c>
      <c r="AQ469" t="s">
        <v>74</v>
      </c>
      <c r="AR469" t="s">
        <v>9416</v>
      </c>
      <c r="AS469" t="s">
        <v>9417</v>
      </c>
      <c r="AT469" t="s">
        <v>7895</v>
      </c>
      <c r="AU469">
        <v>2019</v>
      </c>
      <c r="AV469">
        <v>59</v>
      </c>
      <c r="AW469" t="s">
        <v>74</v>
      </c>
      <c r="AX469" t="s">
        <v>74</v>
      </c>
      <c r="AY469">
        <v>1</v>
      </c>
      <c r="AZ469" t="s">
        <v>74</v>
      </c>
      <c r="BA469" t="s">
        <v>9418</v>
      </c>
      <c r="BB469" t="s">
        <v>9419</v>
      </c>
      <c r="BC469" t="s">
        <v>9419</v>
      </c>
      <c r="BD469" t="s">
        <v>74</v>
      </c>
      <c r="BE469" t="s">
        <v>74</v>
      </c>
      <c r="BF469" t="s">
        <v>74</v>
      </c>
      <c r="BG469" t="s">
        <v>74</v>
      </c>
      <c r="BH469" t="s">
        <v>74</v>
      </c>
      <c r="BI469">
        <v>1</v>
      </c>
      <c r="BJ469" t="s">
        <v>1674</v>
      </c>
      <c r="BK469" t="s">
        <v>615</v>
      </c>
      <c r="BL469" t="s">
        <v>1674</v>
      </c>
      <c r="BM469" t="s">
        <v>9420</v>
      </c>
      <c r="BN469" t="s">
        <v>74</v>
      </c>
      <c r="BO469" t="s">
        <v>74</v>
      </c>
      <c r="BP469" t="s">
        <v>74</v>
      </c>
      <c r="BQ469" t="s">
        <v>74</v>
      </c>
      <c r="BR469" t="s">
        <v>107</v>
      </c>
      <c r="BS469" t="s">
        <v>9421</v>
      </c>
      <c r="BT469" t="str">
        <f>HYPERLINK("https%3A%2F%2Fwww.webofscience.com%2Fwos%2Fwoscc%2Ffull-record%2FWOS:000460620903052","View Full Record in Web of Science")</f>
        <v>View Full Record in Web of Science</v>
      </c>
    </row>
    <row r="470" spans="1:72" x14ac:dyDescent="0.15">
      <c r="A470" t="s">
        <v>72</v>
      </c>
      <c r="B470" t="s">
        <v>9422</v>
      </c>
      <c r="C470" t="s">
        <v>74</v>
      </c>
      <c r="D470" t="s">
        <v>74</v>
      </c>
      <c r="E470" t="s">
        <v>74</v>
      </c>
      <c r="F470" t="s">
        <v>9423</v>
      </c>
      <c r="G470" t="s">
        <v>74</v>
      </c>
      <c r="H470" t="s">
        <v>74</v>
      </c>
      <c r="I470" t="s">
        <v>9424</v>
      </c>
      <c r="J470" t="s">
        <v>9404</v>
      </c>
      <c r="K470" t="s">
        <v>74</v>
      </c>
      <c r="L470" t="s">
        <v>74</v>
      </c>
      <c r="M470" t="s">
        <v>78</v>
      </c>
      <c r="N470" t="s">
        <v>52</v>
      </c>
      <c r="O470" t="s">
        <v>9405</v>
      </c>
      <c r="P470" t="s">
        <v>9406</v>
      </c>
      <c r="Q470" t="s">
        <v>9407</v>
      </c>
      <c r="R470" t="s">
        <v>74</v>
      </c>
      <c r="S470" t="s">
        <v>74</v>
      </c>
      <c r="T470" t="s">
        <v>74</v>
      </c>
      <c r="U470" t="s">
        <v>74</v>
      </c>
      <c r="V470" t="s">
        <v>74</v>
      </c>
      <c r="W470" t="s">
        <v>9425</v>
      </c>
      <c r="X470" t="s">
        <v>9426</v>
      </c>
      <c r="Y470" t="s">
        <v>74</v>
      </c>
      <c r="Z470" t="s">
        <v>9427</v>
      </c>
      <c r="AA470" t="s">
        <v>74</v>
      </c>
      <c r="AB470" t="s">
        <v>74</v>
      </c>
      <c r="AC470" t="s">
        <v>74</v>
      </c>
      <c r="AD470" t="s">
        <v>74</v>
      </c>
      <c r="AE470" t="s">
        <v>74</v>
      </c>
      <c r="AF470" t="s">
        <v>74</v>
      </c>
      <c r="AG470">
        <v>0</v>
      </c>
      <c r="AH470">
        <v>0</v>
      </c>
      <c r="AI470">
        <v>0</v>
      </c>
      <c r="AJ470">
        <v>0</v>
      </c>
      <c r="AK470">
        <v>5</v>
      </c>
      <c r="AL470" t="s">
        <v>9411</v>
      </c>
      <c r="AM470" t="s">
        <v>9412</v>
      </c>
      <c r="AN470" t="s">
        <v>9413</v>
      </c>
      <c r="AO470" t="s">
        <v>9414</v>
      </c>
      <c r="AP470" t="s">
        <v>9415</v>
      </c>
      <c r="AQ470" t="s">
        <v>74</v>
      </c>
      <c r="AR470" t="s">
        <v>9416</v>
      </c>
      <c r="AS470" t="s">
        <v>9417</v>
      </c>
      <c r="AT470" t="s">
        <v>7895</v>
      </c>
      <c r="AU470">
        <v>2019</v>
      </c>
      <c r="AV470">
        <v>59</v>
      </c>
      <c r="AW470" t="s">
        <v>74</v>
      </c>
      <c r="AX470" t="s">
        <v>74</v>
      </c>
      <c r="AY470">
        <v>1</v>
      </c>
      <c r="AZ470" t="s">
        <v>74</v>
      </c>
      <c r="BA470" t="s">
        <v>9428</v>
      </c>
      <c r="BB470" t="s">
        <v>9429</v>
      </c>
      <c r="BC470" t="s">
        <v>9429</v>
      </c>
      <c r="BD470" t="s">
        <v>74</v>
      </c>
      <c r="BE470" t="s">
        <v>74</v>
      </c>
      <c r="BF470" t="s">
        <v>74</v>
      </c>
      <c r="BG470" t="s">
        <v>74</v>
      </c>
      <c r="BH470" t="s">
        <v>74</v>
      </c>
      <c r="BI470">
        <v>1</v>
      </c>
      <c r="BJ470" t="s">
        <v>1674</v>
      </c>
      <c r="BK470" t="s">
        <v>615</v>
      </c>
      <c r="BL470" t="s">
        <v>1674</v>
      </c>
      <c r="BM470" t="s">
        <v>9420</v>
      </c>
      <c r="BN470" t="s">
        <v>74</v>
      </c>
      <c r="BO470" t="s">
        <v>74</v>
      </c>
      <c r="BP470" t="s">
        <v>74</v>
      </c>
      <c r="BQ470" t="s">
        <v>74</v>
      </c>
      <c r="BR470" t="s">
        <v>107</v>
      </c>
      <c r="BS470" t="s">
        <v>9430</v>
      </c>
      <c r="BT470" t="str">
        <f>HYPERLINK("https%3A%2F%2Fwww.webofscience.com%2Fwos%2Fwoscc%2Ffull-record%2FWOS:000460620900282","View Full Record in Web of Science")</f>
        <v>View Full Record in Web of Science</v>
      </c>
    </row>
    <row r="471" spans="1:72" x14ac:dyDescent="0.15">
      <c r="A471" t="s">
        <v>72</v>
      </c>
      <c r="B471" t="s">
        <v>9431</v>
      </c>
      <c r="C471" t="s">
        <v>74</v>
      </c>
      <c r="D471" t="s">
        <v>74</v>
      </c>
      <c r="E471" t="s">
        <v>74</v>
      </c>
      <c r="F471" t="s">
        <v>9432</v>
      </c>
      <c r="G471" t="s">
        <v>74</v>
      </c>
      <c r="H471" t="s">
        <v>74</v>
      </c>
      <c r="I471" t="s">
        <v>9433</v>
      </c>
      <c r="J471" t="s">
        <v>9404</v>
      </c>
      <c r="K471" t="s">
        <v>74</v>
      </c>
      <c r="L471" t="s">
        <v>74</v>
      </c>
      <c r="M471" t="s">
        <v>78</v>
      </c>
      <c r="N471" t="s">
        <v>52</v>
      </c>
      <c r="O471" t="s">
        <v>9405</v>
      </c>
      <c r="P471" t="s">
        <v>9406</v>
      </c>
      <c r="Q471" t="s">
        <v>9407</v>
      </c>
      <c r="R471" t="s">
        <v>74</v>
      </c>
      <c r="S471" t="s">
        <v>74</v>
      </c>
      <c r="T471" t="s">
        <v>74</v>
      </c>
      <c r="U471" t="s">
        <v>74</v>
      </c>
      <c r="V471" t="s">
        <v>74</v>
      </c>
      <c r="W471" t="s">
        <v>9434</v>
      </c>
      <c r="X471" t="s">
        <v>9435</v>
      </c>
      <c r="Y471" t="s">
        <v>74</v>
      </c>
      <c r="Z471" t="s">
        <v>9436</v>
      </c>
      <c r="AA471" t="s">
        <v>9437</v>
      </c>
      <c r="AB471" t="s">
        <v>74</v>
      </c>
      <c r="AC471" t="s">
        <v>9438</v>
      </c>
      <c r="AD471" t="s">
        <v>1898</v>
      </c>
      <c r="AE471" t="s">
        <v>9439</v>
      </c>
      <c r="AF471" t="s">
        <v>74</v>
      </c>
      <c r="AG471">
        <v>0</v>
      </c>
      <c r="AH471">
        <v>0</v>
      </c>
      <c r="AI471">
        <v>0</v>
      </c>
      <c r="AJ471">
        <v>0</v>
      </c>
      <c r="AK471">
        <v>1</v>
      </c>
      <c r="AL471" t="s">
        <v>9411</v>
      </c>
      <c r="AM471" t="s">
        <v>9412</v>
      </c>
      <c r="AN471" t="s">
        <v>9413</v>
      </c>
      <c r="AO471" t="s">
        <v>9414</v>
      </c>
      <c r="AP471" t="s">
        <v>9415</v>
      </c>
      <c r="AQ471" t="s">
        <v>74</v>
      </c>
      <c r="AR471" t="s">
        <v>9416</v>
      </c>
      <c r="AS471" t="s">
        <v>9417</v>
      </c>
      <c r="AT471" t="s">
        <v>7895</v>
      </c>
      <c r="AU471">
        <v>2019</v>
      </c>
      <c r="AV471">
        <v>59</v>
      </c>
      <c r="AW471" t="s">
        <v>74</v>
      </c>
      <c r="AX471" t="s">
        <v>74</v>
      </c>
      <c r="AY471">
        <v>1</v>
      </c>
      <c r="AZ471" t="s">
        <v>74</v>
      </c>
      <c r="BA471" t="s">
        <v>9440</v>
      </c>
      <c r="BB471" t="s">
        <v>9441</v>
      </c>
      <c r="BC471" t="s">
        <v>9441</v>
      </c>
      <c r="BD471" t="s">
        <v>74</v>
      </c>
      <c r="BE471" t="s">
        <v>74</v>
      </c>
      <c r="BF471" t="s">
        <v>74</v>
      </c>
      <c r="BG471" t="s">
        <v>74</v>
      </c>
      <c r="BH471" t="s">
        <v>74</v>
      </c>
      <c r="BI471">
        <v>1</v>
      </c>
      <c r="BJ471" t="s">
        <v>1674</v>
      </c>
      <c r="BK471" t="s">
        <v>615</v>
      </c>
      <c r="BL471" t="s">
        <v>1674</v>
      </c>
      <c r="BM471" t="s">
        <v>9420</v>
      </c>
      <c r="BN471" t="s">
        <v>74</v>
      </c>
      <c r="BO471" t="s">
        <v>74</v>
      </c>
      <c r="BP471" t="s">
        <v>74</v>
      </c>
      <c r="BQ471" t="s">
        <v>74</v>
      </c>
      <c r="BR471" t="s">
        <v>107</v>
      </c>
      <c r="BS471" t="s">
        <v>9442</v>
      </c>
      <c r="BT471" t="str">
        <f>HYPERLINK("https%3A%2F%2Fwww.webofscience.com%2Fwos%2Fwoscc%2Ffull-record%2FWOS:000460620904098","View Full Record in Web of Science")</f>
        <v>View Full Record in Web of Science</v>
      </c>
    </row>
    <row r="472" spans="1:72" x14ac:dyDescent="0.15">
      <c r="A472" t="s">
        <v>72</v>
      </c>
      <c r="B472" t="s">
        <v>9443</v>
      </c>
      <c r="C472" t="s">
        <v>74</v>
      </c>
      <c r="D472" t="s">
        <v>74</v>
      </c>
      <c r="E472" t="s">
        <v>74</v>
      </c>
      <c r="F472" t="s">
        <v>9444</v>
      </c>
      <c r="G472" t="s">
        <v>74</v>
      </c>
      <c r="H472" t="s">
        <v>74</v>
      </c>
      <c r="I472" t="s">
        <v>9445</v>
      </c>
      <c r="J472" t="s">
        <v>9404</v>
      </c>
      <c r="K472" t="s">
        <v>74</v>
      </c>
      <c r="L472" t="s">
        <v>74</v>
      </c>
      <c r="M472" t="s">
        <v>78</v>
      </c>
      <c r="N472" t="s">
        <v>52</v>
      </c>
      <c r="O472" t="s">
        <v>9405</v>
      </c>
      <c r="P472" t="s">
        <v>9406</v>
      </c>
      <c r="Q472" t="s">
        <v>9407</v>
      </c>
      <c r="R472" t="s">
        <v>74</v>
      </c>
      <c r="S472" t="s">
        <v>74</v>
      </c>
      <c r="T472" t="s">
        <v>74</v>
      </c>
      <c r="U472" t="s">
        <v>74</v>
      </c>
      <c r="V472" t="s">
        <v>74</v>
      </c>
      <c r="W472" t="s">
        <v>9446</v>
      </c>
      <c r="X472" t="s">
        <v>9447</v>
      </c>
      <c r="Y472" t="s">
        <v>74</v>
      </c>
      <c r="Z472" t="s">
        <v>9448</v>
      </c>
      <c r="AA472" t="s">
        <v>9449</v>
      </c>
      <c r="AB472" t="s">
        <v>9450</v>
      </c>
      <c r="AC472" t="s">
        <v>74</v>
      </c>
      <c r="AD472" t="s">
        <v>74</v>
      </c>
      <c r="AE472" t="s">
        <v>74</v>
      </c>
      <c r="AF472" t="s">
        <v>74</v>
      </c>
      <c r="AG472">
        <v>0</v>
      </c>
      <c r="AH472">
        <v>0</v>
      </c>
      <c r="AI472">
        <v>0</v>
      </c>
      <c r="AJ472">
        <v>0</v>
      </c>
      <c r="AK472">
        <v>1</v>
      </c>
      <c r="AL472" t="s">
        <v>9411</v>
      </c>
      <c r="AM472" t="s">
        <v>9412</v>
      </c>
      <c r="AN472" t="s">
        <v>9413</v>
      </c>
      <c r="AO472" t="s">
        <v>9414</v>
      </c>
      <c r="AP472" t="s">
        <v>9415</v>
      </c>
      <c r="AQ472" t="s">
        <v>74</v>
      </c>
      <c r="AR472" t="s">
        <v>9416</v>
      </c>
      <c r="AS472" t="s">
        <v>9417</v>
      </c>
      <c r="AT472" t="s">
        <v>7895</v>
      </c>
      <c r="AU472">
        <v>2019</v>
      </c>
      <c r="AV472">
        <v>59</v>
      </c>
      <c r="AW472" t="s">
        <v>74</v>
      </c>
      <c r="AX472" t="s">
        <v>74</v>
      </c>
      <c r="AY472">
        <v>1</v>
      </c>
      <c r="AZ472" t="s">
        <v>74</v>
      </c>
      <c r="BA472" t="s">
        <v>9451</v>
      </c>
      <c r="BB472" t="s">
        <v>9452</v>
      </c>
      <c r="BC472" t="s">
        <v>9452</v>
      </c>
      <c r="BD472" t="s">
        <v>74</v>
      </c>
      <c r="BE472" t="s">
        <v>74</v>
      </c>
      <c r="BF472" t="s">
        <v>74</v>
      </c>
      <c r="BG472" t="s">
        <v>74</v>
      </c>
      <c r="BH472" t="s">
        <v>74</v>
      </c>
      <c r="BI472">
        <v>1</v>
      </c>
      <c r="BJ472" t="s">
        <v>1674</v>
      </c>
      <c r="BK472" t="s">
        <v>615</v>
      </c>
      <c r="BL472" t="s">
        <v>1674</v>
      </c>
      <c r="BM472" t="s">
        <v>9420</v>
      </c>
      <c r="BN472" t="s">
        <v>74</v>
      </c>
      <c r="BO472" t="s">
        <v>74</v>
      </c>
      <c r="BP472" t="s">
        <v>74</v>
      </c>
      <c r="BQ472" t="s">
        <v>74</v>
      </c>
      <c r="BR472" t="s">
        <v>107</v>
      </c>
      <c r="BS472" t="s">
        <v>9453</v>
      </c>
      <c r="BT472" t="str">
        <f>HYPERLINK("https%3A%2F%2Fwww.webofscience.com%2Fwos%2Fwoscc%2Ffull-record%2FWOS:000460620904107","View Full Record in Web of Science")</f>
        <v>View Full Record in Web of Science</v>
      </c>
    </row>
    <row r="473" spans="1:72" x14ac:dyDescent="0.15">
      <c r="A473" t="s">
        <v>72</v>
      </c>
      <c r="B473" t="s">
        <v>9454</v>
      </c>
      <c r="C473" t="s">
        <v>74</v>
      </c>
      <c r="D473" t="s">
        <v>74</v>
      </c>
      <c r="E473" t="s">
        <v>74</v>
      </c>
      <c r="F473" t="s">
        <v>9455</v>
      </c>
      <c r="G473" t="s">
        <v>74</v>
      </c>
      <c r="H473" t="s">
        <v>74</v>
      </c>
      <c r="I473" t="s">
        <v>9456</v>
      </c>
      <c r="J473" t="s">
        <v>9404</v>
      </c>
      <c r="K473" t="s">
        <v>74</v>
      </c>
      <c r="L473" t="s">
        <v>74</v>
      </c>
      <c r="M473" t="s">
        <v>78</v>
      </c>
      <c r="N473" t="s">
        <v>52</v>
      </c>
      <c r="O473" t="s">
        <v>9405</v>
      </c>
      <c r="P473" t="s">
        <v>9406</v>
      </c>
      <c r="Q473" t="s">
        <v>9407</v>
      </c>
      <c r="R473" t="s">
        <v>74</v>
      </c>
      <c r="S473" t="s">
        <v>74</v>
      </c>
      <c r="T473" t="s">
        <v>74</v>
      </c>
      <c r="U473" t="s">
        <v>74</v>
      </c>
      <c r="V473" t="s">
        <v>74</v>
      </c>
      <c r="W473" t="s">
        <v>9457</v>
      </c>
      <c r="X473" t="s">
        <v>9458</v>
      </c>
      <c r="Y473" t="s">
        <v>74</v>
      </c>
      <c r="Z473" t="s">
        <v>9459</v>
      </c>
      <c r="AA473" t="s">
        <v>9460</v>
      </c>
      <c r="AB473" t="s">
        <v>74</v>
      </c>
      <c r="AC473" t="s">
        <v>74</v>
      </c>
      <c r="AD473" t="s">
        <v>74</v>
      </c>
      <c r="AE473" t="s">
        <v>74</v>
      </c>
      <c r="AF473" t="s">
        <v>74</v>
      </c>
      <c r="AG473">
        <v>0</v>
      </c>
      <c r="AH473">
        <v>0</v>
      </c>
      <c r="AI473">
        <v>0</v>
      </c>
      <c r="AJ473">
        <v>0</v>
      </c>
      <c r="AK473">
        <v>3</v>
      </c>
      <c r="AL473" t="s">
        <v>9411</v>
      </c>
      <c r="AM473" t="s">
        <v>9412</v>
      </c>
      <c r="AN473" t="s">
        <v>9413</v>
      </c>
      <c r="AO473" t="s">
        <v>9414</v>
      </c>
      <c r="AP473" t="s">
        <v>9415</v>
      </c>
      <c r="AQ473" t="s">
        <v>74</v>
      </c>
      <c r="AR473" t="s">
        <v>9416</v>
      </c>
      <c r="AS473" t="s">
        <v>9417</v>
      </c>
      <c r="AT473" t="s">
        <v>7895</v>
      </c>
      <c r="AU473">
        <v>2019</v>
      </c>
      <c r="AV473">
        <v>59</v>
      </c>
      <c r="AW473" t="s">
        <v>74</v>
      </c>
      <c r="AX473" t="s">
        <v>74</v>
      </c>
      <c r="AY473">
        <v>1</v>
      </c>
      <c r="AZ473" t="s">
        <v>74</v>
      </c>
      <c r="BA473" t="s">
        <v>9461</v>
      </c>
      <c r="BB473" t="s">
        <v>9462</v>
      </c>
      <c r="BC473" t="s">
        <v>9462</v>
      </c>
      <c r="BD473" t="s">
        <v>74</v>
      </c>
      <c r="BE473" t="s">
        <v>74</v>
      </c>
      <c r="BF473" t="s">
        <v>74</v>
      </c>
      <c r="BG473" t="s">
        <v>74</v>
      </c>
      <c r="BH473" t="s">
        <v>74</v>
      </c>
      <c r="BI473">
        <v>1</v>
      </c>
      <c r="BJ473" t="s">
        <v>1674</v>
      </c>
      <c r="BK473" t="s">
        <v>615</v>
      </c>
      <c r="BL473" t="s">
        <v>1674</v>
      </c>
      <c r="BM473" t="s">
        <v>9420</v>
      </c>
      <c r="BN473" t="s">
        <v>74</v>
      </c>
      <c r="BO473" t="s">
        <v>74</v>
      </c>
      <c r="BP473" t="s">
        <v>74</v>
      </c>
      <c r="BQ473" t="s">
        <v>74</v>
      </c>
      <c r="BR473" t="s">
        <v>107</v>
      </c>
      <c r="BS473" t="s">
        <v>9463</v>
      </c>
      <c r="BT473" t="str">
        <f>HYPERLINK("https%3A%2F%2Fwww.webofscience.com%2Fwos%2Fwoscc%2Ffull-record%2FWOS:000460620904163","View Full Record in Web of Science")</f>
        <v>View Full Record in Web of Science</v>
      </c>
    </row>
    <row r="474" spans="1:72" x14ac:dyDescent="0.15">
      <c r="A474" t="s">
        <v>72</v>
      </c>
      <c r="B474" t="s">
        <v>9464</v>
      </c>
      <c r="C474" t="s">
        <v>74</v>
      </c>
      <c r="D474" t="s">
        <v>74</v>
      </c>
      <c r="E474" t="s">
        <v>74</v>
      </c>
      <c r="F474" t="s">
        <v>9465</v>
      </c>
      <c r="G474" t="s">
        <v>74</v>
      </c>
      <c r="H474" t="s">
        <v>74</v>
      </c>
      <c r="I474" t="s">
        <v>9466</v>
      </c>
      <c r="J474" t="s">
        <v>9404</v>
      </c>
      <c r="K474" t="s">
        <v>74</v>
      </c>
      <c r="L474" t="s">
        <v>74</v>
      </c>
      <c r="M474" t="s">
        <v>78</v>
      </c>
      <c r="N474" t="s">
        <v>52</v>
      </c>
      <c r="O474" t="s">
        <v>9405</v>
      </c>
      <c r="P474" t="s">
        <v>9406</v>
      </c>
      <c r="Q474" t="s">
        <v>9407</v>
      </c>
      <c r="R474" t="s">
        <v>74</v>
      </c>
      <c r="S474" t="s">
        <v>74</v>
      </c>
      <c r="T474" t="s">
        <v>74</v>
      </c>
      <c r="U474" t="s">
        <v>74</v>
      </c>
      <c r="V474" t="s">
        <v>74</v>
      </c>
      <c r="W474" t="s">
        <v>9467</v>
      </c>
      <c r="X474" t="s">
        <v>9468</v>
      </c>
      <c r="Y474" t="s">
        <v>74</v>
      </c>
      <c r="Z474" t="s">
        <v>9469</v>
      </c>
      <c r="AA474" t="s">
        <v>74</v>
      </c>
      <c r="AB474" t="s">
        <v>74</v>
      </c>
      <c r="AC474" t="s">
        <v>74</v>
      </c>
      <c r="AD474" t="s">
        <v>74</v>
      </c>
      <c r="AE474" t="s">
        <v>74</v>
      </c>
      <c r="AF474" t="s">
        <v>74</v>
      </c>
      <c r="AG474">
        <v>0</v>
      </c>
      <c r="AH474">
        <v>0</v>
      </c>
      <c r="AI474">
        <v>0</v>
      </c>
      <c r="AJ474">
        <v>0</v>
      </c>
      <c r="AK474">
        <v>1</v>
      </c>
      <c r="AL474" t="s">
        <v>9411</v>
      </c>
      <c r="AM474" t="s">
        <v>9412</v>
      </c>
      <c r="AN474" t="s">
        <v>9413</v>
      </c>
      <c r="AO474" t="s">
        <v>9414</v>
      </c>
      <c r="AP474" t="s">
        <v>9415</v>
      </c>
      <c r="AQ474" t="s">
        <v>74</v>
      </c>
      <c r="AR474" t="s">
        <v>9416</v>
      </c>
      <c r="AS474" t="s">
        <v>9417</v>
      </c>
      <c r="AT474" t="s">
        <v>7895</v>
      </c>
      <c r="AU474">
        <v>2019</v>
      </c>
      <c r="AV474">
        <v>59</v>
      </c>
      <c r="AW474" t="s">
        <v>74</v>
      </c>
      <c r="AX474" t="s">
        <v>74</v>
      </c>
      <c r="AY474">
        <v>1</v>
      </c>
      <c r="AZ474" t="s">
        <v>74</v>
      </c>
      <c r="BA474" t="s">
        <v>9470</v>
      </c>
      <c r="BB474" t="s">
        <v>9471</v>
      </c>
      <c r="BC474" t="s">
        <v>9471</v>
      </c>
      <c r="BD474" t="s">
        <v>74</v>
      </c>
      <c r="BE474" t="s">
        <v>74</v>
      </c>
      <c r="BF474" t="s">
        <v>74</v>
      </c>
      <c r="BG474" t="s">
        <v>74</v>
      </c>
      <c r="BH474" t="s">
        <v>74</v>
      </c>
      <c r="BI474">
        <v>1</v>
      </c>
      <c r="BJ474" t="s">
        <v>1674</v>
      </c>
      <c r="BK474" t="s">
        <v>615</v>
      </c>
      <c r="BL474" t="s">
        <v>1674</v>
      </c>
      <c r="BM474" t="s">
        <v>9420</v>
      </c>
      <c r="BN474" t="s">
        <v>74</v>
      </c>
      <c r="BO474" t="s">
        <v>74</v>
      </c>
      <c r="BP474" t="s">
        <v>74</v>
      </c>
      <c r="BQ474" t="s">
        <v>74</v>
      </c>
      <c r="BR474" t="s">
        <v>107</v>
      </c>
      <c r="BS474" t="s">
        <v>9472</v>
      </c>
      <c r="BT474" t="str">
        <f>HYPERLINK("https%3A%2F%2Fwww.webofscience.com%2Fwos%2Fwoscc%2Ffull-record%2FWOS:000460620902019","View Full Record in Web of Science")</f>
        <v>View Full Record in Web of Science</v>
      </c>
    </row>
    <row r="475" spans="1:72" x14ac:dyDescent="0.15">
      <c r="A475" t="s">
        <v>72</v>
      </c>
      <c r="B475" t="s">
        <v>9473</v>
      </c>
      <c r="C475" t="s">
        <v>74</v>
      </c>
      <c r="D475" t="s">
        <v>74</v>
      </c>
      <c r="E475" t="s">
        <v>74</v>
      </c>
      <c r="F475" t="s">
        <v>9474</v>
      </c>
      <c r="G475" t="s">
        <v>74</v>
      </c>
      <c r="H475" t="s">
        <v>74</v>
      </c>
      <c r="I475" t="s">
        <v>9475</v>
      </c>
      <c r="J475" t="s">
        <v>9404</v>
      </c>
      <c r="K475" t="s">
        <v>74</v>
      </c>
      <c r="L475" t="s">
        <v>74</v>
      </c>
      <c r="M475" t="s">
        <v>78</v>
      </c>
      <c r="N475" t="s">
        <v>52</v>
      </c>
      <c r="O475" t="s">
        <v>9405</v>
      </c>
      <c r="P475" t="s">
        <v>9406</v>
      </c>
      <c r="Q475" t="s">
        <v>9407</v>
      </c>
      <c r="R475" t="s">
        <v>74</v>
      </c>
      <c r="S475" t="s">
        <v>74</v>
      </c>
      <c r="T475" t="s">
        <v>74</v>
      </c>
      <c r="U475" t="s">
        <v>74</v>
      </c>
      <c r="V475" t="s">
        <v>74</v>
      </c>
      <c r="W475" t="s">
        <v>9476</v>
      </c>
      <c r="X475" t="s">
        <v>9477</v>
      </c>
      <c r="Y475" t="s">
        <v>74</v>
      </c>
      <c r="Z475" t="s">
        <v>9478</v>
      </c>
      <c r="AA475" t="s">
        <v>74</v>
      </c>
      <c r="AB475" t="s">
        <v>74</v>
      </c>
      <c r="AC475" t="s">
        <v>74</v>
      </c>
      <c r="AD475" t="s">
        <v>74</v>
      </c>
      <c r="AE475" t="s">
        <v>74</v>
      </c>
      <c r="AF475" t="s">
        <v>74</v>
      </c>
      <c r="AG475">
        <v>0</v>
      </c>
      <c r="AH475">
        <v>0</v>
      </c>
      <c r="AI475">
        <v>0</v>
      </c>
      <c r="AJ475">
        <v>0</v>
      </c>
      <c r="AK475">
        <v>2</v>
      </c>
      <c r="AL475" t="s">
        <v>9411</v>
      </c>
      <c r="AM475" t="s">
        <v>9412</v>
      </c>
      <c r="AN475" t="s">
        <v>9413</v>
      </c>
      <c r="AO475" t="s">
        <v>9414</v>
      </c>
      <c r="AP475" t="s">
        <v>9415</v>
      </c>
      <c r="AQ475" t="s">
        <v>74</v>
      </c>
      <c r="AR475" t="s">
        <v>9416</v>
      </c>
      <c r="AS475" t="s">
        <v>9417</v>
      </c>
      <c r="AT475" t="s">
        <v>7895</v>
      </c>
      <c r="AU475">
        <v>2019</v>
      </c>
      <c r="AV475">
        <v>59</v>
      </c>
      <c r="AW475" t="s">
        <v>74</v>
      </c>
      <c r="AX475" t="s">
        <v>74</v>
      </c>
      <c r="AY475">
        <v>1</v>
      </c>
      <c r="AZ475" t="s">
        <v>74</v>
      </c>
      <c r="BA475" t="s">
        <v>9479</v>
      </c>
      <c r="BB475" t="s">
        <v>9480</v>
      </c>
      <c r="BC475" t="s">
        <v>9480</v>
      </c>
      <c r="BD475" t="s">
        <v>74</v>
      </c>
      <c r="BE475" t="s">
        <v>74</v>
      </c>
      <c r="BF475" t="s">
        <v>74</v>
      </c>
      <c r="BG475" t="s">
        <v>74</v>
      </c>
      <c r="BH475" t="s">
        <v>74</v>
      </c>
      <c r="BI475">
        <v>1</v>
      </c>
      <c r="BJ475" t="s">
        <v>1674</v>
      </c>
      <c r="BK475" t="s">
        <v>615</v>
      </c>
      <c r="BL475" t="s">
        <v>1674</v>
      </c>
      <c r="BM475" t="s">
        <v>9420</v>
      </c>
      <c r="BN475" t="s">
        <v>74</v>
      </c>
      <c r="BO475" t="s">
        <v>74</v>
      </c>
      <c r="BP475" t="s">
        <v>74</v>
      </c>
      <c r="BQ475" t="s">
        <v>74</v>
      </c>
      <c r="BR475" t="s">
        <v>107</v>
      </c>
      <c r="BS475" t="s">
        <v>9481</v>
      </c>
      <c r="BT475" t="str">
        <f>HYPERLINK("https%3A%2F%2Fwww.webofscience.com%2Fwos%2Fwoscc%2Ffull-record%2FWOS:000460620902118","View Full Record in Web of Science")</f>
        <v>View Full Record in Web of Science</v>
      </c>
    </row>
    <row r="476" spans="1:72" x14ac:dyDescent="0.15">
      <c r="A476" t="s">
        <v>72</v>
      </c>
      <c r="B476" t="s">
        <v>9482</v>
      </c>
      <c r="C476" t="s">
        <v>74</v>
      </c>
      <c r="D476" t="s">
        <v>74</v>
      </c>
      <c r="E476" t="s">
        <v>74</v>
      </c>
      <c r="F476" t="s">
        <v>9483</v>
      </c>
      <c r="G476" t="s">
        <v>74</v>
      </c>
      <c r="H476" t="s">
        <v>74</v>
      </c>
      <c r="I476" t="s">
        <v>9484</v>
      </c>
      <c r="J476" t="s">
        <v>9404</v>
      </c>
      <c r="K476" t="s">
        <v>74</v>
      </c>
      <c r="L476" t="s">
        <v>74</v>
      </c>
      <c r="M476" t="s">
        <v>78</v>
      </c>
      <c r="N476" t="s">
        <v>52</v>
      </c>
      <c r="O476" t="s">
        <v>9405</v>
      </c>
      <c r="P476" t="s">
        <v>9406</v>
      </c>
      <c r="Q476" t="s">
        <v>9407</v>
      </c>
      <c r="R476" t="s">
        <v>74</v>
      </c>
      <c r="S476" t="s">
        <v>74</v>
      </c>
      <c r="T476" t="s">
        <v>74</v>
      </c>
      <c r="U476" t="s">
        <v>74</v>
      </c>
      <c r="V476" t="s">
        <v>74</v>
      </c>
      <c r="W476" t="s">
        <v>9485</v>
      </c>
      <c r="X476" t="s">
        <v>9486</v>
      </c>
      <c r="Y476" t="s">
        <v>74</v>
      </c>
      <c r="Z476" t="s">
        <v>9487</v>
      </c>
      <c r="AA476" t="s">
        <v>9488</v>
      </c>
      <c r="AB476" t="s">
        <v>9489</v>
      </c>
      <c r="AC476" t="s">
        <v>74</v>
      </c>
      <c r="AD476" t="s">
        <v>74</v>
      </c>
      <c r="AE476" t="s">
        <v>74</v>
      </c>
      <c r="AF476" t="s">
        <v>74</v>
      </c>
      <c r="AG476">
        <v>0</v>
      </c>
      <c r="AH476">
        <v>0</v>
      </c>
      <c r="AI476">
        <v>0</v>
      </c>
      <c r="AJ476">
        <v>0</v>
      </c>
      <c r="AK476">
        <v>4</v>
      </c>
      <c r="AL476" t="s">
        <v>9411</v>
      </c>
      <c r="AM476" t="s">
        <v>9412</v>
      </c>
      <c r="AN476" t="s">
        <v>9413</v>
      </c>
      <c r="AO476" t="s">
        <v>9414</v>
      </c>
      <c r="AP476" t="s">
        <v>9415</v>
      </c>
      <c r="AQ476" t="s">
        <v>74</v>
      </c>
      <c r="AR476" t="s">
        <v>9416</v>
      </c>
      <c r="AS476" t="s">
        <v>9417</v>
      </c>
      <c r="AT476" t="s">
        <v>7895</v>
      </c>
      <c r="AU476">
        <v>2019</v>
      </c>
      <c r="AV476">
        <v>59</v>
      </c>
      <c r="AW476" t="s">
        <v>74</v>
      </c>
      <c r="AX476" t="s">
        <v>74</v>
      </c>
      <c r="AY476">
        <v>1</v>
      </c>
      <c r="AZ476" t="s">
        <v>74</v>
      </c>
      <c r="BA476" t="s">
        <v>9490</v>
      </c>
      <c r="BB476" t="s">
        <v>9491</v>
      </c>
      <c r="BC476" t="s">
        <v>9491</v>
      </c>
      <c r="BD476" t="s">
        <v>74</v>
      </c>
      <c r="BE476" t="s">
        <v>74</v>
      </c>
      <c r="BF476" t="s">
        <v>74</v>
      </c>
      <c r="BG476" t="s">
        <v>74</v>
      </c>
      <c r="BH476" t="s">
        <v>74</v>
      </c>
      <c r="BI476">
        <v>1</v>
      </c>
      <c r="BJ476" t="s">
        <v>1674</v>
      </c>
      <c r="BK476" t="s">
        <v>615</v>
      </c>
      <c r="BL476" t="s">
        <v>1674</v>
      </c>
      <c r="BM476" t="s">
        <v>9420</v>
      </c>
      <c r="BN476" t="s">
        <v>74</v>
      </c>
      <c r="BO476" t="s">
        <v>74</v>
      </c>
      <c r="BP476" t="s">
        <v>74</v>
      </c>
      <c r="BQ476" t="s">
        <v>74</v>
      </c>
      <c r="BR476" t="s">
        <v>107</v>
      </c>
      <c r="BS476" t="s">
        <v>9492</v>
      </c>
      <c r="BT476" t="str">
        <f>HYPERLINK("https%3A%2F%2Fwww.webofscience.com%2Fwos%2Fwoscc%2Ffull-record%2FWOS:000460620902184","View Full Record in Web of Science")</f>
        <v>View Full Record in Web of Science</v>
      </c>
    </row>
    <row r="477" spans="1:72" x14ac:dyDescent="0.15">
      <c r="A477" t="s">
        <v>72</v>
      </c>
      <c r="B477" t="s">
        <v>9493</v>
      </c>
      <c r="C477" t="s">
        <v>74</v>
      </c>
      <c r="D477" t="s">
        <v>74</v>
      </c>
      <c r="E477" t="s">
        <v>74</v>
      </c>
      <c r="F477" t="s">
        <v>9494</v>
      </c>
      <c r="G477" t="s">
        <v>74</v>
      </c>
      <c r="H477" t="s">
        <v>74</v>
      </c>
      <c r="I477" t="s">
        <v>9495</v>
      </c>
      <c r="J477" t="s">
        <v>9404</v>
      </c>
      <c r="K477" t="s">
        <v>74</v>
      </c>
      <c r="L477" t="s">
        <v>74</v>
      </c>
      <c r="M477" t="s">
        <v>78</v>
      </c>
      <c r="N477" t="s">
        <v>52</v>
      </c>
      <c r="O477" t="s">
        <v>9405</v>
      </c>
      <c r="P477" t="s">
        <v>9406</v>
      </c>
      <c r="Q477" t="s">
        <v>9407</v>
      </c>
      <c r="R477" t="s">
        <v>74</v>
      </c>
      <c r="S477" t="s">
        <v>74</v>
      </c>
      <c r="T477" t="s">
        <v>74</v>
      </c>
      <c r="U477" t="s">
        <v>74</v>
      </c>
      <c r="V477" t="s">
        <v>74</v>
      </c>
      <c r="W477" t="s">
        <v>9496</v>
      </c>
      <c r="X477" t="s">
        <v>9497</v>
      </c>
      <c r="Y477" t="s">
        <v>74</v>
      </c>
      <c r="Z477" t="s">
        <v>9498</v>
      </c>
      <c r="AA477" t="s">
        <v>9499</v>
      </c>
      <c r="AB477" t="s">
        <v>74</v>
      </c>
      <c r="AC477" t="s">
        <v>74</v>
      </c>
      <c r="AD477" t="s">
        <v>74</v>
      </c>
      <c r="AE477" t="s">
        <v>74</v>
      </c>
      <c r="AF477" t="s">
        <v>74</v>
      </c>
      <c r="AG477">
        <v>0</v>
      </c>
      <c r="AH477">
        <v>0</v>
      </c>
      <c r="AI477">
        <v>0</v>
      </c>
      <c r="AJ477">
        <v>0</v>
      </c>
      <c r="AK477">
        <v>0</v>
      </c>
      <c r="AL477" t="s">
        <v>9411</v>
      </c>
      <c r="AM477" t="s">
        <v>9412</v>
      </c>
      <c r="AN477" t="s">
        <v>9413</v>
      </c>
      <c r="AO477" t="s">
        <v>9414</v>
      </c>
      <c r="AP477" t="s">
        <v>9415</v>
      </c>
      <c r="AQ477" t="s">
        <v>74</v>
      </c>
      <c r="AR477" t="s">
        <v>9416</v>
      </c>
      <c r="AS477" t="s">
        <v>9417</v>
      </c>
      <c r="AT477" t="s">
        <v>7895</v>
      </c>
      <c r="AU477">
        <v>2019</v>
      </c>
      <c r="AV477">
        <v>59</v>
      </c>
      <c r="AW477" t="s">
        <v>74</v>
      </c>
      <c r="AX477" t="s">
        <v>74</v>
      </c>
      <c r="AY477">
        <v>1</v>
      </c>
      <c r="AZ477" t="s">
        <v>74</v>
      </c>
      <c r="BA477" t="s">
        <v>9500</v>
      </c>
      <c r="BB477" t="s">
        <v>9501</v>
      </c>
      <c r="BC477" t="s">
        <v>9501</v>
      </c>
      <c r="BD477" t="s">
        <v>74</v>
      </c>
      <c r="BE477" t="s">
        <v>74</v>
      </c>
      <c r="BF477" t="s">
        <v>74</v>
      </c>
      <c r="BG477" t="s">
        <v>74</v>
      </c>
      <c r="BH477" t="s">
        <v>74</v>
      </c>
      <c r="BI477">
        <v>1</v>
      </c>
      <c r="BJ477" t="s">
        <v>1674</v>
      </c>
      <c r="BK477" t="s">
        <v>615</v>
      </c>
      <c r="BL477" t="s">
        <v>1674</v>
      </c>
      <c r="BM477" t="s">
        <v>9420</v>
      </c>
      <c r="BN477" t="s">
        <v>74</v>
      </c>
      <c r="BO477" t="s">
        <v>74</v>
      </c>
      <c r="BP477" t="s">
        <v>74</v>
      </c>
      <c r="BQ477" t="s">
        <v>74</v>
      </c>
      <c r="BR477" t="s">
        <v>107</v>
      </c>
      <c r="BS477" t="s">
        <v>9502</v>
      </c>
      <c r="BT477" t="str">
        <f>HYPERLINK("https%3A%2F%2Fwww.webofscience.com%2Fwos%2Fwoscc%2Ffull-record%2FWOS:000460620902274","View Full Record in Web of Science")</f>
        <v>View Full Record in Web of Science</v>
      </c>
    </row>
    <row r="478" spans="1:72" x14ac:dyDescent="0.15">
      <c r="A478" t="s">
        <v>72</v>
      </c>
      <c r="B478" t="s">
        <v>9503</v>
      </c>
      <c r="C478" t="s">
        <v>74</v>
      </c>
      <c r="D478" t="s">
        <v>74</v>
      </c>
      <c r="E478" t="s">
        <v>74</v>
      </c>
      <c r="F478" t="s">
        <v>9504</v>
      </c>
      <c r="G478" t="s">
        <v>74</v>
      </c>
      <c r="H478" t="s">
        <v>74</v>
      </c>
      <c r="I478" t="s">
        <v>9505</v>
      </c>
      <c r="J478" t="s">
        <v>9506</v>
      </c>
      <c r="K478" t="s">
        <v>74</v>
      </c>
      <c r="L478" t="s">
        <v>74</v>
      </c>
      <c r="M478" t="s">
        <v>78</v>
      </c>
      <c r="N478" t="s">
        <v>79</v>
      </c>
      <c r="O478" t="s">
        <v>74</v>
      </c>
      <c r="P478" t="s">
        <v>74</v>
      </c>
      <c r="Q478" t="s">
        <v>74</v>
      </c>
      <c r="R478" t="s">
        <v>74</v>
      </c>
      <c r="S478" t="s">
        <v>74</v>
      </c>
      <c r="T478" t="s">
        <v>9507</v>
      </c>
      <c r="U478" t="s">
        <v>9508</v>
      </c>
      <c r="V478" t="s">
        <v>9509</v>
      </c>
      <c r="W478" t="s">
        <v>9510</v>
      </c>
      <c r="X478" t="s">
        <v>9511</v>
      </c>
      <c r="Y478" t="s">
        <v>9512</v>
      </c>
      <c r="Z478" t="s">
        <v>9513</v>
      </c>
      <c r="AA478" t="s">
        <v>9514</v>
      </c>
      <c r="AB478" t="s">
        <v>9515</v>
      </c>
      <c r="AC478" t="s">
        <v>74</v>
      </c>
      <c r="AD478" t="s">
        <v>74</v>
      </c>
      <c r="AE478" t="s">
        <v>74</v>
      </c>
      <c r="AF478" t="s">
        <v>74</v>
      </c>
      <c r="AG478">
        <v>14</v>
      </c>
      <c r="AH478">
        <v>11</v>
      </c>
      <c r="AI478">
        <v>11</v>
      </c>
      <c r="AJ478">
        <v>0</v>
      </c>
      <c r="AK478">
        <v>9</v>
      </c>
      <c r="AL478" t="s">
        <v>5669</v>
      </c>
      <c r="AM478" t="s">
        <v>5670</v>
      </c>
      <c r="AN478" t="s">
        <v>5671</v>
      </c>
      <c r="AO478" t="s">
        <v>9516</v>
      </c>
      <c r="AP478" t="s">
        <v>9517</v>
      </c>
      <c r="AQ478" t="s">
        <v>74</v>
      </c>
      <c r="AR478" t="s">
        <v>9518</v>
      </c>
      <c r="AS478" t="s">
        <v>9519</v>
      </c>
      <c r="AT478" t="s">
        <v>7895</v>
      </c>
      <c r="AU478">
        <v>2019</v>
      </c>
      <c r="AV478">
        <v>188</v>
      </c>
      <c r="AW478">
        <v>3</v>
      </c>
      <c r="AX478" t="s">
        <v>74</v>
      </c>
      <c r="AY478" t="s">
        <v>74</v>
      </c>
      <c r="AZ478" t="s">
        <v>74</v>
      </c>
      <c r="BA478" t="s">
        <v>74</v>
      </c>
      <c r="BB478">
        <v>561</v>
      </c>
      <c r="BC478">
        <v>565</v>
      </c>
      <c r="BD478" t="s">
        <v>74</v>
      </c>
      <c r="BE478" t="s">
        <v>9520</v>
      </c>
      <c r="BF478" t="str">
        <f>HYPERLINK("http://dx.doi.org/10.1007/s00605-017-1147-6","http://dx.doi.org/10.1007/s00605-017-1147-6")</f>
        <v>http://dx.doi.org/10.1007/s00605-017-1147-6</v>
      </c>
      <c r="BG478" t="s">
        <v>74</v>
      </c>
      <c r="BH478" t="s">
        <v>74</v>
      </c>
      <c r="BI478">
        <v>5</v>
      </c>
      <c r="BJ478" t="s">
        <v>9521</v>
      </c>
      <c r="BK478" t="s">
        <v>102</v>
      </c>
      <c r="BL478" t="s">
        <v>9521</v>
      </c>
      <c r="BM478" t="s">
        <v>9522</v>
      </c>
      <c r="BN478" t="s">
        <v>74</v>
      </c>
      <c r="BO478" t="s">
        <v>74</v>
      </c>
      <c r="BP478" t="s">
        <v>74</v>
      </c>
      <c r="BQ478" t="s">
        <v>74</v>
      </c>
      <c r="BR478" t="s">
        <v>107</v>
      </c>
      <c r="BS478" t="s">
        <v>9523</v>
      </c>
      <c r="BT478" t="str">
        <f>HYPERLINK("https%3A%2F%2Fwww.webofscience.com%2Fwos%2Fwoscc%2Ffull-record%2FWOS:000459817000010","View Full Record in Web of Science")</f>
        <v>View Full Record in Web of Science</v>
      </c>
    </row>
    <row r="479" spans="1:72" x14ac:dyDescent="0.15">
      <c r="A479" t="s">
        <v>72</v>
      </c>
      <c r="B479" t="s">
        <v>9524</v>
      </c>
      <c r="C479" t="s">
        <v>74</v>
      </c>
      <c r="D479" t="s">
        <v>74</v>
      </c>
      <c r="E479" t="s">
        <v>74</v>
      </c>
      <c r="F479" t="s">
        <v>9525</v>
      </c>
      <c r="G479" t="s">
        <v>74</v>
      </c>
      <c r="H479" t="s">
        <v>74</v>
      </c>
      <c r="I479" t="s">
        <v>9526</v>
      </c>
      <c r="J479" t="s">
        <v>9527</v>
      </c>
      <c r="K479" t="s">
        <v>74</v>
      </c>
      <c r="L479" t="s">
        <v>74</v>
      </c>
      <c r="M479" t="s">
        <v>78</v>
      </c>
      <c r="N479" t="s">
        <v>79</v>
      </c>
      <c r="O479" t="s">
        <v>74</v>
      </c>
      <c r="P479" t="s">
        <v>74</v>
      </c>
      <c r="Q479" t="s">
        <v>74</v>
      </c>
      <c r="R479" t="s">
        <v>74</v>
      </c>
      <c r="S479" t="s">
        <v>74</v>
      </c>
      <c r="T479" t="s">
        <v>9528</v>
      </c>
      <c r="U479" t="s">
        <v>9529</v>
      </c>
      <c r="V479" t="s">
        <v>9530</v>
      </c>
      <c r="W479" t="s">
        <v>9531</v>
      </c>
      <c r="X479" t="s">
        <v>9532</v>
      </c>
      <c r="Y479" t="s">
        <v>9533</v>
      </c>
      <c r="Z479" t="s">
        <v>6693</v>
      </c>
      <c r="AA479" t="s">
        <v>74</v>
      </c>
      <c r="AB479" t="s">
        <v>9534</v>
      </c>
      <c r="AC479" t="s">
        <v>9535</v>
      </c>
      <c r="AD479" t="s">
        <v>9536</v>
      </c>
      <c r="AE479" t="s">
        <v>9537</v>
      </c>
      <c r="AF479" t="s">
        <v>74</v>
      </c>
      <c r="AG479">
        <v>64</v>
      </c>
      <c r="AH479">
        <v>9</v>
      </c>
      <c r="AI479">
        <v>11</v>
      </c>
      <c r="AJ479">
        <v>0</v>
      </c>
      <c r="AK479">
        <v>8</v>
      </c>
      <c r="AL479" t="s">
        <v>378</v>
      </c>
      <c r="AM479" t="s">
        <v>93</v>
      </c>
      <c r="AN479" t="s">
        <v>379</v>
      </c>
      <c r="AO479" t="s">
        <v>9538</v>
      </c>
      <c r="AP479" t="s">
        <v>74</v>
      </c>
      <c r="AQ479" t="s">
        <v>74</v>
      </c>
      <c r="AR479" t="s">
        <v>9539</v>
      </c>
      <c r="AS479" t="s">
        <v>9540</v>
      </c>
      <c r="AT479" t="s">
        <v>7895</v>
      </c>
      <c r="AU479">
        <v>2019</v>
      </c>
      <c r="AV479">
        <v>129</v>
      </c>
      <c r="AW479" t="s">
        <v>74</v>
      </c>
      <c r="AX479" t="s">
        <v>74</v>
      </c>
      <c r="AY479" t="s">
        <v>74</v>
      </c>
      <c r="AZ479" t="s">
        <v>74</v>
      </c>
      <c r="BA479" t="s">
        <v>74</v>
      </c>
      <c r="BB479">
        <v>63</v>
      </c>
      <c r="BC479">
        <v>76</v>
      </c>
      <c r="BD479" t="s">
        <v>74</v>
      </c>
      <c r="BE479" t="s">
        <v>9541</v>
      </c>
      <c r="BF479" t="str">
        <f>HYPERLINK("http://dx.doi.org/10.1016/j.orggeochem.2019.02.002","http://dx.doi.org/10.1016/j.orggeochem.2019.02.002")</f>
        <v>http://dx.doi.org/10.1016/j.orggeochem.2019.02.002</v>
      </c>
      <c r="BG479" t="s">
        <v>74</v>
      </c>
      <c r="BH479" t="s">
        <v>74</v>
      </c>
      <c r="BI479">
        <v>14</v>
      </c>
      <c r="BJ479" t="s">
        <v>643</v>
      </c>
      <c r="BK479" t="s">
        <v>102</v>
      </c>
      <c r="BL479" t="s">
        <v>643</v>
      </c>
      <c r="BM479" t="s">
        <v>9542</v>
      </c>
      <c r="BN479" t="s">
        <v>74</v>
      </c>
      <c r="BO479" t="s">
        <v>9543</v>
      </c>
      <c r="BP479" t="s">
        <v>74</v>
      </c>
      <c r="BQ479" t="s">
        <v>74</v>
      </c>
      <c r="BR479" t="s">
        <v>107</v>
      </c>
      <c r="BS479" t="s">
        <v>9544</v>
      </c>
      <c r="BT479" t="str">
        <f>HYPERLINK("https%3A%2F%2Fwww.webofscience.com%2Fwos%2Fwoscc%2Ffull-record%2FWOS:000460896700006","View Full Record in Web of Science")</f>
        <v>View Full Record in Web of Science</v>
      </c>
    </row>
    <row r="480" spans="1:72" x14ac:dyDescent="0.15">
      <c r="A480" t="s">
        <v>72</v>
      </c>
      <c r="B480" t="s">
        <v>9545</v>
      </c>
      <c r="C480" t="s">
        <v>74</v>
      </c>
      <c r="D480" t="s">
        <v>74</v>
      </c>
      <c r="E480" t="s">
        <v>74</v>
      </c>
      <c r="F480" t="s">
        <v>9546</v>
      </c>
      <c r="G480" t="s">
        <v>74</v>
      </c>
      <c r="H480" t="s">
        <v>74</v>
      </c>
      <c r="I480" t="s">
        <v>9547</v>
      </c>
      <c r="J480" t="s">
        <v>9548</v>
      </c>
      <c r="K480" t="s">
        <v>74</v>
      </c>
      <c r="L480" t="s">
        <v>74</v>
      </c>
      <c r="M480" t="s">
        <v>78</v>
      </c>
      <c r="N480" t="s">
        <v>79</v>
      </c>
      <c r="O480" t="s">
        <v>74</v>
      </c>
      <c r="P480" t="s">
        <v>74</v>
      </c>
      <c r="Q480" t="s">
        <v>74</v>
      </c>
      <c r="R480" t="s">
        <v>74</v>
      </c>
      <c r="S480" t="s">
        <v>74</v>
      </c>
      <c r="T480" t="s">
        <v>9549</v>
      </c>
      <c r="U480" t="s">
        <v>9550</v>
      </c>
      <c r="V480" t="s">
        <v>9551</v>
      </c>
      <c r="W480" t="s">
        <v>9552</v>
      </c>
      <c r="X480" t="s">
        <v>9553</v>
      </c>
      <c r="Y480" t="s">
        <v>9554</v>
      </c>
      <c r="Z480" t="s">
        <v>9555</v>
      </c>
      <c r="AA480" t="s">
        <v>9556</v>
      </c>
      <c r="AB480" t="s">
        <v>9557</v>
      </c>
      <c r="AC480" t="s">
        <v>9558</v>
      </c>
      <c r="AD480" t="s">
        <v>9559</v>
      </c>
      <c r="AE480" t="s">
        <v>9560</v>
      </c>
      <c r="AF480" t="s">
        <v>74</v>
      </c>
      <c r="AG480">
        <v>17</v>
      </c>
      <c r="AH480">
        <v>1</v>
      </c>
      <c r="AI480">
        <v>1</v>
      </c>
      <c r="AJ480">
        <v>0</v>
      </c>
      <c r="AK480">
        <v>8</v>
      </c>
      <c r="AL480" t="s">
        <v>606</v>
      </c>
      <c r="AM480" t="s">
        <v>607</v>
      </c>
      <c r="AN480" t="s">
        <v>608</v>
      </c>
      <c r="AO480" t="s">
        <v>9561</v>
      </c>
      <c r="AP480" t="s">
        <v>9562</v>
      </c>
      <c r="AQ480" t="s">
        <v>74</v>
      </c>
      <c r="AR480" t="s">
        <v>9563</v>
      </c>
      <c r="AS480" t="s">
        <v>9564</v>
      </c>
      <c r="AT480" t="s">
        <v>7895</v>
      </c>
      <c r="AU480">
        <v>2019</v>
      </c>
      <c r="AV480">
        <v>30</v>
      </c>
      <c r="AW480">
        <v>1</v>
      </c>
      <c r="AX480" t="s">
        <v>74</v>
      </c>
      <c r="AY480" t="s">
        <v>74</v>
      </c>
      <c r="AZ480" t="s">
        <v>74</v>
      </c>
      <c r="BA480" t="s">
        <v>74</v>
      </c>
      <c r="BB480">
        <v>28</v>
      </c>
      <c r="BC480">
        <v>34</v>
      </c>
      <c r="BD480" t="s">
        <v>74</v>
      </c>
      <c r="BE480" t="s">
        <v>9565</v>
      </c>
      <c r="BF480" t="str">
        <f>HYPERLINK("http://dx.doi.org/10.1016/j.wem.2018.11.003","http://dx.doi.org/10.1016/j.wem.2018.11.003")</f>
        <v>http://dx.doi.org/10.1016/j.wem.2018.11.003</v>
      </c>
      <c r="BG480" t="s">
        <v>74</v>
      </c>
      <c r="BH480" t="s">
        <v>74</v>
      </c>
      <c r="BI480">
        <v>7</v>
      </c>
      <c r="BJ480" t="s">
        <v>9566</v>
      </c>
      <c r="BK480" t="s">
        <v>102</v>
      </c>
      <c r="BL480" t="s">
        <v>9566</v>
      </c>
      <c r="BM480" t="s">
        <v>9567</v>
      </c>
      <c r="BN480">
        <v>30718138</v>
      </c>
      <c r="BO480" t="s">
        <v>279</v>
      </c>
      <c r="BP480" t="s">
        <v>74</v>
      </c>
      <c r="BQ480" t="s">
        <v>74</v>
      </c>
      <c r="BR480" t="s">
        <v>107</v>
      </c>
      <c r="BS480" t="s">
        <v>9568</v>
      </c>
      <c r="BT480" t="str">
        <f>HYPERLINK("https%3A%2F%2Fwww.webofscience.com%2Fwos%2Fwoscc%2Ffull-record%2FWOS:000460849400005","View Full Record in Web of Science")</f>
        <v>View Full Record in Web of Science</v>
      </c>
    </row>
    <row r="481" spans="1:72" x14ac:dyDescent="0.15">
      <c r="A481" t="s">
        <v>72</v>
      </c>
      <c r="B481" t="s">
        <v>9569</v>
      </c>
      <c r="C481" t="s">
        <v>74</v>
      </c>
      <c r="D481" t="s">
        <v>74</v>
      </c>
      <c r="E481" t="s">
        <v>74</v>
      </c>
      <c r="F481" t="s">
        <v>9570</v>
      </c>
      <c r="G481" t="s">
        <v>74</v>
      </c>
      <c r="H481" t="s">
        <v>74</v>
      </c>
      <c r="I481" t="s">
        <v>9571</v>
      </c>
      <c r="J481" t="s">
        <v>9572</v>
      </c>
      <c r="K481" t="s">
        <v>74</v>
      </c>
      <c r="L481" t="s">
        <v>74</v>
      </c>
      <c r="M481" t="s">
        <v>9573</v>
      </c>
      <c r="N481" t="s">
        <v>79</v>
      </c>
      <c r="O481" t="s">
        <v>74</v>
      </c>
      <c r="P481" t="s">
        <v>74</v>
      </c>
      <c r="Q481" t="s">
        <v>74</v>
      </c>
      <c r="R481" t="s">
        <v>74</v>
      </c>
      <c r="S481" t="s">
        <v>74</v>
      </c>
      <c r="T481" t="s">
        <v>9574</v>
      </c>
      <c r="U481" t="s">
        <v>9575</v>
      </c>
      <c r="V481" t="s">
        <v>9576</v>
      </c>
      <c r="W481" t="s">
        <v>9577</v>
      </c>
      <c r="X481" t="s">
        <v>9578</v>
      </c>
      <c r="Y481" t="s">
        <v>9579</v>
      </c>
      <c r="Z481" t="s">
        <v>9580</v>
      </c>
      <c r="AA481" t="s">
        <v>9581</v>
      </c>
      <c r="AB481" t="s">
        <v>74</v>
      </c>
      <c r="AC481" t="s">
        <v>74</v>
      </c>
      <c r="AD481" t="s">
        <v>74</v>
      </c>
      <c r="AE481" t="s">
        <v>74</v>
      </c>
      <c r="AF481" t="s">
        <v>74</v>
      </c>
      <c r="AG481">
        <v>76</v>
      </c>
      <c r="AH481">
        <v>6</v>
      </c>
      <c r="AI481">
        <v>8</v>
      </c>
      <c r="AJ481">
        <v>0</v>
      </c>
      <c r="AK481">
        <v>20</v>
      </c>
      <c r="AL481" t="s">
        <v>240</v>
      </c>
      <c r="AM481" t="s">
        <v>241</v>
      </c>
      <c r="AN481" t="s">
        <v>5009</v>
      </c>
      <c r="AO481" t="s">
        <v>9582</v>
      </c>
      <c r="AP481" t="s">
        <v>74</v>
      </c>
      <c r="AQ481" t="s">
        <v>74</v>
      </c>
      <c r="AR481" t="s">
        <v>9583</v>
      </c>
      <c r="AS481" t="s">
        <v>9584</v>
      </c>
      <c r="AT481" t="s">
        <v>7895</v>
      </c>
      <c r="AU481">
        <v>2019</v>
      </c>
      <c r="AV481">
        <v>62</v>
      </c>
      <c r="AW481">
        <v>3</v>
      </c>
      <c r="AX481" t="s">
        <v>74</v>
      </c>
      <c r="AY481" t="s">
        <v>74</v>
      </c>
      <c r="AZ481" t="s">
        <v>74</v>
      </c>
      <c r="BA481" t="s">
        <v>74</v>
      </c>
      <c r="BB481">
        <v>849</v>
      </c>
      <c r="BC481">
        <v>863</v>
      </c>
      <c r="BD481" t="s">
        <v>74</v>
      </c>
      <c r="BE481" t="s">
        <v>9585</v>
      </c>
      <c r="BF481" t="str">
        <f>HYPERLINK("http://dx.doi.org/10.6038/cjg2019M0507","http://dx.doi.org/10.6038/cjg2019M0507")</f>
        <v>http://dx.doi.org/10.6038/cjg2019M0507</v>
      </c>
      <c r="BG481" t="s">
        <v>74</v>
      </c>
      <c r="BH481" t="s">
        <v>74</v>
      </c>
      <c r="BI481">
        <v>15</v>
      </c>
      <c r="BJ481" t="s">
        <v>643</v>
      </c>
      <c r="BK481" t="s">
        <v>102</v>
      </c>
      <c r="BL481" t="s">
        <v>643</v>
      </c>
      <c r="BM481" t="s">
        <v>9586</v>
      </c>
      <c r="BN481" t="s">
        <v>74</v>
      </c>
      <c r="BO481" t="s">
        <v>74</v>
      </c>
      <c r="BP481" t="s">
        <v>74</v>
      </c>
      <c r="BQ481" t="s">
        <v>74</v>
      </c>
      <c r="BR481" t="s">
        <v>107</v>
      </c>
      <c r="BS481" t="s">
        <v>9587</v>
      </c>
      <c r="BT481" t="str">
        <f>HYPERLINK("https%3A%2F%2Fwww.webofscience.com%2Fwos%2Fwoscc%2Ffull-record%2FWOS:000460781600004","View Full Record in Web of Science")</f>
        <v>View Full Record in Web of Science</v>
      </c>
    </row>
    <row r="482" spans="1:72" x14ac:dyDescent="0.15">
      <c r="A482" t="s">
        <v>72</v>
      </c>
      <c r="B482" t="s">
        <v>9588</v>
      </c>
      <c r="C482" t="s">
        <v>74</v>
      </c>
      <c r="D482" t="s">
        <v>74</v>
      </c>
      <c r="E482" t="s">
        <v>74</v>
      </c>
      <c r="F482" t="s">
        <v>9589</v>
      </c>
      <c r="G482" t="s">
        <v>74</v>
      </c>
      <c r="H482" t="s">
        <v>74</v>
      </c>
      <c r="I482" t="s">
        <v>9590</v>
      </c>
      <c r="J482" t="s">
        <v>9572</v>
      </c>
      <c r="K482" t="s">
        <v>74</v>
      </c>
      <c r="L482" t="s">
        <v>74</v>
      </c>
      <c r="M482" t="s">
        <v>9573</v>
      </c>
      <c r="N482" t="s">
        <v>79</v>
      </c>
      <c r="O482" t="s">
        <v>74</v>
      </c>
      <c r="P482" t="s">
        <v>74</v>
      </c>
      <c r="Q482" t="s">
        <v>74</v>
      </c>
      <c r="R482" t="s">
        <v>74</v>
      </c>
      <c r="S482" t="s">
        <v>74</v>
      </c>
      <c r="T482" t="s">
        <v>9591</v>
      </c>
      <c r="U482" t="s">
        <v>9592</v>
      </c>
      <c r="V482" t="s">
        <v>9593</v>
      </c>
      <c r="W482" t="s">
        <v>9594</v>
      </c>
      <c r="X482" t="s">
        <v>9595</v>
      </c>
      <c r="Y482" t="s">
        <v>9596</v>
      </c>
      <c r="Z482" t="s">
        <v>9597</v>
      </c>
      <c r="AA482" t="s">
        <v>9598</v>
      </c>
      <c r="AB482" t="s">
        <v>9599</v>
      </c>
      <c r="AC482" t="s">
        <v>74</v>
      </c>
      <c r="AD482" t="s">
        <v>74</v>
      </c>
      <c r="AE482" t="s">
        <v>74</v>
      </c>
      <c r="AF482" t="s">
        <v>74</v>
      </c>
      <c r="AG482">
        <v>90</v>
      </c>
      <c r="AH482">
        <v>16</v>
      </c>
      <c r="AI482">
        <v>21</v>
      </c>
      <c r="AJ482">
        <v>6</v>
      </c>
      <c r="AK482">
        <v>49</v>
      </c>
      <c r="AL482" t="s">
        <v>240</v>
      </c>
      <c r="AM482" t="s">
        <v>241</v>
      </c>
      <c r="AN482" t="s">
        <v>5009</v>
      </c>
      <c r="AO482" t="s">
        <v>9582</v>
      </c>
      <c r="AP482" t="s">
        <v>74</v>
      </c>
      <c r="AQ482" t="s">
        <v>74</v>
      </c>
      <c r="AR482" t="s">
        <v>9583</v>
      </c>
      <c r="AS482" t="s">
        <v>9584</v>
      </c>
      <c r="AT482" t="s">
        <v>7895</v>
      </c>
      <c r="AU482">
        <v>2019</v>
      </c>
      <c r="AV482">
        <v>62</v>
      </c>
      <c r="AW482">
        <v>3</v>
      </c>
      <c r="AX482" t="s">
        <v>74</v>
      </c>
      <c r="AY482" t="s">
        <v>74</v>
      </c>
      <c r="AZ482" t="s">
        <v>74</v>
      </c>
      <c r="BA482" t="s">
        <v>74</v>
      </c>
      <c r="BB482">
        <v>864</v>
      </c>
      <c r="BC482">
        <v>882</v>
      </c>
      <c r="BD482" t="s">
        <v>74</v>
      </c>
      <c r="BE482" t="s">
        <v>9600</v>
      </c>
      <c r="BF482" t="str">
        <f>HYPERLINK("http://dx.doi.org/10.6038/cjg2019M0586","http://dx.doi.org/10.6038/cjg2019M0586")</f>
        <v>http://dx.doi.org/10.6038/cjg2019M0586</v>
      </c>
      <c r="BG482" t="s">
        <v>74</v>
      </c>
      <c r="BH482" t="s">
        <v>74</v>
      </c>
      <c r="BI482">
        <v>19</v>
      </c>
      <c r="BJ482" t="s">
        <v>643</v>
      </c>
      <c r="BK482" t="s">
        <v>102</v>
      </c>
      <c r="BL482" t="s">
        <v>643</v>
      </c>
      <c r="BM482" t="s">
        <v>9586</v>
      </c>
      <c r="BN482" t="s">
        <v>74</v>
      </c>
      <c r="BO482" t="s">
        <v>74</v>
      </c>
      <c r="BP482" t="s">
        <v>74</v>
      </c>
      <c r="BQ482" t="s">
        <v>74</v>
      </c>
      <c r="BR482" t="s">
        <v>107</v>
      </c>
      <c r="BS482" t="s">
        <v>9601</v>
      </c>
      <c r="BT482" t="str">
        <f>HYPERLINK("https%3A%2F%2Fwww.webofscience.com%2Fwos%2Fwoscc%2Ffull-record%2FWOS:000460781600005","View Full Record in Web of Science")</f>
        <v>View Full Record in Web of Science</v>
      </c>
    </row>
    <row r="483" spans="1:72" x14ac:dyDescent="0.15">
      <c r="A483" t="s">
        <v>72</v>
      </c>
      <c r="B483" t="s">
        <v>9602</v>
      </c>
      <c r="C483" t="s">
        <v>74</v>
      </c>
      <c r="D483" t="s">
        <v>74</v>
      </c>
      <c r="E483" t="s">
        <v>74</v>
      </c>
      <c r="F483" t="s">
        <v>9603</v>
      </c>
      <c r="G483" t="s">
        <v>74</v>
      </c>
      <c r="H483" t="s">
        <v>74</v>
      </c>
      <c r="I483" t="s">
        <v>9604</v>
      </c>
      <c r="J483" t="s">
        <v>9605</v>
      </c>
      <c r="K483" t="s">
        <v>74</v>
      </c>
      <c r="L483" t="s">
        <v>74</v>
      </c>
      <c r="M483" t="s">
        <v>78</v>
      </c>
      <c r="N483" t="s">
        <v>79</v>
      </c>
      <c r="O483" t="s">
        <v>74</v>
      </c>
      <c r="P483" t="s">
        <v>74</v>
      </c>
      <c r="Q483" t="s">
        <v>74</v>
      </c>
      <c r="R483" t="s">
        <v>74</v>
      </c>
      <c r="S483" t="s">
        <v>74</v>
      </c>
      <c r="T483" t="s">
        <v>9606</v>
      </c>
      <c r="U483" t="s">
        <v>9607</v>
      </c>
      <c r="V483" t="s">
        <v>9608</v>
      </c>
      <c r="W483" t="s">
        <v>9609</v>
      </c>
      <c r="X483" t="s">
        <v>9610</v>
      </c>
      <c r="Y483" t="s">
        <v>9611</v>
      </c>
      <c r="Z483" t="s">
        <v>9612</v>
      </c>
      <c r="AA483" t="s">
        <v>9613</v>
      </c>
      <c r="AB483" t="s">
        <v>9614</v>
      </c>
      <c r="AC483" t="s">
        <v>9615</v>
      </c>
      <c r="AD483" t="s">
        <v>9616</v>
      </c>
      <c r="AE483" t="s">
        <v>9617</v>
      </c>
      <c r="AF483" t="s">
        <v>74</v>
      </c>
      <c r="AG483">
        <v>47</v>
      </c>
      <c r="AH483">
        <v>6</v>
      </c>
      <c r="AI483">
        <v>8</v>
      </c>
      <c r="AJ483">
        <v>0</v>
      </c>
      <c r="AK483">
        <v>9</v>
      </c>
      <c r="AL483" t="s">
        <v>576</v>
      </c>
      <c r="AM483" t="s">
        <v>577</v>
      </c>
      <c r="AN483" t="s">
        <v>578</v>
      </c>
      <c r="AO483" t="s">
        <v>9618</v>
      </c>
      <c r="AP483" t="s">
        <v>9619</v>
      </c>
      <c r="AQ483" t="s">
        <v>74</v>
      </c>
      <c r="AR483" t="s">
        <v>9620</v>
      </c>
      <c r="AS483" t="s">
        <v>9621</v>
      </c>
      <c r="AT483" t="s">
        <v>7895</v>
      </c>
      <c r="AU483">
        <v>2019</v>
      </c>
      <c r="AV483">
        <v>21</v>
      </c>
      <c r="AW483">
        <v>3</v>
      </c>
      <c r="AX483" t="s">
        <v>74</v>
      </c>
      <c r="AY483" t="s">
        <v>74</v>
      </c>
      <c r="AZ483" t="s">
        <v>74</v>
      </c>
      <c r="BA483" t="s">
        <v>74</v>
      </c>
      <c r="BB483">
        <v>993</v>
      </c>
      <c r="BC483">
        <v>1005</v>
      </c>
      <c r="BD483" t="s">
        <v>74</v>
      </c>
      <c r="BE483" t="s">
        <v>9622</v>
      </c>
      <c r="BF483" t="str">
        <f>HYPERLINK("http://dx.doi.org/10.1007/s10530-018-1880-3","http://dx.doi.org/10.1007/s10530-018-1880-3")</f>
        <v>http://dx.doi.org/10.1007/s10530-018-1880-3</v>
      </c>
      <c r="BG483" t="s">
        <v>74</v>
      </c>
      <c r="BH483" t="s">
        <v>74</v>
      </c>
      <c r="BI483">
        <v>13</v>
      </c>
      <c r="BJ483" t="s">
        <v>5131</v>
      </c>
      <c r="BK483" t="s">
        <v>102</v>
      </c>
      <c r="BL483" t="s">
        <v>5065</v>
      </c>
      <c r="BM483" t="s">
        <v>9623</v>
      </c>
      <c r="BN483" t="s">
        <v>74</v>
      </c>
      <c r="BO483" t="s">
        <v>74</v>
      </c>
      <c r="BP483" t="s">
        <v>74</v>
      </c>
      <c r="BQ483" t="s">
        <v>74</v>
      </c>
      <c r="BR483" t="s">
        <v>107</v>
      </c>
      <c r="BS483" t="s">
        <v>9624</v>
      </c>
      <c r="BT483" t="str">
        <f>HYPERLINK("https%3A%2F%2Fwww.webofscience.com%2Fwos%2Fwoscc%2Ffull-record%2FWOS:000460094800023","View Full Record in Web of Science")</f>
        <v>View Full Record in Web of Science</v>
      </c>
    </row>
    <row r="484" spans="1:72" x14ac:dyDescent="0.15">
      <c r="A484" t="s">
        <v>72</v>
      </c>
      <c r="B484" t="s">
        <v>9625</v>
      </c>
      <c r="C484" t="s">
        <v>74</v>
      </c>
      <c r="D484" t="s">
        <v>74</v>
      </c>
      <c r="E484" t="s">
        <v>74</v>
      </c>
      <c r="F484" t="s">
        <v>9626</v>
      </c>
      <c r="G484" t="s">
        <v>74</v>
      </c>
      <c r="H484" t="s">
        <v>74</v>
      </c>
      <c r="I484" t="s">
        <v>9627</v>
      </c>
      <c r="J484" t="s">
        <v>9628</v>
      </c>
      <c r="K484" t="s">
        <v>74</v>
      </c>
      <c r="L484" t="s">
        <v>74</v>
      </c>
      <c r="M484" t="s">
        <v>78</v>
      </c>
      <c r="N484" t="s">
        <v>79</v>
      </c>
      <c r="O484" t="s">
        <v>74</v>
      </c>
      <c r="P484" t="s">
        <v>74</v>
      </c>
      <c r="Q484" t="s">
        <v>74</v>
      </c>
      <c r="R484" t="s">
        <v>74</v>
      </c>
      <c r="S484" t="s">
        <v>74</v>
      </c>
      <c r="T484" t="s">
        <v>74</v>
      </c>
      <c r="U484" t="s">
        <v>9629</v>
      </c>
      <c r="V484" t="s">
        <v>9630</v>
      </c>
      <c r="W484" t="s">
        <v>9631</v>
      </c>
      <c r="X484" t="s">
        <v>9632</v>
      </c>
      <c r="Y484" t="s">
        <v>9633</v>
      </c>
      <c r="Z484" t="s">
        <v>9634</v>
      </c>
      <c r="AA484" t="s">
        <v>9635</v>
      </c>
      <c r="AB484" t="s">
        <v>9636</v>
      </c>
      <c r="AC484" t="s">
        <v>9637</v>
      </c>
      <c r="AD484" t="s">
        <v>9638</v>
      </c>
      <c r="AE484" t="s">
        <v>9639</v>
      </c>
      <c r="AF484" t="s">
        <v>74</v>
      </c>
      <c r="AG484">
        <v>67</v>
      </c>
      <c r="AH484">
        <v>3</v>
      </c>
      <c r="AI484">
        <v>4</v>
      </c>
      <c r="AJ484">
        <v>1</v>
      </c>
      <c r="AK484">
        <v>27</v>
      </c>
      <c r="AL484" t="s">
        <v>2960</v>
      </c>
      <c r="AM484" t="s">
        <v>607</v>
      </c>
      <c r="AN484" t="s">
        <v>4525</v>
      </c>
      <c r="AO484" t="s">
        <v>9640</v>
      </c>
      <c r="AP484" t="s">
        <v>9641</v>
      </c>
      <c r="AQ484" t="s">
        <v>74</v>
      </c>
      <c r="AR484" t="s">
        <v>9642</v>
      </c>
      <c r="AS484" t="s">
        <v>9643</v>
      </c>
      <c r="AT484" t="s">
        <v>7895</v>
      </c>
      <c r="AU484">
        <v>2019</v>
      </c>
      <c r="AV484">
        <v>29</v>
      </c>
      <c r="AW484">
        <v>1</v>
      </c>
      <c r="AX484" t="s">
        <v>74</v>
      </c>
      <c r="AY484" t="s">
        <v>74</v>
      </c>
      <c r="AZ484" t="s">
        <v>74</v>
      </c>
      <c r="BA484" t="s">
        <v>74</v>
      </c>
      <c r="BB484">
        <v>124</v>
      </c>
      <c r="BC484">
        <v>135</v>
      </c>
      <c r="BD484" t="s">
        <v>74</v>
      </c>
      <c r="BE484" t="s">
        <v>9644</v>
      </c>
      <c r="BF484" t="str">
        <f>HYPERLINK("http://dx.doi.org/10.1017/S0959270918000072","http://dx.doi.org/10.1017/S0959270918000072")</f>
        <v>http://dx.doi.org/10.1017/S0959270918000072</v>
      </c>
      <c r="BG484" t="s">
        <v>74</v>
      </c>
      <c r="BH484" t="s">
        <v>74</v>
      </c>
      <c r="BI484">
        <v>12</v>
      </c>
      <c r="BJ484" t="s">
        <v>9645</v>
      </c>
      <c r="BK484" t="s">
        <v>102</v>
      </c>
      <c r="BL484" t="s">
        <v>9646</v>
      </c>
      <c r="BM484" t="s">
        <v>9647</v>
      </c>
      <c r="BN484" t="s">
        <v>74</v>
      </c>
      <c r="BO484" t="s">
        <v>279</v>
      </c>
      <c r="BP484" t="s">
        <v>74</v>
      </c>
      <c r="BQ484" t="s">
        <v>74</v>
      </c>
      <c r="BR484" t="s">
        <v>107</v>
      </c>
      <c r="BS484" t="s">
        <v>9648</v>
      </c>
      <c r="BT484" t="str">
        <f>HYPERLINK("https%3A%2F%2Fwww.webofscience.com%2Fwos%2Fwoscc%2Ffull-record%2FWOS:000460544300009","View Full Record in Web of Science")</f>
        <v>View Full Record in Web of Science</v>
      </c>
    </row>
    <row r="485" spans="1:72" x14ac:dyDescent="0.15">
      <c r="A485" t="s">
        <v>72</v>
      </c>
      <c r="B485" t="s">
        <v>9649</v>
      </c>
      <c r="C485" t="s">
        <v>74</v>
      </c>
      <c r="D485" t="s">
        <v>74</v>
      </c>
      <c r="E485" t="s">
        <v>74</v>
      </c>
      <c r="F485" t="s">
        <v>9650</v>
      </c>
      <c r="G485" t="s">
        <v>74</v>
      </c>
      <c r="H485" t="s">
        <v>74</v>
      </c>
      <c r="I485" t="s">
        <v>9651</v>
      </c>
      <c r="J485" t="s">
        <v>4739</v>
      </c>
      <c r="K485" t="s">
        <v>74</v>
      </c>
      <c r="L485" t="s">
        <v>74</v>
      </c>
      <c r="M485" t="s">
        <v>78</v>
      </c>
      <c r="N485" t="s">
        <v>79</v>
      </c>
      <c r="O485" t="s">
        <v>74</v>
      </c>
      <c r="P485" t="s">
        <v>74</v>
      </c>
      <c r="Q485" t="s">
        <v>74</v>
      </c>
      <c r="R485" t="s">
        <v>74</v>
      </c>
      <c r="S485" t="s">
        <v>74</v>
      </c>
      <c r="T485" t="s">
        <v>74</v>
      </c>
      <c r="U485" t="s">
        <v>9652</v>
      </c>
      <c r="V485" t="s">
        <v>9653</v>
      </c>
      <c r="W485" t="s">
        <v>9654</v>
      </c>
      <c r="X485" t="s">
        <v>9655</v>
      </c>
      <c r="Y485" t="s">
        <v>9656</v>
      </c>
      <c r="Z485" t="s">
        <v>9657</v>
      </c>
      <c r="AA485" t="s">
        <v>9658</v>
      </c>
      <c r="AB485" t="s">
        <v>9659</v>
      </c>
      <c r="AC485" t="s">
        <v>9660</v>
      </c>
      <c r="AD485" t="s">
        <v>9661</v>
      </c>
      <c r="AE485" t="s">
        <v>9662</v>
      </c>
      <c r="AF485" t="s">
        <v>74</v>
      </c>
      <c r="AG485">
        <v>69</v>
      </c>
      <c r="AH485">
        <v>13</v>
      </c>
      <c r="AI485">
        <v>14</v>
      </c>
      <c r="AJ485">
        <v>0</v>
      </c>
      <c r="AK485">
        <v>8</v>
      </c>
      <c r="AL485" t="s">
        <v>153</v>
      </c>
      <c r="AM485" t="s">
        <v>154</v>
      </c>
      <c r="AN485" t="s">
        <v>155</v>
      </c>
      <c r="AO485" t="s">
        <v>4751</v>
      </c>
      <c r="AP485" t="s">
        <v>4752</v>
      </c>
      <c r="AQ485" t="s">
        <v>74</v>
      </c>
      <c r="AR485" t="s">
        <v>4753</v>
      </c>
      <c r="AS485" t="s">
        <v>4754</v>
      </c>
      <c r="AT485" t="s">
        <v>7895</v>
      </c>
      <c r="AU485">
        <v>2019</v>
      </c>
      <c r="AV485">
        <v>54</v>
      </c>
      <c r="AW485">
        <v>3</v>
      </c>
      <c r="AX485" t="s">
        <v>74</v>
      </c>
      <c r="AY485" t="s">
        <v>74</v>
      </c>
      <c r="AZ485" t="s">
        <v>74</v>
      </c>
      <c r="BA485" t="s">
        <v>74</v>
      </c>
      <c r="BB485">
        <v>503</v>
      </c>
      <c r="BC485">
        <v>520</v>
      </c>
      <c r="BD485" t="s">
        <v>74</v>
      </c>
      <c r="BE485" t="s">
        <v>9663</v>
      </c>
      <c r="BF485" t="str">
        <f>HYPERLINK("http://dx.doi.org/10.1111/maps.13220","http://dx.doi.org/10.1111/maps.13220")</f>
        <v>http://dx.doi.org/10.1111/maps.13220</v>
      </c>
      <c r="BG485" t="s">
        <v>74</v>
      </c>
      <c r="BH485" t="s">
        <v>74</v>
      </c>
      <c r="BI485">
        <v>18</v>
      </c>
      <c r="BJ485" t="s">
        <v>643</v>
      </c>
      <c r="BK485" t="s">
        <v>102</v>
      </c>
      <c r="BL485" t="s">
        <v>643</v>
      </c>
      <c r="BM485" t="s">
        <v>9664</v>
      </c>
      <c r="BN485" t="s">
        <v>74</v>
      </c>
      <c r="BO485" t="s">
        <v>1014</v>
      </c>
      <c r="BP485" t="s">
        <v>74</v>
      </c>
      <c r="BQ485" t="s">
        <v>74</v>
      </c>
      <c r="BR485" t="s">
        <v>107</v>
      </c>
      <c r="BS485" t="s">
        <v>9665</v>
      </c>
      <c r="BT485" t="str">
        <f>HYPERLINK("https%3A%2F%2Fwww.webofscience.com%2Fwos%2Fwoscc%2Ffull-record%2FWOS:000460412500003","View Full Record in Web of Science")</f>
        <v>View Full Record in Web of Science</v>
      </c>
    </row>
    <row r="486" spans="1:72" x14ac:dyDescent="0.15">
      <c r="A486" t="s">
        <v>72</v>
      </c>
      <c r="B486" t="s">
        <v>9666</v>
      </c>
      <c r="C486" t="s">
        <v>74</v>
      </c>
      <c r="D486" t="s">
        <v>74</v>
      </c>
      <c r="E486" t="s">
        <v>74</v>
      </c>
      <c r="F486" t="s">
        <v>9667</v>
      </c>
      <c r="G486" t="s">
        <v>74</v>
      </c>
      <c r="H486" t="s">
        <v>74</v>
      </c>
      <c r="I486" t="s">
        <v>9668</v>
      </c>
      <c r="J486" t="s">
        <v>9669</v>
      </c>
      <c r="K486" t="s">
        <v>74</v>
      </c>
      <c r="L486" t="s">
        <v>74</v>
      </c>
      <c r="M486" t="s">
        <v>78</v>
      </c>
      <c r="N486" t="s">
        <v>79</v>
      </c>
      <c r="O486" t="s">
        <v>74</v>
      </c>
      <c r="P486" t="s">
        <v>74</v>
      </c>
      <c r="Q486" t="s">
        <v>74</v>
      </c>
      <c r="R486" t="s">
        <v>74</v>
      </c>
      <c r="S486" t="s">
        <v>74</v>
      </c>
      <c r="T486" t="s">
        <v>9670</v>
      </c>
      <c r="U486" t="s">
        <v>9671</v>
      </c>
      <c r="V486" t="s">
        <v>9672</v>
      </c>
      <c r="W486" t="s">
        <v>9673</v>
      </c>
      <c r="X486" t="s">
        <v>9674</v>
      </c>
      <c r="Y486" t="s">
        <v>9675</v>
      </c>
      <c r="Z486" t="s">
        <v>9676</v>
      </c>
      <c r="AA486" t="s">
        <v>9677</v>
      </c>
      <c r="AB486" t="s">
        <v>74</v>
      </c>
      <c r="AC486" t="s">
        <v>9678</v>
      </c>
      <c r="AD486" t="s">
        <v>9679</v>
      </c>
      <c r="AE486" t="s">
        <v>9680</v>
      </c>
      <c r="AF486" t="s">
        <v>74</v>
      </c>
      <c r="AG486">
        <v>36</v>
      </c>
      <c r="AH486">
        <v>12</v>
      </c>
      <c r="AI486">
        <v>15</v>
      </c>
      <c r="AJ486">
        <v>1</v>
      </c>
      <c r="AK486">
        <v>29</v>
      </c>
      <c r="AL486" t="s">
        <v>662</v>
      </c>
      <c r="AM486" t="s">
        <v>635</v>
      </c>
      <c r="AN486" t="s">
        <v>663</v>
      </c>
      <c r="AO486" t="s">
        <v>9681</v>
      </c>
      <c r="AP486" t="s">
        <v>9682</v>
      </c>
      <c r="AQ486" t="s">
        <v>74</v>
      </c>
      <c r="AR486" t="s">
        <v>9683</v>
      </c>
      <c r="AS486" t="s">
        <v>9684</v>
      </c>
      <c r="AT486" t="s">
        <v>7895</v>
      </c>
      <c r="AU486">
        <v>2019</v>
      </c>
      <c r="AV486">
        <v>19</v>
      </c>
      <c r="AW486" t="s">
        <v>74</v>
      </c>
      <c r="AX486" t="s">
        <v>74</v>
      </c>
      <c r="AY486" t="s">
        <v>74</v>
      </c>
      <c r="AZ486" t="s">
        <v>74</v>
      </c>
      <c r="BA486" t="s">
        <v>74</v>
      </c>
      <c r="BB486">
        <v>13</v>
      </c>
      <c r="BC486">
        <v>23</v>
      </c>
      <c r="BD486" t="s">
        <v>74</v>
      </c>
      <c r="BE486" t="s">
        <v>9685</v>
      </c>
      <c r="BF486" t="str">
        <f>HYPERLINK("http://dx.doi.org/10.1016/j.polar.2018.09.003","http://dx.doi.org/10.1016/j.polar.2018.09.003")</f>
        <v>http://dx.doi.org/10.1016/j.polar.2018.09.003</v>
      </c>
      <c r="BG486" t="s">
        <v>74</v>
      </c>
      <c r="BH486" t="s">
        <v>74</v>
      </c>
      <c r="BI486">
        <v>11</v>
      </c>
      <c r="BJ486" t="s">
        <v>7476</v>
      </c>
      <c r="BK486" t="s">
        <v>102</v>
      </c>
      <c r="BL486" t="s">
        <v>221</v>
      </c>
      <c r="BM486" t="s">
        <v>9686</v>
      </c>
      <c r="BN486" t="s">
        <v>74</v>
      </c>
      <c r="BO486" t="s">
        <v>198</v>
      </c>
      <c r="BP486" t="s">
        <v>74</v>
      </c>
      <c r="BQ486" t="s">
        <v>74</v>
      </c>
      <c r="BR486" t="s">
        <v>107</v>
      </c>
      <c r="BS486" t="s">
        <v>9687</v>
      </c>
      <c r="BT486" t="str">
        <f>HYPERLINK("https%3A%2F%2Fwww.webofscience.com%2Fwos%2Fwoscc%2Ffull-record%2FWOS:000460543300002","View Full Record in Web of Science")</f>
        <v>View Full Record in Web of Science</v>
      </c>
    </row>
    <row r="487" spans="1:72" x14ac:dyDescent="0.15">
      <c r="A487" t="s">
        <v>72</v>
      </c>
      <c r="B487" t="s">
        <v>9688</v>
      </c>
      <c r="C487" t="s">
        <v>74</v>
      </c>
      <c r="D487" t="s">
        <v>74</v>
      </c>
      <c r="E487" t="s">
        <v>74</v>
      </c>
      <c r="F487" t="s">
        <v>9689</v>
      </c>
      <c r="G487" t="s">
        <v>74</v>
      </c>
      <c r="H487" t="s">
        <v>74</v>
      </c>
      <c r="I487" t="s">
        <v>9690</v>
      </c>
      <c r="J487" t="s">
        <v>9669</v>
      </c>
      <c r="K487" t="s">
        <v>74</v>
      </c>
      <c r="L487" t="s">
        <v>74</v>
      </c>
      <c r="M487" t="s">
        <v>78</v>
      </c>
      <c r="N487" t="s">
        <v>79</v>
      </c>
      <c r="O487" t="s">
        <v>74</v>
      </c>
      <c r="P487" t="s">
        <v>74</v>
      </c>
      <c r="Q487" t="s">
        <v>74</v>
      </c>
      <c r="R487" t="s">
        <v>74</v>
      </c>
      <c r="S487" t="s">
        <v>74</v>
      </c>
      <c r="T487" t="s">
        <v>9691</v>
      </c>
      <c r="U487" t="s">
        <v>9692</v>
      </c>
      <c r="V487" t="s">
        <v>9693</v>
      </c>
      <c r="W487" t="s">
        <v>9694</v>
      </c>
      <c r="X487" t="s">
        <v>9695</v>
      </c>
      <c r="Y487" t="s">
        <v>9696</v>
      </c>
      <c r="Z487" t="s">
        <v>9697</v>
      </c>
      <c r="AA487" t="s">
        <v>9698</v>
      </c>
      <c r="AB487" t="s">
        <v>9699</v>
      </c>
      <c r="AC487" t="s">
        <v>9700</v>
      </c>
      <c r="AD487" t="s">
        <v>9701</v>
      </c>
      <c r="AE487" t="s">
        <v>9702</v>
      </c>
      <c r="AF487" t="s">
        <v>74</v>
      </c>
      <c r="AG487">
        <v>26</v>
      </c>
      <c r="AH487">
        <v>7</v>
      </c>
      <c r="AI487">
        <v>7</v>
      </c>
      <c r="AJ487">
        <v>0</v>
      </c>
      <c r="AK487">
        <v>5</v>
      </c>
      <c r="AL487" t="s">
        <v>634</v>
      </c>
      <c r="AM487" t="s">
        <v>635</v>
      </c>
      <c r="AN487" t="s">
        <v>636</v>
      </c>
      <c r="AO487" t="s">
        <v>9681</v>
      </c>
      <c r="AP487" t="s">
        <v>9682</v>
      </c>
      <c r="AQ487" t="s">
        <v>74</v>
      </c>
      <c r="AR487" t="s">
        <v>9683</v>
      </c>
      <c r="AS487" t="s">
        <v>9684</v>
      </c>
      <c r="AT487" t="s">
        <v>7895</v>
      </c>
      <c r="AU487">
        <v>2019</v>
      </c>
      <c r="AV487">
        <v>19</v>
      </c>
      <c r="AW487" t="s">
        <v>74</v>
      </c>
      <c r="AX487" t="s">
        <v>74</v>
      </c>
      <c r="AY487" t="s">
        <v>74</v>
      </c>
      <c r="AZ487" t="s">
        <v>74</v>
      </c>
      <c r="BA487" t="s">
        <v>74</v>
      </c>
      <c r="BB487">
        <v>69</v>
      </c>
      <c r="BC487">
        <v>76</v>
      </c>
      <c r="BD487" t="s">
        <v>74</v>
      </c>
      <c r="BE487" t="s">
        <v>9703</v>
      </c>
      <c r="BF487" t="str">
        <f>HYPERLINK("http://dx.doi.org/10.1016/j.polar.2018.11.009","http://dx.doi.org/10.1016/j.polar.2018.11.009")</f>
        <v>http://dx.doi.org/10.1016/j.polar.2018.11.009</v>
      </c>
      <c r="BG487" t="s">
        <v>74</v>
      </c>
      <c r="BH487" t="s">
        <v>74</v>
      </c>
      <c r="BI487">
        <v>8</v>
      </c>
      <c r="BJ487" t="s">
        <v>7476</v>
      </c>
      <c r="BK487" t="s">
        <v>102</v>
      </c>
      <c r="BL487" t="s">
        <v>221</v>
      </c>
      <c r="BM487" t="s">
        <v>9686</v>
      </c>
      <c r="BN487" t="s">
        <v>74</v>
      </c>
      <c r="BO487" t="s">
        <v>198</v>
      </c>
      <c r="BP487" t="s">
        <v>74</v>
      </c>
      <c r="BQ487" t="s">
        <v>74</v>
      </c>
      <c r="BR487" t="s">
        <v>107</v>
      </c>
      <c r="BS487" t="s">
        <v>9704</v>
      </c>
      <c r="BT487" t="str">
        <f>HYPERLINK("https%3A%2F%2Fwww.webofscience.com%2Fwos%2Fwoscc%2Ffull-record%2FWOS:000460543300007","View Full Record in Web of Science")</f>
        <v>View Full Record in Web of Science</v>
      </c>
    </row>
    <row r="488" spans="1:72" x14ac:dyDescent="0.15">
      <c r="A488" t="s">
        <v>72</v>
      </c>
      <c r="B488" t="s">
        <v>9705</v>
      </c>
      <c r="C488" t="s">
        <v>74</v>
      </c>
      <c r="D488" t="s">
        <v>74</v>
      </c>
      <c r="E488" t="s">
        <v>74</v>
      </c>
      <c r="F488" t="s">
        <v>9706</v>
      </c>
      <c r="G488" t="s">
        <v>74</v>
      </c>
      <c r="H488" t="s">
        <v>74</v>
      </c>
      <c r="I488" t="s">
        <v>9707</v>
      </c>
      <c r="J488" t="s">
        <v>9669</v>
      </c>
      <c r="K488" t="s">
        <v>74</v>
      </c>
      <c r="L488" t="s">
        <v>74</v>
      </c>
      <c r="M488" t="s">
        <v>78</v>
      </c>
      <c r="N488" t="s">
        <v>79</v>
      </c>
      <c r="O488" t="s">
        <v>74</v>
      </c>
      <c r="P488" t="s">
        <v>74</v>
      </c>
      <c r="Q488" t="s">
        <v>74</v>
      </c>
      <c r="R488" t="s">
        <v>74</v>
      </c>
      <c r="S488" t="s">
        <v>74</v>
      </c>
      <c r="T488" t="s">
        <v>9708</v>
      </c>
      <c r="U488" t="s">
        <v>9709</v>
      </c>
      <c r="V488" t="s">
        <v>9710</v>
      </c>
      <c r="W488" t="s">
        <v>9711</v>
      </c>
      <c r="X488" t="s">
        <v>9712</v>
      </c>
      <c r="Y488" t="s">
        <v>9713</v>
      </c>
      <c r="Z488" t="s">
        <v>9714</v>
      </c>
      <c r="AA488" t="s">
        <v>9715</v>
      </c>
      <c r="AB488" t="s">
        <v>9716</v>
      </c>
      <c r="AC488" t="s">
        <v>9717</v>
      </c>
      <c r="AD488" t="s">
        <v>7005</v>
      </c>
      <c r="AE488" t="s">
        <v>9718</v>
      </c>
      <c r="AF488" t="s">
        <v>74</v>
      </c>
      <c r="AG488">
        <v>20</v>
      </c>
      <c r="AH488">
        <v>1</v>
      </c>
      <c r="AI488">
        <v>2</v>
      </c>
      <c r="AJ488">
        <v>1</v>
      </c>
      <c r="AK488">
        <v>3</v>
      </c>
      <c r="AL488" t="s">
        <v>662</v>
      </c>
      <c r="AM488" t="s">
        <v>635</v>
      </c>
      <c r="AN488" t="s">
        <v>663</v>
      </c>
      <c r="AO488" t="s">
        <v>9681</v>
      </c>
      <c r="AP488" t="s">
        <v>9682</v>
      </c>
      <c r="AQ488" t="s">
        <v>74</v>
      </c>
      <c r="AR488" t="s">
        <v>9683</v>
      </c>
      <c r="AS488" t="s">
        <v>9684</v>
      </c>
      <c r="AT488" t="s">
        <v>7895</v>
      </c>
      <c r="AU488">
        <v>2019</v>
      </c>
      <c r="AV488">
        <v>19</v>
      </c>
      <c r="AW488" t="s">
        <v>74</v>
      </c>
      <c r="AX488" t="s">
        <v>74</v>
      </c>
      <c r="AY488" t="s">
        <v>74</v>
      </c>
      <c r="AZ488" t="s">
        <v>74</v>
      </c>
      <c r="BA488" t="s">
        <v>74</v>
      </c>
      <c r="BB488">
        <v>77</v>
      </c>
      <c r="BC488">
        <v>85</v>
      </c>
      <c r="BD488" t="s">
        <v>74</v>
      </c>
      <c r="BE488" t="s">
        <v>9719</v>
      </c>
      <c r="BF488" t="str">
        <f>HYPERLINK("http://dx.doi.org/10.1016/j.polar.2018.11.010","http://dx.doi.org/10.1016/j.polar.2018.11.010")</f>
        <v>http://dx.doi.org/10.1016/j.polar.2018.11.010</v>
      </c>
      <c r="BG488" t="s">
        <v>74</v>
      </c>
      <c r="BH488" t="s">
        <v>74</v>
      </c>
      <c r="BI488">
        <v>9</v>
      </c>
      <c r="BJ488" t="s">
        <v>7476</v>
      </c>
      <c r="BK488" t="s">
        <v>102</v>
      </c>
      <c r="BL488" t="s">
        <v>221</v>
      </c>
      <c r="BM488" t="s">
        <v>9686</v>
      </c>
      <c r="BN488" t="s">
        <v>74</v>
      </c>
      <c r="BO488" t="s">
        <v>74</v>
      </c>
      <c r="BP488" t="s">
        <v>74</v>
      </c>
      <c r="BQ488" t="s">
        <v>74</v>
      </c>
      <c r="BR488" t="s">
        <v>107</v>
      </c>
      <c r="BS488" t="s">
        <v>9720</v>
      </c>
      <c r="BT488" t="str">
        <f>HYPERLINK("https%3A%2F%2Fwww.webofscience.com%2Fwos%2Fwoscc%2Ffull-record%2FWOS:000460543300008","View Full Record in Web of Science")</f>
        <v>View Full Record in Web of Science</v>
      </c>
    </row>
    <row r="489" spans="1:72" x14ac:dyDescent="0.15">
      <c r="A489" t="s">
        <v>72</v>
      </c>
      <c r="B489" t="s">
        <v>9721</v>
      </c>
      <c r="C489" t="s">
        <v>74</v>
      </c>
      <c r="D489" t="s">
        <v>74</v>
      </c>
      <c r="E489" t="s">
        <v>74</v>
      </c>
      <c r="F489" t="s">
        <v>9722</v>
      </c>
      <c r="G489" t="s">
        <v>74</v>
      </c>
      <c r="H489" t="s">
        <v>74</v>
      </c>
      <c r="I489" t="s">
        <v>9723</v>
      </c>
      <c r="J489" t="s">
        <v>9669</v>
      </c>
      <c r="K489" t="s">
        <v>74</v>
      </c>
      <c r="L489" t="s">
        <v>74</v>
      </c>
      <c r="M489" t="s">
        <v>78</v>
      </c>
      <c r="N489" t="s">
        <v>79</v>
      </c>
      <c r="O489" t="s">
        <v>74</v>
      </c>
      <c r="P489" t="s">
        <v>74</v>
      </c>
      <c r="Q489" t="s">
        <v>74</v>
      </c>
      <c r="R489" t="s">
        <v>74</v>
      </c>
      <c r="S489" t="s">
        <v>74</v>
      </c>
      <c r="T489" t="s">
        <v>9724</v>
      </c>
      <c r="U489" t="s">
        <v>9725</v>
      </c>
      <c r="V489" t="s">
        <v>9726</v>
      </c>
      <c r="W489" t="s">
        <v>9727</v>
      </c>
      <c r="X489" t="s">
        <v>9728</v>
      </c>
      <c r="Y489" t="s">
        <v>9729</v>
      </c>
      <c r="Z489" t="s">
        <v>9730</v>
      </c>
      <c r="AA489" t="s">
        <v>9731</v>
      </c>
      <c r="AB489" t="s">
        <v>9732</v>
      </c>
      <c r="AC489" t="s">
        <v>9733</v>
      </c>
      <c r="AD489" t="s">
        <v>9734</v>
      </c>
      <c r="AE489" t="s">
        <v>9735</v>
      </c>
      <c r="AF489" t="s">
        <v>74</v>
      </c>
      <c r="AG489">
        <v>35</v>
      </c>
      <c r="AH489">
        <v>1</v>
      </c>
      <c r="AI489">
        <v>1</v>
      </c>
      <c r="AJ489">
        <v>0</v>
      </c>
      <c r="AK489">
        <v>5</v>
      </c>
      <c r="AL489" t="s">
        <v>634</v>
      </c>
      <c r="AM489" t="s">
        <v>635</v>
      </c>
      <c r="AN489" t="s">
        <v>636</v>
      </c>
      <c r="AO489" t="s">
        <v>9681</v>
      </c>
      <c r="AP489" t="s">
        <v>9682</v>
      </c>
      <c r="AQ489" t="s">
        <v>74</v>
      </c>
      <c r="AR489" t="s">
        <v>9683</v>
      </c>
      <c r="AS489" t="s">
        <v>9684</v>
      </c>
      <c r="AT489" t="s">
        <v>7895</v>
      </c>
      <c r="AU489">
        <v>2019</v>
      </c>
      <c r="AV489">
        <v>19</v>
      </c>
      <c r="AW489" t="s">
        <v>74</v>
      </c>
      <c r="AX489" t="s">
        <v>74</v>
      </c>
      <c r="AY489" t="s">
        <v>74</v>
      </c>
      <c r="AZ489" t="s">
        <v>74</v>
      </c>
      <c r="BA489" t="s">
        <v>74</v>
      </c>
      <c r="BB489">
        <v>146</v>
      </c>
      <c r="BC489">
        <v>150</v>
      </c>
      <c r="BD489" t="s">
        <v>74</v>
      </c>
      <c r="BE489" t="s">
        <v>9736</v>
      </c>
      <c r="BF489" t="str">
        <f>HYPERLINK("http://dx.doi.org/10.1016/j.polar.2018.11.003","http://dx.doi.org/10.1016/j.polar.2018.11.003")</f>
        <v>http://dx.doi.org/10.1016/j.polar.2018.11.003</v>
      </c>
      <c r="BG489" t="s">
        <v>74</v>
      </c>
      <c r="BH489" t="s">
        <v>74</v>
      </c>
      <c r="BI489">
        <v>5</v>
      </c>
      <c r="BJ489" t="s">
        <v>7476</v>
      </c>
      <c r="BK489" t="s">
        <v>102</v>
      </c>
      <c r="BL489" t="s">
        <v>221</v>
      </c>
      <c r="BM489" t="s">
        <v>9686</v>
      </c>
      <c r="BN489" t="s">
        <v>74</v>
      </c>
      <c r="BO489" t="s">
        <v>74</v>
      </c>
      <c r="BP489" t="s">
        <v>74</v>
      </c>
      <c r="BQ489" t="s">
        <v>74</v>
      </c>
      <c r="BR489" t="s">
        <v>107</v>
      </c>
      <c r="BS489" t="s">
        <v>9737</v>
      </c>
      <c r="BT489" t="str">
        <f>HYPERLINK("https%3A%2F%2Fwww.webofscience.com%2Fwos%2Fwoscc%2Ffull-record%2FWOS:000460543300015","View Full Record in Web of Science")</f>
        <v>View Full Record in Web of Science</v>
      </c>
    </row>
    <row r="490" spans="1:72" x14ac:dyDescent="0.15">
      <c r="A490" t="s">
        <v>72</v>
      </c>
      <c r="B490" t="s">
        <v>9738</v>
      </c>
      <c r="C490" t="s">
        <v>74</v>
      </c>
      <c r="D490" t="s">
        <v>74</v>
      </c>
      <c r="E490" t="s">
        <v>74</v>
      </c>
      <c r="F490" t="s">
        <v>9739</v>
      </c>
      <c r="G490" t="s">
        <v>74</v>
      </c>
      <c r="H490" t="s">
        <v>74</v>
      </c>
      <c r="I490" t="s">
        <v>9740</v>
      </c>
      <c r="J490" t="s">
        <v>9669</v>
      </c>
      <c r="K490" t="s">
        <v>74</v>
      </c>
      <c r="L490" t="s">
        <v>74</v>
      </c>
      <c r="M490" t="s">
        <v>78</v>
      </c>
      <c r="N490" t="s">
        <v>79</v>
      </c>
      <c r="O490" t="s">
        <v>74</v>
      </c>
      <c r="P490" t="s">
        <v>74</v>
      </c>
      <c r="Q490" t="s">
        <v>74</v>
      </c>
      <c r="R490" t="s">
        <v>74</v>
      </c>
      <c r="S490" t="s">
        <v>74</v>
      </c>
      <c r="T490" t="s">
        <v>9741</v>
      </c>
      <c r="U490" t="s">
        <v>9742</v>
      </c>
      <c r="V490" t="s">
        <v>9743</v>
      </c>
      <c r="W490" t="s">
        <v>9744</v>
      </c>
      <c r="X490" t="s">
        <v>9745</v>
      </c>
      <c r="Y490" t="s">
        <v>9746</v>
      </c>
      <c r="Z490" t="s">
        <v>9747</v>
      </c>
      <c r="AA490" t="s">
        <v>9748</v>
      </c>
      <c r="AB490" t="s">
        <v>9749</v>
      </c>
      <c r="AC490" t="s">
        <v>74</v>
      </c>
      <c r="AD490" t="s">
        <v>74</v>
      </c>
      <c r="AE490" t="s">
        <v>74</v>
      </c>
      <c r="AF490" t="s">
        <v>74</v>
      </c>
      <c r="AG490">
        <v>22</v>
      </c>
      <c r="AH490">
        <v>4</v>
      </c>
      <c r="AI490">
        <v>4</v>
      </c>
      <c r="AJ490">
        <v>0</v>
      </c>
      <c r="AK490">
        <v>7</v>
      </c>
      <c r="AL490" t="s">
        <v>662</v>
      </c>
      <c r="AM490" t="s">
        <v>635</v>
      </c>
      <c r="AN490" t="s">
        <v>663</v>
      </c>
      <c r="AO490" t="s">
        <v>9681</v>
      </c>
      <c r="AP490" t="s">
        <v>9682</v>
      </c>
      <c r="AQ490" t="s">
        <v>74</v>
      </c>
      <c r="AR490" t="s">
        <v>9683</v>
      </c>
      <c r="AS490" t="s">
        <v>9684</v>
      </c>
      <c r="AT490" t="s">
        <v>7895</v>
      </c>
      <c r="AU490">
        <v>2019</v>
      </c>
      <c r="AV490">
        <v>19</v>
      </c>
      <c r="AW490" t="s">
        <v>74</v>
      </c>
      <c r="AX490" t="s">
        <v>74</v>
      </c>
      <c r="AY490" t="s">
        <v>74</v>
      </c>
      <c r="AZ490" t="s">
        <v>74</v>
      </c>
      <c r="BA490" t="s">
        <v>74</v>
      </c>
      <c r="BB490">
        <v>151</v>
      </c>
      <c r="BC490">
        <v>154</v>
      </c>
      <c r="BD490" t="s">
        <v>74</v>
      </c>
      <c r="BE490" t="s">
        <v>9750</v>
      </c>
      <c r="BF490" t="str">
        <f>HYPERLINK("http://dx.doi.org/10.1016/j.polar.2018.11.001","http://dx.doi.org/10.1016/j.polar.2018.11.001")</f>
        <v>http://dx.doi.org/10.1016/j.polar.2018.11.001</v>
      </c>
      <c r="BG490" t="s">
        <v>74</v>
      </c>
      <c r="BH490" t="s">
        <v>74</v>
      </c>
      <c r="BI490">
        <v>4</v>
      </c>
      <c r="BJ490" t="s">
        <v>7476</v>
      </c>
      <c r="BK490" t="s">
        <v>102</v>
      </c>
      <c r="BL490" t="s">
        <v>221</v>
      </c>
      <c r="BM490" t="s">
        <v>9686</v>
      </c>
      <c r="BN490" t="s">
        <v>74</v>
      </c>
      <c r="BO490" t="s">
        <v>74</v>
      </c>
      <c r="BP490" t="s">
        <v>74</v>
      </c>
      <c r="BQ490" t="s">
        <v>74</v>
      </c>
      <c r="BR490" t="s">
        <v>107</v>
      </c>
      <c r="BS490" t="s">
        <v>9751</v>
      </c>
      <c r="BT490" t="str">
        <f>HYPERLINK("https%3A%2F%2Fwww.webofscience.com%2Fwos%2Fwoscc%2Ffull-record%2FWOS:000460543300016","View Full Record in Web of Science")</f>
        <v>View Full Record in Web of Science</v>
      </c>
    </row>
    <row r="491" spans="1:72" x14ac:dyDescent="0.15">
      <c r="A491" t="s">
        <v>72</v>
      </c>
      <c r="B491" t="s">
        <v>9752</v>
      </c>
      <c r="C491" t="s">
        <v>74</v>
      </c>
      <c r="D491" t="s">
        <v>74</v>
      </c>
      <c r="E491" t="s">
        <v>74</v>
      </c>
      <c r="F491" t="s">
        <v>9753</v>
      </c>
      <c r="G491" t="s">
        <v>74</v>
      </c>
      <c r="H491" t="s">
        <v>74</v>
      </c>
      <c r="I491" t="s">
        <v>9754</v>
      </c>
      <c r="J491" t="s">
        <v>368</v>
      </c>
      <c r="K491" t="s">
        <v>74</v>
      </c>
      <c r="L491" t="s">
        <v>74</v>
      </c>
      <c r="M491" t="s">
        <v>78</v>
      </c>
      <c r="N491" t="s">
        <v>79</v>
      </c>
      <c r="O491" t="s">
        <v>74</v>
      </c>
      <c r="P491" t="s">
        <v>74</v>
      </c>
      <c r="Q491" t="s">
        <v>74</v>
      </c>
      <c r="R491" t="s">
        <v>74</v>
      </c>
      <c r="S491" t="s">
        <v>74</v>
      </c>
      <c r="T491" t="s">
        <v>9755</v>
      </c>
      <c r="U491" t="s">
        <v>9756</v>
      </c>
      <c r="V491" t="s">
        <v>9757</v>
      </c>
      <c r="W491" t="s">
        <v>9758</v>
      </c>
      <c r="X491" t="s">
        <v>9759</v>
      </c>
      <c r="Y491" t="s">
        <v>9760</v>
      </c>
      <c r="Z491" t="s">
        <v>9761</v>
      </c>
      <c r="AA491" t="s">
        <v>9762</v>
      </c>
      <c r="AB491" t="s">
        <v>9763</v>
      </c>
      <c r="AC491" t="s">
        <v>9764</v>
      </c>
      <c r="AD491" t="s">
        <v>9765</v>
      </c>
      <c r="AE491" t="s">
        <v>9766</v>
      </c>
      <c r="AF491" t="s">
        <v>74</v>
      </c>
      <c r="AG491">
        <v>101</v>
      </c>
      <c r="AH491">
        <v>11</v>
      </c>
      <c r="AI491">
        <v>12</v>
      </c>
      <c r="AJ491">
        <v>1</v>
      </c>
      <c r="AK491">
        <v>24</v>
      </c>
      <c r="AL491" t="s">
        <v>378</v>
      </c>
      <c r="AM491" t="s">
        <v>93</v>
      </c>
      <c r="AN491" t="s">
        <v>379</v>
      </c>
      <c r="AO491" t="s">
        <v>380</v>
      </c>
      <c r="AP491" t="s">
        <v>74</v>
      </c>
      <c r="AQ491" t="s">
        <v>74</v>
      </c>
      <c r="AR491" t="s">
        <v>381</v>
      </c>
      <c r="AS491" t="s">
        <v>382</v>
      </c>
      <c r="AT491" t="s">
        <v>7895</v>
      </c>
      <c r="AU491">
        <v>2019</v>
      </c>
      <c r="AV491">
        <v>172</v>
      </c>
      <c r="AW491" t="s">
        <v>74</v>
      </c>
      <c r="AX491" t="s">
        <v>74</v>
      </c>
      <c r="AY491" t="s">
        <v>74</v>
      </c>
      <c r="AZ491" t="s">
        <v>74</v>
      </c>
      <c r="BA491" t="s">
        <v>74</v>
      </c>
      <c r="BB491">
        <v>77</v>
      </c>
      <c r="BC491">
        <v>88</v>
      </c>
      <c r="BD491" t="s">
        <v>74</v>
      </c>
      <c r="BE491" t="s">
        <v>9767</v>
      </c>
      <c r="BF491" t="str">
        <f>HYPERLINK("http://dx.doi.org/10.1016/j.pocean.2019.01.008","http://dx.doi.org/10.1016/j.pocean.2019.01.008")</f>
        <v>http://dx.doi.org/10.1016/j.pocean.2019.01.008</v>
      </c>
      <c r="BG491" t="s">
        <v>74</v>
      </c>
      <c r="BH491" t="s">
        <v>74</v>
      </c>
      <c r="BI491">
        <v>12</v>
      </c>
      <c r="BJ491" t="s">
        <v>277</v>
      </c>
      <c r="BK491" t="s">
        <v>102</v>
      </c>
      <c r="BL491" t="s">
        <v>277</v>
      </c>
      <c r="BM491" t="s">
        <v>9768</v>
      </c>
      <c r="BN491" t="s">
        <v>74</v>
      </c>
      <c r="BO491" t="s">
        <v>198</v>
      </c>
      <c r="BP491" t="s">
        <v>74</v>
      </c>
      <c r="BQ491" t="s">
        <v>74</v>
      </c>
      <c r="BR491" t="s">
        <v>107</v>
      </c>
      <c r="BS491" t="s">
        <v>9769</v>
      </c>
      <c r="BT491" t="str">
        <f>HYPERLINK("https%3A%2F%2Fwww.webofscience.com%2Fwos%2Fwoscc%2Ffull-record%2FWOS:000460493500006","View Full Record in Web of Science")</f>
        <v>View Full Record in Web of Science</v>
      </c>
    </row>
    <row r="492" spans="1:72" x14ac:dyDescent="0.15">
      <c r="A492" t="s">
        <v>72</v>
      </c>
      <c r="B492" t="s">
        <v>9770</v>
      </c>
      <c r="C492" t="s">
        <v>74</v>
      </c>
      <c r="D492" t="s">
        <v>74</v>
      </c>
      <c r="E492" t="s">
        <v>74</v>
      </c>
      <c r="F492" t="s">
        <v>9771</v>
      </c>
      <c r="G492" t="s">
        <v>74</v>
      </c>
      <c r="H492" t="s">
        <v>74</v>
      </c>
      <c r="I492" t="s">
        <v>9772</v>
      </c>
      <c r="J492" t="s">
        <v>368</v>
      </c>
      <c r="K492" t="s">
        <v>74</v>
      </c>
      <c r="L492" t="s">
        <v>74</v>
      </c>
      <c r="M492" t="s">
        <v>78</v>
      </c>
      <c r="N492" t="s">
        <v>79</v>
      </c>
      <c r="O492" t="s">
        <v>74</v>
      </c>
      <c r="P492" t="s">
        <v>74</v>
      </c>
      <c r="Q492" t="s">
        <v>74</v>
      </c>
      <c r="R492" t="s">
        <v>74</v>
      </c>
      <c r="S492" t="s">
        <v>74</v>
      </c>
      <c r="T492" t="s">
        <v>9773</v>
      </c>
      <c r="U492" t="s">
        <v>9774</v>
      </c>
      <c r="V492" t="s">
        <v>9775</v>
      </c>
      <c r="W492" t="s">
        <v>9776</v>
      </c>
      <c r="X492" t="s">
        <v>9777</v>
      </c>
      <c r="Y492" t="s">
        <v>9778</v>
      </c>
      <c r="Z492" t="s">
        <v>9779</v>
      </c>
      <c r="AA492" t="s">
        <v>9780</v>
      </c>
      <c r="AB492" t="s">
        <v>9781</v>
      </c>
      <c r="AC492" t="s">
        <v>9782</v>
      </c>
      <c r="AD492" t="s">
        <v>9783</v>
      </c>
      <c r="AE492" t="s">
        <v>9784</v>
      </c>
      <c r="AF492" t="s">
        <v>74</v>
      </c>
      <c r="AG492">
        <v>82</v>
      </c>
      <c r="AH492">
        <v>14</v>
      </c>
      <c r="AI492">
        <v>14</v>
      </c>
      <c r="AJ492">
        <v>1</v>
      </c>
      <c r="AK492">
        <v>36</v>
      </c>
      <c r="AL492" t="s">
        <v>378</v>
      </c>
      <c r="AM492" t="s">
        <v>93</v>
      </c>
      <c r="AN492" t="s">
        <v>379</v>
      </c>
      <c r="AO492" t="s">
        <v>380</v>
      </c>
      <c r="AP492" t="s">
        <v>401</v>
      </c>
      <c r="AQ492" t="s">
        <v>74</v>
      </c>
      <c r="AR492" t="s">
        <v>381</v>
      </c>
      <c r="AS492" t="s">
        <v>382</v>
      </c>
      <c r="AT492" t="s">
        <v>7895</v>
      </c>
      <c r="AU492">
        <v>2019</v>
      </c>
      <c r="AV492">
        <v>172</v>
      </c>
      <c r="AW492" t="s">
        <v>74</v>
      </c>
      <c r="AX492" t="s">
        <v>74</v>
      </c>
      <c r="AY492" t="s">
        <v>74</v>
      </c>
      <c r="AZ492" t="s">
        <v>74</v>
      </c>
      <c r="BA492" t="s">
        <v>74</v>
      </c>
      <c r="BB492">
        <v>89</v>
      </c>
      <c r="BC492">
        <v>107</v>
      </c>
      <c r="BD492" t="s">
        <v>74</v>
      </c>
      <c r="BE492" t="s">
        <v>9785</v>
      </c>
      <c r="BF492" t="str">
        <f>HYPERLINK("http://dx.doi.org/10.1016/j.pocean.2019.01.006","http://dx.doi.org/10.1016/j.pocean.2019.01.006")</f>
        <v>http://dx.doi.org/10.1016/j.pocean.2019.01.006</v>
      </c>
      <c r="BG492" t="s">
        <v>74</v>
      </c>
      <c r="BH492" t="s">
        <v>74</v>
      </c>
      <c r="BI492">
        <v>19</v>
      </c>
      <c r="BJ492" t="s">
        <v>277</v>
      </c>
      <c r="BK492" t="s">
        <v>102</v>
      </c>
      <c r="BL492" t="s">
        <v>277</v>
      </c>
      <c r="BM492" t="s">
        <v>9768</v>
      </c>
      <c r="BN492" t="s">
        <v>74</v>
      </c>
      <c r="BO492" t="s">
        <v>925</v>
      </c>
      <c r="BP492" t="s">
        <v>74</v>
      </c>
      <c r="BQ492" t="s">
        <v>74</v>
      </c>
      <c r="BR492" t="s">
        <v>107</v>
      </c>
      <c r="BS492" t="s">
        <v>9786</v>
      </c>
      <c r="BT492" t="str">
        <f>HYPERLINK("https%3A%2F%2Fwww.webofscience.com%2Fwos%2Fwoscc%2Ffull-record%2FWOS:000460493500007","View Full Record in Web of Science")</f>
        <v>View Full Record in Web of Science</v>
      </c>
    </row>
    <row r="493" spans="1:72" x14ac:dyDescent="0.15">
      <c r="A493" t="s">
        <v>72</v>
      </c>
      <c r="B493" t="s">
        <v>9787</v>
      </c>
      <c r="C493" t="s">
        <v>74</v>
      </c>
      <c r="D493" t="s">
        <v>74</v>
      </c>
      <c r="E493" t="s">
        <v>74</v>
      </c>
      <c r="F493" t="s">
        <v>9788</v>
      </c>
      <c r="G493" t="s">
        <v>74</v>
      </c>
      <c r="H493" t="s">
        <v>74</v>
      </c>
      <c r="I493" t="s">
        <v>9789</v>
      </c>
      <c r="J493" t="s">
        <v>9790</v>
      </c>
      <c r="K493" t="s">
        <v>74</v>
      </c>
      <c r="L493" t="s">
        <v>74</v>
      </c>
      <c r="M493" t="s">
        <v>78</v>
      </c>
      <c r="N493" t="s">
        <v>79</v>
      </c>
      <c r="O493" t="s">
        <v>74</v>
      </c>
      <c r="P493" t="s">
        <v>74</v>
      </c>
      <c r="Q493" t="s">
        <v>74</v>
      </c>
      <c r="R493" t="s">
        <v>74</v>
      </c>
      <c r="S493" t="s">
        <v>74</v>
      </c>
      <c r="T493" t="s">
        <v>9791</v>
      </c>
      <c r="U493" t="s">
        <v>9792</v>
      </c>
      <c r="V493" t="s">
        <v>9793</v>
      </c>
      <c r="W493" t="s">
        <v>9794</v>
      </c>
      <c r="X493" t="s">
        <v>9795</v>
      </c>
      <c r="Y493" t="s">
        <v>9796</v>
      </c>
      <c r="Z493" t="s">
        <v>9797</v>
      </c>
      <c r="AA493" t="s">
        <v>9798</v>
      </c>
      <c r="AB493" t="s">
        <v>9799</v>
      </c>
      <c r="AC493" t="s">
        <v>9800</v>
      </c>
      <c r="AD493" t="s">
        <v>9801</v>
      </c>
      <c r="AE493" t="s">
        <v>9802</v>
      </c>
      <c r="AF493" t="s">
        <v>74</v>
      </c>
      <c r="AG493">
        <v>49</v>
      </c>
      <c r="AH493">
        <v>0</v>
      </c>
      <c r="AI493">
        <v>0</v>
      </c>
      <c r="AJ493">
        <v>0</v>
      </c>
      <c r="AK493">
        <v>3</v>
      </c>
      <c r="AL493" t="s">
        <v>576</v>
      </c>
      <c r="AM493" t="s">
        <v>607</v>
      </c>
      <c r="AN493" t="s">
        <v>3493</v>
      </c>
      <c r="AO493" t="s">
        <v>9803</v>
      </c>
      <c r="AP493" t="s">
        <v>9804</v>
      </c>
      <c r="AQ493" t="s">
        <v>74</v>
      </c>
      <c r="AR493" t="s">
        <v>9805</v>
      </c>
      <c r="AS493" t="s">
        <v>9806</v>
      </c>
      <c r="AT493" t="s">
        <v>7895</v>
      </c>
      <c r="AU493">
        <v>2019</v>
      </c>
      <c r="AV493">
        <v>34</v>
      </c>
      <c r="AW493">
        <v>1</v>
      </c>
      <c r="AX493" t="s">
        <v>74</v>
      </c>
      <c r="AY493" t="s">
        <v>74</v>
      </c>
      <c r="AZ493" t="s">
        <v>74</v>
      </c>
      <c r="BA493" t="s">
        <v>74</v>
      </c>
      <c r="BB493">
        <v>133</v>
      </c>
      <c r="BC493">
        <v>142</v>
      </c>
      <c r="BD493" t="s">
        <v>74</v>
      </c>
      <c r="BE493" t="s">
        <v>9807</v>
      </c>
      <c r="BF493" t="str">
        <f>HYPERLINK("http://dx.doi.org/10.1007/s13146-018-0455-9","http://dx.doi.org/10.1007/s13146-018-0455-9")</f>
        <v>http://dx.doi.org/10.1007/s13146-018-0455-9</v>
      </c>
      <c r="BG493" t="s">
        <v>74</v>
      </c>
      <c r="BH493" t="s">
        <v>74</v>
      </c>
      <c r="BI493">
        <v>10</v>
      </c>
      <c r="BJ493" t="s">
        <v>923</v>
      </c>
      <c r="BK493" t="s">
        <v>102</v>
      </c>
      <c r="BL493" t="s">
        <v>923</v>
      </c>
      <c r="BM493" t="s">
        <v>9808</v>
      </c>
      <c r="BN493" t="s">
        <v>74</v>
      </c>
      <c r="BO493" t="s">
        <v>74</v>
      </c>
      <c r="BP493" t="s">
        <v>74</v>
      </c>
      <c r="BQ493" t="s">
        <v>74</v>
      </c>
      <c r="BR493" t="s">
        <v>107</v>
      </c>
      <c r="BS493" t="s">
        <v>9809</v>
      </c>
      <c r="BT493" t="str">
        <f>HYPERLINK("https%3A%2F%2Fwww.webofscience.com%2Fwos%2Fwoscc%2Ffull-record%2FWOS:000460049000011","View Full Record in Web of Science")</f>
        <v>View Full Record in Web of Science</v>
      </c>
    </row>
    <row r="494" spans="1:72" x14ac:dyDescent="0.15">
      <c r="A494" t="s">
        <v>72</v>
      </c>
      <c r="B494" t="s">
        <v>9810</v>
      </c>
      <c r="C494" t="s">
        <v>74</v>
      </c>
      <c r="D494" t="s">
        <v>74</v>
      </c>
      <c r="E494" t="s">
        <v>74</v>
      </c>
      <c r="F494" t="s">
        <v>9811</v>
      </c>
      <c r="G494" t="s">
        <v>74</v>
      </c>
      <c r="H494" t="s">
        <v>74</v>
      </c>
      <c r="I494" t="s">
        <v>9812</v>
      </c>
      <c r="J494" t="s">
        <v>9813</v>
      </c>
      <c r="K494" t="s">
        <v>74</v>
      </c>
      <c r="L494" t="s">
        <v>74</v>
      </c>
      <c r="M494" t="s">
        <v>78</v>
      </c>
      <c r="N494" t="s">
        <v>79</v>
      </c>
      <c r="O494" t="s">
        <v>74</v>
      </c>
      <c r="P494" t="s">
        <v>74</v>
      </c>
      <c r="Q494" t="s">
        <v>74</v>
      </c>
      <c r="R494" t="s">
        <v>74</v>
      </c>
      <c r="S494" t="s">
        <v>74</v>
      </c>
      <c r="T494" t="s">
        <v>9814</v>
      </c>
      <c r="U494" t="s">
        <v>74</v>
      </c>
      <c r="V494" t="s">
        <v>9815</v>
      </c>
      <c r="W494" t="s">
        <v>9816</v>
      </c>
      <c r="X494" t="s">
        <v>9817</v>
      </c>
      <c r="Y494" t="s">
        <v>9818</v>
      </c>
      <c r="Z494" t="s">
        <v>9819</v>
      </c>
      <c r="AA494" t="s">
        <v>9820</v>
      </c>
      <c r="AB494" t="s">
        <v>9821</v>
      </c>
      <c r="AC494" t="s">
        <v>9822</v>
      </c>
      <c r="AD494" t="s">
        <v>9823</v>
      </c>
      <c r="AE494" t="s">
        <v>9824</v>
      </c>
      <c r="AF494" t="s">
        <v>74</v>
      </c>
      <c r="AG494">
        <v>20</v>
      </c>
      <c r="AH494">
        <v>3</v>
      </c>
      <c r="AI494">
        <v>3</v>
      </c>
      <c r="AJ494">
        <v>0</v>
      </c>
      <c r="AK494">
        <v>14</v>
      </c>
      <c r="AL494" t="s">
        <v>576</v>
      </c>
      <c r="AM494" t="s">
        <v>577</v>
      </c>
      <c r="AN494" t="s">
        <v>578</v>
      </c>
      <c r="AO494" t="s">
        <v>9825</v>
      </c>
      <c r="AP494" t="s">
        <v>9826</v>
      </c>
      <c r="AQ494" t="s">
        <v>74</v>
      </c>
      <c r="AR494" t="s">
        <v>9827</v>
      </c>
      <c r="AS494" t="s">
        <v>9828</v>
      </c>
      <c r="AT494" t="s">
        <v>7895</v>
      </c>
      <c r="AU494">
        <v>2019</v>
      </c>
      <c r="AV494">
        <v>11</v>
      </c>
      <c r="AW494">
        <v>1</v>
      </c>
      <c r="AX494" t="s">
        <v>74</v>
      </c>
      <c r="AY494" t="s">
        <v>74</v>
      </c>
      <c r="AZ494" t="s">
        <v>74</v>
      </c>
      <c r="BA494" t="s">
        <v>74</v>
      </c>
      <c r="BB494">
        <v>23</v>
      </c>
      <c r="BC494">
        <v>26</v>
      </c>
      <c r="BD494" t="s">
        <v>74</v>
      </c>
      <c r="BE494" t="s">
        <v>9829</v>
      </c>
      <c r="BF494" t="str">
        <f>HYPERLINK("http://dx.doi.org/10.1007/s12686-017-0954-3","http://dx.doi.org/10.1007/s12686-017-0954-3")</f>
        <v>http://dx.doi.org/10.1007/s12686-017-0954-3</v>
      </c>
      <c r="BG494" t="s">
        <v>74</v>
      </c>
      <c r="BH494" t="s">
        <v>74</v>
      </c>
      <c r="BI494">
        <v>4</v>
      </c>
      <c r="BJ494" t="s">
        <v>9830</v>
      </c>
      <c r="BK494" t="s">
        <v>102</v>
      </c>
      <c r="BL494" t="s">
        <v>9831</v>
      </c>
      <c r="BM494" t="s">
        <v>9832</v>
      </c>
      <c r="BN494" t="s">
        <v>74</v>
      </c>
      <c r="BO494" t="s">
        <v>74</v>
      </c>
      <c r="BP494" t="s">
        <v>74</v>
      </c>
      <c r="BQ494" t="s">
        <v>74</v>
      </c>
      <c r="BR494" t="s">
        <v>107</v>
      </c>
      <c r="BS494" t="s">
        <v>9833</v>
      </c>
      <c r="BT494" t="str">
        <f>HYPERLINK("https%3A%2F%2Fwww.webofscience.com%2Fwos%2Fwoscc%2Ffull-record%2FWOS:000460097500006","View Full Record in Web of Science")</f>
        <v>View Full Record in Web of Science</v>
      </c>
    </row>
    <row r="495" spans="1:72" x14ac:dyDescent="0.15">
      <c r="A495" t="s">
        <v>72</v>
      </c>
      <c r="B495" t="s">
        <v>9834</v>
      </c>
      <c r="C495" t="s">
        <v>74</v>
      </c>
      <c r="D495" t="s">
        <v>74</v>
      </c>
      <c r="E495" t="s">
        <v>74</v>
      </c>
      <c r="F495" t="s">
        <v>9835</v>
      </c>
      <c r="G495" t="s">
        <v>74</v>
      </c>
      <c r="H495" t="s">
        <v>74</v>
      </c>
      <c r="I495" t="s">
        <v>9836</v>
      </c>
      <c r="J495" t="s">
        <v>9837</v>
      </c>
      <c r="K495" t="s">
        <v>74</v>
      </c>
      <c r="L495" t="s">
        <v>74</v>
      </c>
      <c r="M495" t="s">
        <v>78</v>
      </c>
      <c r="N495" t="s">
        <v>469</v>
      </c>
      <c r="O495" t="s">
        <v>74</v>
      </c>
      <c r="P495" t="s">
        <v>74</v>
      </c>
      <c r="Q495" t="s">
        <v>74</v>
      </c>
      <c r="R495" t="s">
        <v>74</v>
      </c>
      <c r="S495" t="s">
        <v>74</v>
      </c>
      <c r="T495" t="s">
        <v>9838</v>
      </c>
      <c r="U495" t="s">
        <v>9839</v>
      </c>
      <c r="V495" t="s">
        <v>9840</v>
      </c>
      <c r="W495" t="s">
        <v>9841</v>
      </c>
      <c r="X495" t="s">
        <v>9842</v>
      </c>
      <c r="Y495" t="s">
        <v>9843</v>
      </c>
      <c r="Z495" t="s">
        <v>9844</v>
      </c>
      <c r="AA495" t="s">
        <v>9845</v>
      </c>
      <c r="AB495" t="s">
        <v>9846</v>
      </c>
      <c r="AC495" t="s">
        <v>9847</v>
      </c>
      <c r="AD495" t="s">
        <v>9848</v>
      </c>
      <c r="AE495" t="s">
        <v>9849</v>
      </c>
      <c r="AF495" t="s">
        <v>74</v>
      </c>
      <c r="AG495">
        <v>115</v>
      </c>
      <c r="AH495">
        <v>34</v>
      </c>
      <c r="AI495">
        <v>38</v>
      </c>
      <c r="AJ495">
        <v>3</v>
      </c>
      <c r="AK495">
        <v>39</v>
      </c>
      <c r="AL495" t="s">
        <v>153</v>
      </c>
      <c r="AM495" t="s">
        <v>154</v>
      </c>
      <c r="AN495" t="s">
        <v>155</v>
      </c>
      <c r="AO495" t="s">
        <v>9850</v>
      </c>
      <c r="AP495" t="s">
        <v>9851</v>
      </c>
      <c r="AQ495" t="s">
        <v>74</v>
      </c>
      <c r="AR495" t="s">
        <v>9852</v>
      </c>
      <c r="AS495" t="s">
        <v>9853</v>
      </c>
      <c r="AT495" t="s">
        <v>7895</v>
      </c>
      <c r="AU495">
        <v>2019</v>
      </c>
      <c r="AV495">
        <v>286</v>
      </c>
      <c r="AW495">
        <v>5</v>
      </c>
      <c r="AX495" t="s">
        <v>74</v>
      </c>
      <c r="AY495" t="s">
        <v>74</v>
      </c>
      <c r="AZ495" t="s">
        <v>74</v>
      </c>
      <c r="BA495" t="s">
        <v>74</v>
      </c>
      <c r="BB495">
        <v>855</v>
      </c>
      <c r="BC495">
        <v>873</v>
      </c>
      <c r="BD495" t="s">
        <v>74</v>
      </c>
      <c r="BE495" t="s">
        <v>9854</v>
      </c>
      <c r="BF495" t="str">
        <f>HYPERLINK("http://dx.doi.org/10.1111/febs.14764","http://dx.doi.org/10.1111/febs.14764")</f>
        <v>http://dx.doi.org/10.1111/febs.14764</v>
      </c>
      <c r="BG495" t="s">
        <v>74</v>
      </c>
      <c r="BH495" t="s">
        <v>74</v>
      </c>
      <c r="BI495">
        <v>19</v>
      </c>
      <c r="BJ495" t="s">
        <v>9855</v>
      </c>
      <c r="BK495" t="s">
        <v>102</v>
      </c>
      <c r="BL495" t="s">
        <v>9855</v>
      </c>
      <c r="BM495" t="s">
        <v>9856</v>
      </c>
      <c r="BN495">
        <v>30680879</v>
      </c>
      <c r="BO495" t="s">
        <v>2764</v>
      </c>
      <c r="BP495" t="s">
        <v>74</v>
      </c>
      <c r="BQ495" t="s">
        <v>74</v>
      </c>
      <c r="BR495" t="s">
        <v>107</v>
      </c>
      <c r="BS495" t="s">
        <v>9857</v>
      </c>
      <c r="BT495" t="str">
        <f>HYPERLINK("https%3A%2F%2Fwww.webofscience.com%2Fwos%2Fwoscc%2Ffull-record%2FWOS:000460306800002","View Full Record in Web of Science")</f>
        <v>View Full Record in Web of Science</v>
      </c>
    </row>
    <row r="496" spans="1:72" x14ac:dyDescent="0.15">
      <c r="A496" t="s">
        <v>72</v>
      </c>
      <c r="B496" t="s">
        <v>9858</v>
      </c>
      <c r="C496" t="s">
        <v>74</v>
      </c>
      <c r="D496" t="s">
        <v>74</v>
      </c>
      <c r="E496" t="s">
        <v>74</v>
      </c>
      <c r="F496" t="s">
        <v>9859</v>
      </c>
      <c r="G496" t="s">
        <v>74</v>
      </c>
      <c r="H496" t="s">
        <v>74</v>
      </c>
      <c r="I496" t="s">
        <v>9860</v>
      </c>
      <c r="J496" t="s">
        <v>9861</v>
      </c>
      <c r="K496" t="s">
        <v>74</v>
      </c>
      <c r="L496" t="s">
        <v>74</v>
      </c>
      <c r="M496" t="s">
        <v>78</v>
      </c>
      <c r="N496" t="s">
        <v>79</v>
      </c>
      <c r="O496" t="s">
        <v>74</v>
      </c>
      <c r="P496" t="s">
        <v>74</v>
      </c>
      <c r="Q496" t="s">
        <v>74</v>
      </c>
      <c r="R496" t="s">
        <v>74</v>
      </c>
      <c r="S496" t="s">
        <v>74</v>
      </c>
      <c r="T496" t="s">
        <v>9862</v>
      </c>
      <c r="U496" t="s">
        <v>9863</v>
      </c>
      <c r="V496" t="s">
        <v>9864</v>
      </c>
      <c r="W496" t="s">
        <v>9865</v>
      </c>
      <c r="X496" t="s">
        <v>9866</v>
      </c>
      <c r="Y496" t="s">
        <v>9867</v>
      </c>
      <c r="Z496" t="s">
        <v>9868</v>
      </c>
      <c r="AA496" t="s">
        <v>9869</v>
      </c>
      <c r="AB496" t="s">
        <v>9870</v>
      </c>
      <c r="AC496" t="s">
        <v>9871</v>
      </c>
      <c r="AD496" t="s">
        <v>9872</v>
      </c>
      <c r="AE496" t="s">
        <v>9873</v>
      </c>
      <c r="AF496" t="s">
        <v>74</v>
      </c>
      <c r="AG496">
        <v>19</v>
      </c>
      <c r="AH496">
        <v>27</v>
      </c>
      <c r="AI496">
        <v>30</v>
      </c>
      <c r="AJ496">
        <v>3</v>
      </c>
      <c r="AK496">
        <v>9</v>
      </c>
      <c r="AL496" t="s">
        <v>4638</v>
      </c>
      <c r="AM496" t="s">
        <v>4639</v>
      </c>
      <c r="AN496" t="s">
        <v>4640</v>
      </c>
      <c r="AO496" t="s">
        <v>9874</v>
      </c>
      <c r="AP496" t="s">
        <v>9875</v>
      </c>
      <c r="AQ496" t="s">
        <v>74</v>
      </c>
      <c r="AR496" t="s">
        <v>9876</v>
      </c>
      <c r="AS496" t="s">
        <v>9877</v>
      </c>
      <c r="AT496" t="s">
        <v>7895</v>
      </c>
      <c r="AU496">
        <v>2019</v>
      </c>
      <c r="AV496">
        <v>16</v>
      </c>
      <c r="AW496">
        <v>3</v>
      </c>
      <c r="AX496" t="s">
        <v>74</v>
      </c>
      <c r="AY496" t="s">
        <v>74</v>
      </c>
      <c r="AZ496" t="s">
        <v>74</v>
      </c>
      <c r="BA496" t="s">
        <v>74</v>
      </c>
      <c r="BB496">
        <v>342</v>
      </c>
      <c r="BC496">
        <v>346</v>
      </c>
      <c r="BD496" t="s">
        <v>74</v>
      </c>
      <c r="BE496" t="s">
        <v>9878</v>
      </c>
      <c r="BF496" t="str">
        <f>HYPERLINK("http://dx.doi.org/10.1109/LGRS.2018.2875007","http://dx.doi.org/10.1109/LGRS.2018.2875007")</f>
        <v>http://dx.doi.org/10.1109/LGRS.2018.2875007</v>
      </c>
      <c r="BG496" t="s">
        <v>74</v>
      </c>
      <c r="BH496" t="s">
        <v>74</v>
      </c>
      <c r="BI496">
        <v>5</v>
      </c>
      <c r="BJ496" t="s">
        <v>4646</v>
      </c>
      <c r="BK496" t="s">
        <v>102</v>
      </c>
      <c r="BL496" t="s">
        <v>4647</v>
      </c>
      <c r="BM496" t="s">
        <v>9879</v>
      </c>
      <c r="BN496" t="s">
        <v>74</v>
      </c>
      <c r="BO496" t="s">
        <v>223</v>
      </c>
      <c r="BP496" t="s">
        <v>74</v>
      </c>
      <c r="BQ496" t="s">
        <v>74</v>
      </c>
      <c r="BR496" t="s">
        <v>107</v>
      </c>
      <c r="BS496" t="s">
        <v>9880</v>
      </c>
      <c r="BT496" t="str">
        <f>HYPERLINK("https%3A%2F%2Fwww.webofscience.com%2Fwos%2Fwoscc%2Ffull-record%2FWOS:000460427600004","View Full Record in Web of Science")</f>
        <v>View Full Record in Web of Science</v>
      </c>
    </row>
    <row r="497" spans="1:72" x14ac:dyDescent="0.15">
      <c r="A497" t="s">
        <v>72</v>
      </c>
      <c r="B497" t="s">
        <v>9881</v>
      </c>
      <c r="C497" t="s">
        <v>74</v>
      </c>
      <c r="D497" t="s">
        <v>74</v>
      </c>
      <c r="E497" t="s">
        <v>74</v>
      </c>
      <c r="F497" t="s">
        <v>9882</v>
      </c>
      <c r="G497" t="s">
        <v>74</v>
      </c>
      <c r="H497" t="s">
        <v>74</v>
      </c>
      <c r="I497" t="s">
        <v>9883</v>
      </c>
      <c r="J497" t="s">
        <v>9884</v>
      </c>
      <c r="K497" t="s">
        <v>74</v>
      </c>
      <c r="L497" t="s">
        <v>74</v>
      </c>
      <c r="M497" t="s">
        <v>78</v>
      </c>
      <c r="N497" t="s">
        <v>79</v>
      </c>
      <c r="O497" t="s">
        <v>74</v>
      </c>
      <c r="P497" t="s">
        <v>74</v>
      </c>
      <c r="Q497" t="s">
        <v>74</v>
      </c>
      <c r="R497" t="s">
        <v>74</v>
      </c>
      <c r="S497" t="s">
        <v>74</v>
      </c>
      <c r="T497" t="s">
        <v>9885</v>
      </c>
      <c r="U497" t="s">
        <v>9886</v>
      </c>
      <c r="V497" t="s">
        <v>9887</v>
      </c>
      <c r="W497" t="s">
        <v>9888</v>
      </c>
      <c r="X497" t="s">
        <v>9889</v>
      </c>
      <c r="Y497" t="s">
        <v>9890</v>
      </c>
      <c r="Z497" t="s">
        <v>9891</v>
      </c>
      <c r="AA497" t="s">
        <v>9892</v>
      </c>
      <c r="AB497" t="s">
        <v>9893</v>
      </c>
      <c r="AC497" t="s">
        <v>9894</v>
      </c>
      <c r="AD497" t="s">
        <v>9895</v>
      </c>
      <c r="AE497" t="s">
        <v>9896</v>
      </c>
      <c r="AF497" t="s">
        <v>74</v>
      </c>
      <c r="AG497">
        <v>53</v>
      </c>
      <c r="AH497">
        <v>2</v>
      </c>
      <c r="AI497">
        <v>3</v>
      </c>
      <c r="AJ497">
        <v>0</v>
      </c>
      <c r="AK497">
        <v>9</v>
      </c>
      <c r="AL497" t="s">
        <v>153</v>
      </c>
      <c r="AM497" t="s">
        <v>154</v>
      </c>
      <c r="AN497" t="s">
        <v>155</v>
      </c>
      <c r="AO497" t="s">
        <v>9897</v>
      </c>
      <c r="AP497" t="s">
        <v>9898</v>
      </c>
      <c r="AQ497" t="s">
        <v>74</v>
      </c>
      <c r="AR497" t="s">
        <v>9899</v>
      </c>
      <c r="AS497" t="s">
        <v>9900</v>
      </c>
      <c r="AT497" t="s">
        <v>7895</v>
      </c>
      <c r="AU497">
        <v>2019</v>
      </c>
      <c r="AV497">
        <v>307</v>
      </c>
      <c r="AW497">
        <v>3</v>
      </c>
      <c r="AX497" t="s">
        <v>74</v>
      </c>
      <c r="AY497" t="s">
        <v>74</v>
      </c>
      <c r="AZ497" t="s">
        <v>74</v>
      </c>
      <c r="BA497" t="s">
        <v>74</v>
      </c>
      <c r="BB497">
        <v>167</v>
      </c>
      <c r="BC497">
        <v>177</v>
      </c>
      <c r="BD497" t="s">
        <v>74</v>
      </c>
      <c r="BE497" t="s">
        <v>9901</v>
      </c>
      <c r="BF497" t="str">
        <f>HYPERLINK("http://dx.doi.org/10.1111/jzo.12631","http://dx.doi.org/10.1111/jzo.12631")</f>
        <v>http://dx.doi.org/10.1111/jzo.12631</v>
      </c>
      <c r="BG497" t="s">
        <v>74</v>
      </c>
      <c r="BH497" t="s">
        <v>74</v>
      </c>
      <c r="BI497">
        <v>11</v>
      </c>
      <c r="BJ497" t="s">
        <v>1674</v>
      </c>
      <c r="BK497" t="s">
        <v>102</v>
      </c>
      <c r="BL497" t="s">
        <v>1674</v>
      </c>
      <c r="BM497" t="s">
        <v>9902</v>
      </c>
      <c r="BN497" t="s">
        <v>74</v>
      </c>
      <c r="BO497" t="s">
        <v>5573</v>
      </c>
      <c r="BP497" t="s">
        <v>74</v>
      </c>
      <c r="BQ497" t="s">
        <v>74</v>
      </c>
      <c r="BR497" t="s">
        <v>107</v>
      </c>
      <c r="BS497" t="s">
        <v>9903</v>
      </c>
      <c r="BT497" t="str">
        <f>HYPERLINK("https%3A%2F%2Fwww.webofscience.com%2Fwos%2Fwoscc%2Ffull-record%2FWOS:000460299300002","View Full Record in Web of Science")</f>
        <v>View Full Record in Web of Science</v>
      </c>
    </row>
    <row r="498" spans="1:72" x14ac:dyDescent="0.15">
      <c r="A498" t="s">
        <v>72</v>
      </c>
      <c r="B498" t="s">
        <v>9904</v>
      </c>
      <c r="C498" t="s">
        <v>74</v>
      </c>
      <c r="D498" t="s">
        <v>74</v>
      </c>
      <c r="E498" t="s">
        <v>74</v>
      </c>
      <c r="F498" t="s">
        <v>9905</v>
      </c>
      <c r="G498" t="s">
        <v>74</v>
      </c>
      <c r="H498" t="s">
        <v>74</v>
      </c>
      <c r="I498" t="s">
        <v>9906</v>
      </c>
      <c r="J498" t="s">
        <v>9907</v>
      </c>
      <c r="K498" t="s">
        <v>74</v>
      </c>
      <c r="L498" t="s">
        <v>74</v>
      </c>
      <c r="M498" t="s">
        <v>78</v>
      </c>
      <c r="N498" t="s">
        <v>469</v>
      </c>
      <c r="O498" t="s">
        <v>74</v>
      </c>
      <c r="P498" t="s">
        <v>74</v>
      </c>
      <c r="Q498" t="s">
        <v>74</v>
      </c>
      <c r="R498" t="s">
        <v>74</v>
      </c>
      <c r="S498" t="s">
        <v>74</v>
      </c>
      <c r="T498" t="s">
        <v>74</v>
      </c>
      <c r="U498" t="s">
        <v>9908</v>
      </c>
      <c r="V498" t="s">
        <v>9909</v>
      </c>
      <c r="W498" t="s">
        <v>9910</v>
      </c>
      <c r="X498" t="s">
        <v>9911</v>
      </c>
      <c r="Y498" t="s">
        <v>9912</v>
      </c>
      <c r="Z498" t="s">
        <v>74</v>
      </c>
      <c r="AA498" t="s">
        <v>9913</v>
      </c>
      <c r="AB498" t="s">
        <v>9914</v>
      </c>
      <c r="AC498" t="s">
        <v>74</v>
      </c>
      <c r="AD498" t="s">
        <v>74</v>
      </c>
      <c r="AE498" t="s">
        <v>74</v>
      </c>
      <c r="AF498" t="s">
        <v>74</v>
      </c>
      <c r="AG498">
        <v>42</v>
      </c>
      <c r="AH498">
        <v>8</v>
      </c>
      <c r="AI498">
        <v>8</v>
      </c>
      <c r="AJ498">
        <v>1</v>
      </c>
      <c r="AK498">
        <v>5</v>
      </c>
      <c r="AL498" t="s">
        <v>92</v>
      </c>
      <c r="AM498" t="s">
        <v>93</v>
      </c>
      <c r="AN498" t="s">
        <v>94</v>
      </c>
      <c r="AO498" t="s">
        <v>9915</v>
      </c>
      <c r="AP498" t="s">
        <v>9916</v>
      </c>
      <c r="AQ498" t="s">
        <v>74</v>
      </c>
      <c r="AR498" t="s">
        <v>9917</v>
      </c>
      <c r="AS498" t="s">
        <v>9918</v>
      </c>
      <c r="AT498" t="s">
        <v>8192</v>
      </c>
      <c r="AU498">
        <v>2019</v>
      </c>
      <c r="AV498">
        <v>184</v>
      </c>
      <c r="AW498" t="s">
        <v>9919</v>
      </c>
      <c r="AX498" t="s">
        <v>74</v>
      </c>
      <c r="AY498" t="s">
        <v>74</v>
      </c>
      <c r="AZ498" t="s">
        <v>74</v>
      </c>
      <c r="BA498" t="s">
        <v>74</v>
      </c>
      <c r="BB498" t="s">
        <v>9920</v>
      </c>
      <c r="BC498" t="s">
        <v>9921</v>
      </c>
      <c r="BD498" t="s">
        <v>74</v>
      </c>
      <c r="BE498" t="s">
        <v>9922</v>
      </c>
      <c r="BF498" t="str">
        <f>HYPERLINK("http://dx.doi.org/10.1093/milmed/usy364","http://dx.doi.org/10.1093/milmed/usy364")</f>
        <v>http://dx.doi.org/10.1093/milmed/usy364</v>
      </c>
      <c r="BG498" t="s">
        <v>74</v>
      </c>
      <c r="BH498" t="s">
        <v>74</v>
      </c>
      <c r="BI498">
        <v>8</v>
      </c>
      <c r="BJ498" t="s">
        <v>9923</v>
      </c>
      <c r="BK498" t="s">
        <v>102</v>
      </c>
      <c r="BL498" t="s">
        <v>9924</v>
      </c>
      <c r="BM498" t="s">
        <v>9925</v>
      </c>
      <c r="BN498">
        <v>30535397</v>
      </c>
      <c r="BO498" t="s">
        <v>279</v>
      </c>
      <c r="BP498" t="s">
        <v>74</v>
      </c>
      <c r="BQ498" t="s">
        <v>74</v>
      </c>
      <c r="BR498" t="s">
        <v>107</v>
      </c>
      <c r="BS498" t="s">
        <v>9926</v>
      </c>
      <c r="BT498" t="str">
        <f>HYPERLINK("https%3A%2F%2Fwww.webofscience.com%2Fwos%2Fwoscc%2Ffull-record%2FWOS:000460299500007","View Full Record in Web of Science")</f>
        <v>View Full Record in Web of Science</v>
      </c>
    </row>
    <row r="499" spans="1:72" x14ac:dyDescent="0.15">
      <c r="A499" t="s">
        <v>72</v>
      </c>
      <c r="B499" t="s">
        <v>9927</v>
      </c>
      <c r="C499" t="s">
        <v>74</v>
      </c>
      <c r="D499" t="s">
        <v>74</v>
      </c>
      <c r="E499" t="s">
        <v>74</v>
      </c>
      <c r="F499" t="s">
        <v>9928</v>
      </c>
      <c r="G499" t="s">
        <v>74</v>
      </c>
      <c r="H499" t="s">
        <v>74</v>
      </c>
      <c r="I499" t="s">
        <v>9929</v>
      </c>
      <c r="J499" t="s">
        <v>9930</v>
      </c>
      <c r="K499" t="s">
        <v>74</v>
      </c>
      <c r="L499" t="s">
        <v>74</v>
      </c>
      <c r="M499" t="s">
        <v>78</v>
      </c>
      <c r="N499" t="s">
        <v>79</v>
      </c>
      <c r="O499" t="s">
        <v>74</v>
      </c>
      <c r="P499" t="s">
        <v>74</v>
      </c>
      <c r="Q499" t="s">
        <v>74</v>
      </c>
      <c r="R499" t="s">
        <v>74</v>
      </c>
      <c r="S499" t="s">
        <v>74</v>
      </c>
      <c r="T499" t="s">
        <v>9931</v>
      </c>
      <c r="U499" t="s">
        <v>9932</v>
      </c>
      <c r="V499" t="s">
        <v>9933</v>
      </c>
      <c r="W499" t="s">
        <v>9934</v>
      </c>
      <c r="X499" t="s">
        <v>9935</v>
      </c>
      <c r="Y499" t="s">
        <v>9936</v>
      </c>
      <c r="Z499" t="s">
        <v>9937</v>
      </c>
      <c r="AA499" t="s">
        <v>9938</v>
      </c>
      <c r="AB499" t="s">
        <v>9939</v>
      </c>
      <c r="AC499" t="s">
        <v>9940</v>
      </c>
      <c r="AD499" t="s">
        <v>9941</v>
      </c>
      <c r="AE499" t="s">
        <v>9942</v>
      </c>
      <c r="AF499" t="s">
        <v>74</v>
      </c>
      <c r="AG499">
        <v>84</v>
      </c>
      <c r="AH499">
        <v>17</v>
      </c>
      <c r="AI499">
        <v>21</v>
      </c>
      <c r="AJ499">
        <v>3</v>
      </c>
      <c r="AK499">
        <v>63</v>
      </c>
      <c r="AL499" t="s">
        <v>378</v>
      </c>
      <c r="AM499" t="s">
        <v>93</v>
      </c>
      <c r="AN499" t="s">
        <v>379</v>
      </c>
      <c r="AO499" t="s">
        <v>9943</v>
      </c>
      <c r="AP499" t="s">
        <v>9944</v>
      </c>
      <c r="AQ499" t="s">
        <v>74</v>
      </c>
      <c r="AR499" t="s">
        <v>9945</v>
      </c>
      <c r="AS499" t="s">
        <v>9946</v>
      </c>
      <c r="AT499" t="s">
        <v>8969</v>
      </c>
      <c r="AU499">
        <v>2019</v>
      </c>
      <c r="AV499">
        <v>201</v>
      </c>
      <c r="AW499" t="s">
        <v>74</v>
      </c>
      <c r="AX499" t="s">
        <v>74</v>
      </c>
      <c r="AY499" t="s">
        <v>74</v>
      </c>
      <c r="AZ499" t="s">
        <v>74</v>
      </c>
      <c r="BA499" t="s">
        <v>74</v>
      </c>
      <c r="BB499">
        <v>231</v>
      </c>
      <c r="BC499">
        <v>241</v>
      </c>
      <c r="BD499" t="s">
        <v>74</v>
      </c>
      <c r="BE499" t="s">
        <v>9947</v>
      </c>
      <c r="BF499" t="str">
        <f>HYPERLINK("http://dx.doi.org/10.1016/j.atmosenv.2018.12.058","http://dx.doi.org/10.1016/j.atmosenv.2018.12.058")</f>
        <v>http://dx.doi.org/10.1016/j.atmosenv.2018.12.058</v>
      </c>
      <c r="BG499" t="s">
        <v>74</v>
      </c>
      <c r="BH499" t="s">
        <v>74</v>
      </c>
      <c r="BI499">
        <v>11</v>
      </c>
      <c r="BJ499" t="s">
        <v>1060</v>
      </c>
      <c r="BK499" t="s">
        <v>102</v>
      </c>
      <c r="BL499" t="s">
        <v>338</v>
      </c>
      <c r="BM499" t="s">
        <v>9948</v>
      </c>
      <c r="BN499" t="s">
        <v>74</v>
      </c>
      <c r="BO499" t="s">
        <v>74</v>
      </c>
      <c r="BP499" t="s">
        <v>74</v>
      </c>
      <c r="BQ499" t="s">
        <v>74</v>
      </c>
      <c r="BR499" t="s">
        <v>107</v>
      </c>
      <c r="BS499" t="s">
        <v>9949</v>
      </c>
      <c r="BT499" t="str">
        <f>HYPERLINK("https%3A%2F%2Fwww.webofscience.com%2Fwos%2Fwoscc%2Ffull-record%2FWOS:000459837900023","View Full Record in Web of Science")</f>
        <v>View Full Record in Web of Science</v>
      </c>
    </row>
    <row r="500" spans="1:72" x14ac:dyDescent="0.15">
      <c r="A500" t="s">
        <v>72</v>
      </c>
      <c r="B500" t="s">
        <v>9950</v>
      </c>
      <c r="C500" t="s">
        <v>74</v>
      </c>
      <c r="D500" t="s">
        <v>74</v>
      </c>
      <c r="E500" t="s">
        <v>74</v>
      </c>
      <c r="F500" t="s">
        <v>9951</v>
      </c>
      <c r="G500" t="s">
        <v>74</v>
      </c>
      <c r="H500" t="s">
        <v>74</v>
      </c>
      <c r="I500" t="s">
        <v>9952</v>
      </c>
      <c r="J500" t="s">
        <v>1125</v>
      </c>
      <c r="K500" t="s">
        <v>74</v>
      </c>
      <c r="L500" t="s">
        <v>74</v>
      </c>
      <c r="M500" t="s">
        <v>78</v>
      </c>
      <c r="N500" t="s">
        <v>79</v>
      </c>
      <c r="O500" t="s">
        <v>74</v>
      </c>
      <c r="P500" t="s">
        <v>74</v>
      </c>
      <c r="Q500" t="s">
        <v>74</v>
      </c>
      <c r="R500" t="s">
        <v>74</v>
      </c>
      <c r="S500" t="s">
        <v>74</v>
      </c>
      <c r="T500" t="s">
        <v>74</v>
      </c>
      <c r="U500" t="s">
        <v>9953</v>
      </c>
      <c r="V500" t="s">
        <v>9954</v>
      </c>
      <c r="W500" t="s">
        <v>9955</v>
      </c>
      <c r="X500" t="s">
        <v>9956</v>
      </c>
      <c r="Y500" t="s">
        <v>9957</v>
      </c>
      <c r="Z500" t="s">
        <v>9958</v>
      </c>
      <c r="AA500" t="s">
        <v>9959</v>
      </c>
      <c r="AB500" t="s">
        <v>9960</v>
      </c>
      <c r="AC500" t="s">
        <v>9961</v>
      </c>
      <c r="AD500" t="s">
        <v>9962</v>
      </c>
      <c r="AE500" t="s">
        <v>9963</v>
      </c>
      <c r="AF500" t="s">
        <v>74</v>
      </c>
      <c r="AG500">
        <v>45</v>
      </c>
      <c r="AH500">
        <v>15</v>
      </c>
      <c r="AI500">
        <v>18</v>
      </c>
      <c r="AJ500">
        <v>1</v>
      </c>
      <c r="AK500">
        <v>4</v>
      </c>
      <c r="AL500" t="s">
        <v>868</v>
      </c>
      <c r="AM500" t="s">
        <v>869</v>
      </c>
      <c r="AN500" t="s">
        <v>870</v>
      </c>
      <c r="AO500" t="s">
        <v>1137</v>
      </c>
      <c r="AP500" t="s">
        <v>1138</v>
      </c>
      <c r="AQ500" t="s">
        <v>74</v>
      </c>
      <c r="AR500" t="s">
        <v>1125</v>
      </c>
      <c r="AS500" t="s">
        <v>1139</v>
      </c>
      <c r="AT500" t="s">
        <v>8969</v>
      </c>
      <c r="AU500">
        <v>2019</v>
      </c>
      <c r="AV500">
        <v>13</v>
      </c>
      <c r="AW500">
        <v>2</v>
      </c>
      <c r="AX500" t="s">
        <v>74</v>
      </c>
      <c r="AY500" t="s">
        <v>74</v>
      </c>
      <c r="AZ500" t="s">
        <v>74</v>
      </c>
      <c r="BA500" t="s">
        <v>74</v>
      </c>
      <c r="BB500">
        <v>709</v>
      </c>
      <c r="BC500">
        <v>722</v>
      </c>
      <c r="BD500" t="s">
        <v>74</v>
      </c>
      <c r="BE500" t="s">
        <v>9964</v>
      </c>
      <c r="BF500" t="str">
        <f>HYPERLINK("http://dx.doi.org/10.5194/tc-13-709-2019","http://dx.doi.org/10.5194/tc-13-709-2019")</f>
        <v>http://dx.doi.org/10.5194/tc-13-709-2019</v>
      </c>
      <c r="BG500" t="s">
        <v>74</v>
      </c>
      <c r="BH500" t="s">
        <v>74</v>
      </c>
      <c r="BI500">
        <v>14</v>
      </c>
      <c r="BJ500" t="s">
        <v>1142</v>
      </c>
      <c r="BK500" t="s">
        <v>102</v>
      </c>
      <c r="BL500" t="s">
        <v>1143</v>
      </c>
      <c r="BM500" t="s">
        <v>9965</v>
      </c>
      <c r="BN500" t="s">
        <v>74</v>
      </c>
      <c r="BO500" t="s">
        <v>135</v>
      </c>
      <c r="BP500" t="s">
        <v>74</v>
      </c>
      <c r="BQ500" t="s">
        <v>74</v>
      </c>
      <c r="BR500" t="s">
        <v>107</v>
      </c>
      <c r="BS500" t="s">
        <v>9966</v>
      </c>
      <c r="BT500" t="str">
        <f>HYPERLINK("https%3A%2F%2Fwww.webofscience.com%2Fwos%2Fwoscc%2Ffull-record%2FWOS:000460120900001","View Full Record in Web of Science")</f>
        <v>View Full Record in Web of Science</v>
      </c>
    </row>
    <row r="501" spans="1:72" x14ac:dyDescent="0.15">
      <c r="A501" t="s">
        <v>72</v>
      </c>
      <c r="B501" t="s">
        <v>9967</v>
      </c>
      <c r="C501" t="s">
        <v>74</v>
      </c>
      <c r="D501" t="s">
        <v>74</v>
      </c>
      <c r="E501" t="s">
        <v>74</v>
      </c>
      <c r="F501" t="s">
        <v>9968</v>
      </c>
      <c r="G501" t="s">
        <v>74</v>
      </c>
      <c r="H501" t="s">
        <v>74</v>
      </c>
      <c r="I501" t="s">
        <v>9969</v>
      </c>
      <c r="J501" t="s">
        <v>9970</v>
      </c>
      <c r="K501" t="s">
        <v>74</v>
      </c>
      <c r="L501" t="s">
        <v>74</v>
      </c>
      <c r="M501" t="s">
        <v>78</v>
      </c>
      <c r="N501" t="s">
        <v>79</v>
      </c>
      <c r="O501" t="s">
        <v>74</v>
      </c>
      <c r="P501" t="s">
        <v>74</v>
      </c>
      <c r="Q501" t="s">
        <v>74</v>
      </c>
      <c r="R501" t="s">
        <v>74</v>
      </c>
      <c r="S501" t="s">
        <v>74</v>
      </c>
      <c r="T501" t="s">
        <v>74</v>
      </c>
      <c r="U501" t="s">
        <v>9971</v>
      </c>
      <c r="V501" t="s">
        <v>9972</v>
      </c>
      <c r="W501" t="s">
        <v>9973</v>
      </c>
      <c r="X501" t="s">
        <v>1745</v>
      </c>
      <c r="Y501" t="s">
        <v>9974</v>
      </c>
      <c r="Z501" t="s">
        <v>9975</v>
      </c>
      <c r="AA501" t="s">
        <v>9976</v>
      </c>
      <c r="AB501" t="s">
        <v>9977</v>
      </c>
      <c r="AC501" t="s">
        <v>74</v>
      </c>
      <c r="AD501" t="s">
        <v>74</v>
      </c>
      <c r="AE501" t="s">
        <v>74</v>
      </c>
      <c r="AF501" t="s">
        <v>74</v>
      </c>
      <c r="AG501">
        <v>104</v>
      </c>
      <c r="AH501">
        <v>6</v>
      </c>
      <c r="AI501">
        <v>8</v>
      </c>
      <c r="AJ501">
        <v>0</v>
      </c>
      <c r="AK501">
        <v>10</v>
      </c>
      <c r="AL501" t="s">
        <v>4820</v>
      </c>
      <c r="AM501" t="s">
        <v>4821</v>
      </c>
      <c r="AN501" t="s">
        <v>4822</v>
      </c>
      <c r="AO501" t="s">
        <v>9978</v>
      </c>
      <c r="AP501" t="s">
        <v>9979</v>
      </c>
      <c r="AQ501" t="s">
        <v>74</v>
      </c>
      <c r="AR501" t="s">
        <v>9980</v>
      </c>
      <c r="AS501" t="s">
        <v>9981</v>
      </c>
      <c r="AT501" t="s">
        <v>8192</v>
      </c>
      <c r="AU501">
        <v>2019</v>
      </c>
      <c r="AV501">
        <v>131</v>
      </c>
      <c r="AW501" t="s">
        <v>9919</v>
      </c>
      <c r="AX501" t="s">
        <v>74</v>
      </c>
      <c r="AY501" t="s">
        <v>74</v>
      </c>
      <c r="AZ501" t="s">
        <v>74</v>
      </c>
      <c r="BA501" t="s">
        <v>74</v>
      </c>
      <c r="BB501">
        <v>479</v>
      </c>
      <c r="BC501">
        <v>498</v>
      </c>
      <c r="BD501" t="s">
        <v>74</v>
      </c>
      <c r="BE501" t="s">
        <v>9982</v>
      </c>
      <c r="BF501" t="str">
        <f>HYPERLINK("http://dx.doi.org/10.1130/B31744.1","http://dx.doi.org/10.1130/B31744.1")</f>
        <v>http://dx.doi.org/10.1130/B31744.1</v>
      </c>
      <c r="BG501" t="s">
        <v>74</v>
      </c>
      <c r="BH501" t="s">
        <v>74</v>
      </c>
      <c r="BI501">
        <v>20</v>
      </c>
      <c r="BJ501" t="s">
        <v>922</v>
      </c>
      <c r="BK501" t="s">
        <v>102</v>
      </c>
      <c r="BL501" t="s">
        <v>923</v>
      </c>
      <c r="BM501" t="s">
        <v>9983</v>
      </c>
      <c r="BN501" t="s">
        <v>74</v>
      </c>
      <c r="BO501" t="s">
        <v>74</v>
      </c>
      <c r="BP501" t="s">
        <v>74</v>
      </c>
      <c r="BQ501" t="s">
        <v>74</v>
      </c>
      <c r="BR501" t="s">
        <v>107</v>
      </c>
      <c r="BS501" t="s">
        <v>9984</v>
      </c>
      <c r="BT501" t="str">
        <f>HYPERLINK("https%3A%2F%2Fwww.webofscience.com%2Fwos%2Fwoscc%2Ffull-record%2FWOS:000460031700008","View Full Record in Web of Science")</f>
        <v>View Full Record in Web of Science</v>
      </c>
    </row>
    <row r="502" spans="1:72" x14ac:dyDescent="0.15">
      <c r="A502" t="s">
        <v>72</v>
      </c>
      <c r="B502" t="s">
        <v>9985</v>
      </c>
      <c r="C502" t="s">
        <v>74</v>
      </c>
      <c r="D502" t="s">
        <v>74</v>
      </c>
      <c r="E502" t="s">
        <v>74</v>
      </c>
      <c r="F502" t="s">
        <v>9986</v>
      </c>
      <c r="G502" t="s">
        <v>74</v>
      </c>
      <c r="H502" t="s">
        <v>74</v>
      </c>
      <c r="I502" t="s">
        <v>9987</v>
      </c>
      <c r="J502" t="s">
        <v>9988</v>
      </c>
      <c r="K502" t="s">
        <v>74</v>
      </c>
      <c r="L502" t="s">
        <v>74</v>
      </c>
      <c r="M502" t="s">
        <v>78</v>
      </c>
      <c r="N502" t="s">
        <v>79</v>
      </c>
      <c r="O502" t="s">
        <v>74</v>
      </c>
      <c r="P502" t="s">
        <v>74</v>
      </c>
      <c r="Q502" t="s">
        <v>74</v>
      </c>
      <c r="R502" t="s">
        <v>74</v>
      </c>
      <c r="S502" t="s">
        <v>74</v>
      </c>
      <c r="T502" t="s">
        <v>9989</v>
      </c>
      <c r="U502" t="s">
        <v>9990</v>
      </c>
      <c r="V502" t="s">
        <v>9991</v>
      </c>
      <c r="W502" t="s">
        <v>9992</v>
      </c>
      <c r="X502" t="s">
        <v>9993</v>
      </c>
      <c r="Y502" t="s">
        <v>9994</v>
      </c>
      <c r="Z502" t="s">
        <v>9995</v>
      </c>
      <c r="AA502" t="s">
        <v>8987</v>
      </c>
      <c r="AB502" t="s">
        <v>9996</v>
      </c>
      <c r="AC502" t="s">
        <v>9997</v>
      </c>
      <c r="AD502" t="s">
        <v>9997</v>
      </c>
      <c r="AE502" t="s">
        <v>9998</v>
      </c>
      <c r="AF502" t="s">
        <v>74</v>
      </c>
      <c r="AG502">
        <v>49</v>
      </c>
      <c r="AH502">
        <v>13</v>
      </c>
      <c r="AI502">
        <v>13</v>
      </c>
      <c r="AJ502">
        <v>0</v>
      </c>
      <c r="AK502">
        <v>11</v>
      </c>
      <c r="AL502" t="s">
        <v>9999</v>
      </c>
      <c r="AM502" t="s">
        <v>2289</v>
      </c>
      <c r="AN502" t="s">
        <v>10000</v>
      </c>
      <c r="AO502" t="s">
        <v>10001</v>
      </c>
      <c r="AP502" t="s">
        <v>10002</v>
      </c>
      <c r="AQ502" t="s">
        <v>74</v>
      </c>
      <c r="AR502" t="s">
        <v>10003</v>
      </c>
      <c r="AS502" t="s">
        <v>10004</v>
      </c>
      <c r="AT502" t="s">
        <v>7895</v>
      </c>
      <c r="AU502">
        <v>2019</v>
      </c>
      <c r="AV502">
        <v>51</v>
      </c>
      <c r="AW502">
        <v>3</v>
      </c>
      <c r="AX502" t="s">
        <v>74</v>
      </c>
      <c r="AY502" t="s">
        <v>74</v>
      </c>
      <c r="AZ502" t="s">
        <v>74</v>
      </c>
      <c r="BA502" t="s">
        <v>74</v>
      </c>
      <c r="BB502">
        <v>556</v>
      </c>
      <c r="BC502">
        <v>567</v>
      </c>
      <c r="BD502" t="s">
        <v>74</v>
      </c>
      <c r="BE502" t="s">
        <v>10005</v>
      </c>
      <c r="BF502" t="str">
        <f>HYPERLINK("http://dx.doi.org/10.1249/MSS.0000000000001803","http://dx.doi.org/10.1249/MSS.0000000000001803")</f>
        <v>http://dx.doi.org/10.1249/MSS.0000000000001803</v>
      </c>
      <c r="BG502" t="s">
        <v>74</v>
      </c>
      <c r="BH502" t="s">
        <v>74</v>
      </c>
      <c r="BI502">
        <v>12</v>
      </c>
      <c r="BJ502" t="s">
        <v>10006</v>
      </c>
      <c r="BK502" t="s">
        <v>337</v>
      </c>
      <c r="BL502" t="s">
        <v>10006</v>
      </c>
      <c r="BM502" t="s">
        <v>10007</v>
      </c>
      <c r="BN502">
        <v>30308528</v>
      </c>
      <c r="BO502" t="s">
        <v>6520</v>
      </c>
      <c r="BP502" t="s">
        <v>74</v>
      </c>
      <c r="BQ502" t="s">
        <v>74</v>
      </c>
      <c r="BR502" t="s">
        <v>107</v>
      </c>
      <c r="BS502" t="s">
        <v>10008</v>
      </c>
      <c r="BT502" t="str">
        <f>HYPERLINK("https%3A%2F%2Fwww.webofscience.com%2Fwos%2Fwoscc%2Ffull-record%2FWOS:000459886200021","View Full Record in Web of Science")</f>
        <v>View Full Record in Web of Science</v>
      </c>
    </row>
    <row r="503" spans="1:72" x14ac:dyDescent="0.15">
      <c r="A503" t="s">
        <v>72</v>
      </c>
      <c r="B503" t="s">
        <v>10009</v>
      </c>
      <c r="C503" t="s">
        <v>74</v>
      </c>
      <c r="D503" t="s">
        <v>74</v>
      </c>
      <c r="E503" t="s">
        <v>74</v>
      </c>
      <c r="F503" t="s">
        <v>10010</v>
      </c>
      <c r="G503" t="s">
        <v>74</v>
      </c>
      <c r="H503" t="s">
        <v>74</v>
      </c>
      <c r="I503" t="s">
        <v>10011</v>
      </c>
      <c r="J503" t="s">
        <v>5113</v>
      </c>
      <c r="K503" t="s">
        <v>74</v>
      </c>
      <c r="L503" t="s">
        <v>74</v>
      </c>
      <c r="M503" t="s">
        <v>78</v>
      </c>
      <c r="N503" t="s">
        <v>79</v>
      </c>
      <c r="O503" t="s">
        <v>74</v>
      </c>
      <c r="P503" t="s">
        <v>74</v>
      </c>
      <c r="Q503" t="s">
        <v>74</v>
      </c>
      <c r="R503" t="s">
        <v>74</v>
      </c>
      <c r="S503" t="s">
        <v>74</v>
      </c>
      <c r="T503" t="s">
        <v>10012</v>
      </c>
      <c r="U503" t="s">
        <v>10013</v>
      </c>
      <c r="V503" t="s">
        <v>10014</v>
      </c>
      <c r="W503" t="s">
        <v>10015</v>
      </c>
      <c r="X503" t="s">
        <v>10016</v>
      </c>
      <c r="Y503" t="s">
        <v>10017</v>
      </c>
      <c r="Z503" t="s">
        <v>10018</v>
      </c>
      <c r="AA503" t="s">
        <v>10019</v>
      </c>
      <c r="AB503" t="s">
        <v>10020</v>
      </c>
      <c r="AC503" t="s">
        <v>10021</v>
      </c>
      <c r="AD503" t="s">
        <v>10022</v>
      </c>
      <c r="AE503" t="s">
        <v>10023</v>
      </c>
      <c r="AF503" t="s">
        <v>74</v>
      </c>
      <c r="AG503">
        <v>60</v>
      </c>
      <c r="AH503">
        <v>1</v>
      </c>
      <c r="AI503">
        <v>1</v>
      </c>
      <c r="AJ503">
        <v>0</v>
      </c>
      <c r="AK503">
        <v>18</v>
      </c>
      <c r="AL503" t="s">
        <v>576</v>
      </c>
      <c r="AM503" t="s">
        <v>607</v>
      </c>
      <c r="AN503" t="s">
        <v>2143</v>
      </c>
      <c r="AO503" t="s">
        <v>5126</v>
      </c>
      <c r="AP503" t="s">
        <v>5127</v>
      </c>
      <c r="AQ503" t="s">
        <v>74</v>
      </c>
      <c r="AR503" t="s">
        <v>5128</v>
      </c>
      <c r="AS503" t="s">
        <v>5129</v>
      </c>
      <c r="AT503" t="s">
        <v>7895</v>
      </c>
      <c r="AU503">
        <v>2019</v>
      </c>
      <c r="AV503">
        <v>42</v>
      </c>
      <c r="AW503">
        <v>3</v>
      </c>
      <c r="AX503" t="s">
        <v>74</v>
      </c>
      <c r="AY503" t="s">
        <v>74</v>
      </c>
      <c r="AZ503" t="s">
        <v>74</v>
      </c>
      <c r="BA503" t="s">
        <v>74</v>
      </c>
      <c r="BB503">
        <v>449</v>
      </c>
      <c r="BC503">
        <v>460</v>
      </c>
      <c r="BD503" t="s">
        <v>74</v>
      </c>
      <c r="BE503" t="s">
        <v>10024</v>
      </c>
      <c r="BF503" t="str">
        <f>HYPERLINK("http://dx.doi.org/10.1007/s00300-018-2414-2","http://dx.doi.org/10.1007/s00300-018-2414-2")</f>
        <v>http://dx.doi.org/10.1007/s00300-018-2414-2</v>
      </c>
      <c r="BG503" t="s">
        <v>74</v>
      </c>
      <c r="BH503" t="s">
        <v>74</v>
      </c>
      <c r="BI503">
        <v>12</v>
      </c>
      <c r="BJ503" t="s">
        <v>5131</v>
      </c>
      <c r="BK503" t="s">
        <v>102</v>
      </c>
      <c r="BL503" t="s">
        <v>5065</v>
      </c>
      <c r="BM503" t="s">
        <v>10025</v>
      </c>
      <c r="BN503" t="s">
        <v>74</v>
      </c>
      <c r="BO503" t="s">
        <v>74</v>
      </c>
      <c r="BP503" t="s">
        <v>74</v>
      </c>
      <c r="BQ503" t="s">
        <v>74</v>
      </c>
      <c r="BR503" t="s">
        <v>107</v>
      </c>
      <c r="BS503" t="s">
        <v>10026</v>
      </c>
      <c r="BT503" t="str">
        <f>HYPERLINK("https%3A%2F%2Fwww.webofscience.com%2Fwos%2Fwoscc%2Ffull-record%2FWOS:000459821700001","View Full Record in Web of Science")</f>
        <v>View Full Record in Web of Science</v>
      </c>
    </row>
    <row r="504" spans="1:72" x14ac:dyDescent="0.15">
      <c r="A504" t="s">
        <v>72</v>
      </c>
      <c r="B504" t="s">
        <v>10027</v>
      </c>
      <c r="C504" t="s">
        <v>74</v>
      </c>
      <c r="D504" t="s">
        <v>74</v>
      </c>
      <c r="E504" t="s">
        <v>74</v>
      </c>
      <c r="F504" t="s">
        <v>10028</v>
      </c>
      <c r="G504" t="s">
        <v>74</v>
      </c>
      <c r="H504" t="s">
        <v>74</v>
      </c>
      <c r="I504" t="s">
        <v>10029</v>
      </c>
      <c r="J504" t="s">
        <v>5113</v>
      </c>
      <c r="K504" t="s">
        <v>74</v>
      </c>
      <c r="L504" t="s">
        <v>74</v>
      </c>
      <c r="M504" t="s">
        <v>78</v>
      </c>
      <c r="N504" t="s">
        <v>79</v>
      </c>
      <c r="O504" t="s">
        <v>74</v>
      </c>
      <c r="P504" t="s">
        <v>74</v>
      </c>
      <c r="Q504" t="s">
        <v>74</v>
      </c>
      <c r="R504" t="s">
        <v>74</v>
      </c>
      <c r="S504" t="s">
        <v>74</v>
      </c>
      <c r="T504" t="s">
        <v>10030</v>
      </c>
      <c r="U504" t="s">
        <v>10031</v>
      </c>
      <c r="V504" t="s">
        <v>10032</v>
      </c>
      <c r="W504" t="s">
        <v>10033</v>
      </c>
      <c r="X504" t="s">
        <v>10034</v>
      </c>
      <c r="Y504" t="s">
        <v>10035</v>
      </c>
      <c r="Z504" t="s">
        <v>10036</v>
      </c>
      <c r="AA504" t="s">
        <v>10037</v>
      </c>
      <c r="AB504" t="s">
        <v>10038</v>
      </c>
      <c r="AC504" t="s">
        <v>10039</v>
      </c>
      <c r="AD504" t="s">
        <v>10040</v>
      </c>
      <c r="AE504" t="s">
        <v>10041</v>
      </c>
      <c r="AF504" t="s">
        <v>74</v>
      </c>
      <c r="AG504">
        <v>77</v>
      </c>
      <c r="AH504">
        <v>2</v>
      </c>
      <c r="AI504">
        <v>2</v>
      </c>
      <c r="AJ504">
        <v>0</v>
      </c>
      <c r="AK504">
        <v>15</v>
      </c>
      <c r="AL504" t="s">
        <v>576</v>
      </c>
      <c r="AM504" t="s">
        <v>607</v>
      </c>
      <c r="AN504" t="s">
        <v>3493</v>
      </c>
      <c r="AO504" t="s">
        <v>5126</v>
      </c>
      <c r="AP504" t="s">
        <v>5127</v>
      </c>
      <c r="AQ504" t="s">
        <v>74</v>
      </c>
      <c r="AR504" t="s">
        <v>5128</v>
      </c>
      <c r="AS504" t="s">
        <v>5129</v>
      </c>
      <c r="AT504" t="s">
        <v>7895</v>
      </c>
      <c r="AU504">
        <v>2019</v>
      </c>
      <c r="AV504">
        <v>42</v>
      </c>
      <c r="AW504">
        <v>3</v>
      </c>
      <c r="AX504" t="s">
        <v>74</v>
      </c>
      <c r="AY504" t="s">
        <v>74</v>
      </c>
      <c r="AZ504" t="s">
        <v>74</v>
      </c>
      <c r="BA504" t="s">
        <v>74</v>
      </c>
      <c r="BB504">
        <v>475</v>
      </c>
      <c r="BC504">
        <v>483</v>
      </c>
      <c r="BD504" t="s">
        <v>74</v>
      </c>
      <c r="BE504" t="s">
        <v>10042</v>
      </c>
      <c r="BF504" t="str">
        <f>HYPERLINK("http://dx.doi.org/10.1007/s00300-018-2436-9","http://dx.doi.org/10.1007/s00300-018-2436-9")</f>
        <v>http://dx.doi.org/10.1007/s00300-018-2436-9</v>
      </c>
      <c r="BG504" t="s">
        <v>74</v>
      </c>
      <c r="BH504" t="s">
        <v>74</v>
      </c>
      <c r="BI504">
        <v>9</v>
      </c>
      <c r="BJ504" t="s">
        <v>5131</v>
      </c>
      <c r="BK504" t="s">
        <v>102</v>
      </c>
      <c r="BL504" t="s">
        <v>5065</v>
      </c>
      <c r="BM504" t="s">
        <v>10025</v>
      </c>
      <c r="BN504" t="s">
        <v>74</v>
      </c>
      <c r="BO504" t="s">
        <v>645</v>
      </c>
      <c r="BP504" t="s">
        <v>74</v>
      </c>
      <c r="BQ504" t="s">
        <v>74</v>
      </c>
      <c r="BR504" t="s">
        <v>107</v>
      </c>
      <c r="BS504" t="s">
        <v>10043</v>
      </c>
      <c r="BT504" t="str">
        <f>HYPERLINK("https%3A%2F%2Fwww.webofscience.com%2Fwos%2Fwoscc%2Ffull-record%2FWOS:000459821700003","View Full Record in Web of Science")</f>
        <v>View Full Record in Web of Science</v>
      </c>
    </row>
    <row r="505" spans="1:72" x14ac:dyDescent="0.15">
      <c r="A505" t="s">
        <v>72</v>
      </c>
      <c r="B505" t="s">
        <v>10044</v>
      </c>
      <c r="C505" t="s">
        <v>74</v>
      </c>
      <c r="D505" t="s">
        <v>74</v>
      </c>
      <c r="E505" t="s">
        <v>74</v>
      </c>
      <c r="F505" t="s">
        <v>10045</v>
      </c>
      <c r="G505" t="s">
        <v>74</v>
      </c>
      <c r="H505" t="s">
        <v>74</v>
      </c>
      <c r="I505" t="s">
        <v>10046</v>
      </c>
      <c r="J505" t="s">
        <v>5113</v>
      </c>
      <c r="K505" t="s">
        <v>74</v>
      </c>
      <c r="L505" t="s">
        <v>74</v>
      </c>
      <c r="M505" t="s">
        <v>78</v>
      </c>
      <c r="N505" t="s">
        <v>79</v>
      </c>
      <c r="O505" t="s">
        <v>74</v>
      </c>
      <c r="P505" t="s">
        <v>74</v>
      </c>
      <c r="Q505" t="s">
        <v>74</v>
      </c>
      <c r="R505" t="s">
        <v>74</v>
      </c>
      <c r="S505" t="s">
        <v>74</v>
      </c>
      <c r="T505" t="s">
        <v>10047</v>
      </c>
      <c r="U505" t="s">
        <v>10048</v>
      </c>
      <c r="V505" t="s">
        <v>10049</v>
      </c>
      <c r="W505" t="s">
        <v>10050</v>
      </c>
      <c r="X505" t="s">
        <v>10051</v>
      </c>
      <c r="Y505" t="s">
        <v>10052</v>
      </c>
      <c r="Z505" t="s">
        <v>10053</v>
      </c>
      <c r="AA505" t="s">
        <v>10054</v>
      </c>
      <c r="AB505" t="s">
        <v>10055</v>
      </c>
      <c r="AC505" t="s">
        <v>10056</v>
      </c>
      <c r="AD505" t="s">
        <v>10057</v>
      </c>
      <c r="AE505" t="s">
        <v>10058</v>
      </c>
      <c r="AF505" t="s">
        <v>74</v>
      </c>
      <c r="AG505">
        <v>60</v>
      </c>
      <c r="AH505">
        <v>6</v>
      </c>
      <c r="AI505">
        <v>6</v>
      </c>
      <c r="AJ505">
        <v>1</v>
      </c>
      <c r="AK505">
        <v>16</v>
      </c>
      <c r="AL505" t="s">
        <v>576</v>
      </c>
      <c r="AM505" t="s">
        <v>607</v>
      </c>
      <c r="AN505" t="s">
        <v>2143</v>
      </c>
      <c r="AO505" t="s">
        <v>5126</v>
      </c>
      <c r="AP505" t="s">
        <v>5127</v>
      </c>
      <c r="AQ505" t="s">
        <v>74</v>
      </c>
      <c r="AR505" t="s">
        <v>5128</v>
      </c>
      <c r="AS505" t="s">
        <v>5129</v>
      </c>
      <c r="AT505" t="s">
        <v>7895</v>
      </c>
      <c r="AU505">
        <v>2019</v>
      </c>
      <c r="AV505">
        <v>42</v>
      </c>
      <c r="AW505">
        <v>3</v>
      </c>
      <c r="AX505" t="s">
        <v>74</v>
      </c>
      <c r="AY505" t="s">
        <v>74</v>
      </c>
      <c r="AZ505" t="s">
        <v>74</v>
      </c>
      <c r="BA505" t="s">
        <v>74</v>
      </c>
      <c r="BB505">
        <v>485</v>
      </c>
      <c r="BC505">
        <v>496</v>
      </c>
      <c r="BD505" t="s">
        <v>74</v>
      </c>
      <c r="BE505" t="s">
        <v>10059</v>
      </c>
      <c r="BF505" t="str">
        <f>HYPERLINK("http://dx.doi.org/10.1007/s00300-018-2437-8","http://dx.doi.org/10.1007/s00300-018-2437-8")</f>
        <v>http://dx.doi.org/10.1007/s00300-018-2437-8</v>
      </c>
      <c r="BG505" t="s">
        <v>74</v>
      </c>
      <c r="BH505" t="s">
        <v>74</v>
      </c>
      <c r="BI505">
        <v>12</v>
      </c>
      <c r="BJ505" t="s">
        <v>5131</v>
      </c>
      <c r="BK505" t="s">
        <v>102</v>
      </c>
      <c r="BL505" t="s">
        <v>5065</v>
      </c>
      <c r="BM505" t="s">
        <v>10025</v>
      </c>
      <c r="BN505" t="s">
        <v>74</v>
      </c>
      <c r="BO505" t="s">
        <v>1014</v>
      </c>
      <c r="BP505" t="s">
        <v>74</v>
      </c>
      <c r="BQ505" t="s">
        <v>74</v>
      </c>
      <c r="BR505" t="s">
        <v>107</v>
      </c>
      <c r="BS505" t="s">
        <v>10060</v>
      </c>
      <c r="BT505" t="str">
        <f>HYPERLINK("https%3A%2F%2Fwww.webofscience.com%2Fwos%2Fwoscc%2Ffull-record%2FWOS:000459821700004","View Full Record in Web of Science")</f>
        <v>View Full Record in Web of Science</v>
      </c>
    </row>
    <row r="506" spans="1:72" x14ac:dyDescent="0.15">
      <c r="A506" t="s">
        <v>72</v>
      </c>
      <c r="B506" t="s">
        <v>10061</v>
      </c>
      <c r="C506" t="s">
        <v>74</v>
      </c>
      <c r="D506" t="s">
        <v>74</v>
      </c>
      <c r="E506" t="s">
        <v>74</v>
      </c>
      <c r="F506" t="s">
        <v>10062</v>
      </c>
      <c r="G506" t="s">
        <v>74</v>
      </c>
      <c r="H506" t="s">
        <v>74</v>
      </c>
      <c r="I506" t="s">
        <v>10063</v>
      </c>
      <c r="J506" t="s">
        <v>5113</v>
      </c>
      <c r="K506" t="s">
        <v>74</v>
      </c>
      <c r="L506" t="s">
        <v>74</v>
      </c>
      <c r="M506" t="s">
        <v>78</v>
      </c>
      <c r="N506" t="s">
        <v>79</v>
      </c>
      <c r="O506" t="s">
        <v>74</v>
      </c>
      <c r="P506" t="s">
        <v>74</v>
      </c>
      <c r="Q506" t="s">
        <v>74</v>
      </c>
      <c r="R506" t="s">
        <v>74</v>
      </c>
      <c r="S506" t="s">
        <v>74</v>
      </c>
      <c r="T506" t="s">
        <v>10064</v>
      </c>
      <c r="U506" t="s">
        <v>10065</v>
      </c>
      <c r="V506" t="s">
        <v>10066</v>
      </c>
      <c r="W506" t="s">
        <v>10067</v>
      </c>
      <c r="X506" t="s">
        <v>10068</v>
      </c>
      <c r="Y506" t="s">
        <v>10069</v>
      </c>
      <c r="Z506" t="s">
        <v>10070</v>
      </c>
      <c r="AA506" t="s">
        <v>74</v>
      </c>
      <c r="AB506" t="s">
        <v>74</v>
      </c>
      <c r="AC506" t="s">
        <v>10071</v>
      </c>
      <c r="AD506" t="s">
        <v>10072</v>
      </c>
      <c r="AE506" t="s">
        <v>10073</v>
      </c>
      <c r="AF506" t="s">
        <v>74</v>
      </c>
      <c r="AG506">
        <v>35</v>
      </c>
      <c r="AH506">
        <v>2</v>
      </c>
      <c r="AI506">
        <v>3</v>
      </c>
      <c r="AJ506">
        <v>0</v>
      </c>
      <c r="AK506">
        <v>3</v>
      </c>
      <c r="AL506" t="s">
        <v>576</v>
      </c>
      <c r="AM506" t="s">
        <v>607</v>
      </c>
      <c r="AN506" t="s">
        <v>3493</v>
      </c>
      <c r="AO506" t="s">
        <v>5126</v>
      </c>
      <c r="AP506" t="s">
        <v>5127</v>
      </c>
      <c r="AQ506" t="s">
        <v>74</v>
      </c>
      <c r="AR506" t="s">
        <v>5128</v>
      </c>
      <c r="AS506" t="s">
        <v>5129</v>
      </c>
      <c r="AT506" t="s">
        <v>7895</v>
      </c>
      <c r="AU506">
        <v>2019</v>
      </c>
      <c r="AV506">
        <v>42</v>
      </c>
      <c r="AW506">
        <v>3</v>
      </c>
      <c r="AX506" t="s">
        <v>74</v>
      </c>
      <c r="AY506" t="s">
        <v>74</v>
      </c>
      <c r="AZ506" t="s">
        <v>74</v>
      </c>
      <c r="BA506" t="s">
        <v>74</v>
      </c>
      <c r="BB506">
        <v>509</v>
      </c>
      <c r="BC506">
        <v>516</v>
      </c>
      <c r="BD506" t="s">
        <v>74</v>
      </c>
      <c r="BE506" t="s">
        <v>10074</v>
      </c>
      <c r="BF506" t="str">
        <f>HYPERLINK("http://dx.doi.org/10.1007/s00300-018-02440-w","http://dx.doi.org/10.1007/s00300-018-02440-w")</f>
        <v>http://dx.doi.org/10.1007/s00300-018-02440-w</v>
      </c>
      <c r="BG506" t="s">
        <v>74</v>
      </c>
      <c r="BH506" t="s">
        <v>74</v>
      </c>
      <c r="BI506">
        <v>8</v>
      </c>
      <c r="BJ506" t="s">
        <v>5131</v>
      </c>
      <c r="BK506" t="s">
        <v>102</v>
      </c>
      <c r="BL506" t="s">
        <v>5065</v>
      </c>
      <c r="BM506" t="s">
        <v>10025</v>
      </c>
      <c r="BN506" t="s">
        <v>74</v>
      </c>
      <c r="BO506" t="s">
        <v>74</v>
      </c>
      <c r="BP506" t="s">
        <v>74</v>
      </c>
      <c r="BQ506" t="s">
        <v>74</v>
      </c>
      <c r="BR506" t="s">
        <v>107</v>
      </c>
      <c r="BS506" t="s">
        <v>10075</v>
      </c>
      <c r="BT506" t="str">
        <f>HYPERLINK("https%3A%2F%2Fwww.webofscience.com%2Fwos%2Fwoscc%2Ffull-record%2FWOS:000459821700007","View Full Record in Web of Science")</f>
        <v>View Full Record in Web of Science</v>
      </c>
    </row>
    <row r="507" spans="1:72" x14ac:dyDescent="0.15">
      <c r="A507" t="s">
        <v>72</v>
      </c>
      <c r="B507" t="s">
        <v>10076</v>
      </c>
      <c r="C507" t="s">
        <v>74</v>
      </c>
      <c r="D507" t="s">
        <v>74</v>
      </c>
      <c r="E507" t="s">
        <v>74</v>
      </c>
      <c r="F507" t="s">
        <v>10077</v>
      </c>
      <c r="G507" t="s">
        <v>74</v>
      </c>
      <c r="H507" t="s">
        <v>74</v>
      </c>
      <c r="I507" t="s">
        <v>10078</v>
      </c>
      <c r="J507" t="s">
        <v>5113</v>
      </c>
      <c r="K507" t="s">
        <v>74</v>
      </c>
      <c r="L507" t="s">
        <v>74</v>
      </c>
      <c r="M507" t="s">
        <v>78</v>
      </c>
      <c r="N507" t="s">
        <v>79</v>
      </c>
      <c r="O507" t="s">
        <v>74</v>
      </c>
      <c r="P507" t="s">
        <v>74</v>
      </c>
      <c r="Q507" t="s">
        <v>74</v>
      </c>
      <c r="R507" t="s">
        <v>74</v>
      </c>
      <c r="S507" t="s">
        <v>74</v>
      </c>
      <c r="T507" t="s">
        <v>10079</v>
      </c>
      <c r="U507" t="s">
        <v>10080</v>
      </c>
      <c r="V507" t="s">
        <v>10081</v>
      </c>
      <c r="W507" t="s">
        <v>10082</v>
      </c>
      <c r="X507" t="s">
        <v>10083</v>
      </c>
      <c r="Y507" t="s">
        <v>10084</v>
      </c>
      <c r="Z507" t="s">
        <v>10085</v>
      </c>
      <c r="AA507" t="s">
        <v>10086</v>
      </c>
      <c r="AB507" t="s">
        <v>10087</v>
      </c>
      <c r="AC507" t="s">
        <v>10088</v>
      </c>
      <c r="AD507" t="s">
        <v>10089</v>
      </c>
      <c r="AE507" t="s">
        <v>10090</v>
      </c>
      <c r="AF507" t="s">
        <v>74</v>
      </c>
      <c r="AG507">
        <v>68</v>
      </c>
      <c r="AH507">
        <v>17</v>
      </c>
      <c r="AI507">
        <v>18</v>
      </c>
      <c r="AJ507">
        <v>0</v>
      </c>
      <c r="AK507">
        <v>15</v>
      </c>
      <c r="AL507" t="s">
        <v>576</v>
      </c>
      <c r="AM507" t="s">
        <v>607</v>
      </c>
      <c r="AN507" t="s">
        <v>3493</v>
      </c>
      <c r="AO507" t="s">
        <v>5126</v>
      </c>
      <c r="AP507" t="s">
        <v>5127</v>
      </c>
      <c r="AQ507" t="s">
        <v>74</v>
      </c>
      <c r="AR507" t="s">
        <v>5128</v>
      </c>
      <c r="AS507" t="s">
        <v>5129</v>
      </c>
      <c r="AT507" t="s">
        <v>7895</v>
      </c>
      <c r="AU507">
        <v>2019</v>
      </c>
      <c r="AV507">
        <v>42</v>
      </c>
      <c r="AW507">
        <v>3</v>
      </c>
      <c r="AX507" t="s">
        <v>74</v>
      </c>
      <c r="AY507" t="s">
        <v>74</v>
      </c>
      <c r="AZ507" t="s">
        <v>74</v>
      </c>
      <c r="BA507" t="s">
        <v>74</v>
      </c>
      <c r="BB507">
        <v>603</v>
      </c>
      <c r="BC507">
        <v>617</v>
      </c>
      <c r="BD507" t="s">
        <v>74</v>
      </c>
      <c r="BE507" t="s">
        <v>10091</v>
      </c>
      <c r="BF507" t="str">
        <f>HYPERLINK("http://dx.doi.org/10.1007/s00300-019-02458-8","http://dx.doi.org/10.1007/s00300-019-02458-8")</f>
        <v>http://dx.doi.org/10.1007/s00300-019-02458-8</v>
      </c>
      <c r="BG507" t="s">
        <v>74</v>
      </c>
      <c r="BH507" t="s">
        <v>74</v>
      </c>
      <c r="BI507">
        <v>15</v>
      </c>
      <c r="BJ507" t="s">
        <v>5131</v>
      </c>
      <c r="BK507" t="s">
        <v>102</v>
      </c>
      <c r="BL507" t="s">
        <v>5065</v>
      </c>
      <c r="BM507" t="s">
        <v>10025</v>
      </c>
      <c r="BN507" t="s">
        <v>74</v>
      </c>
      <c r="BO507" t="s">
        <v>403</v>
      </c>
      <c r="BP507" t="s">
        <v>74</v>
      </c>
      <c r="BQ507" t="s">
        <v>74</v>
      </c>
      <c r="BR507" t="s">
        <v>107</v>
      </c>
      <c r="BS507" t="s">
        <v>10092</v>
      </c>
      <c r="BT507" t="str">
        <f>HYPERLINK("https%3A%2F%2Fwww.webofscience.com%2Fwos%2Fwoscc%2Ffull-record%2FWOS:000459821700016","View Full Record in Web of Science")</f>
        <v>View Full Record in Web of Science</v>
      </c>
    </row>
    <row r="508" spans="1:72" x14ac:dyDescent="0.15">
      <c r="A508" t="s">
        <v>72</v>
      </c>
      <c r="B508" t="s">
        <v>10093</v>
      </c>
      <c r="C508" t="s">
        <v>74</v>
      </c>
      <c r="D508" t="s">
        <v>74</v>
      </c>
      <c r="E508" t="s">
        <v>74</v>
      </c>
      <c r="F508" t="s">
        <v>10094</v>
      </c>
      <c r="G508" t="s">
        <v>74</v>
      </c>
      <c r="H508" t="s">
        <v>74</v>
      </c>
      <c r="I508" t="s">
        <v>10095</v>
      </c>
      <c r="J508" t="s">
        <v>5113</v>
      </c>
      <c r="K508" t="s">
        <v>74</v>
      </c>
      <c r="L508" t="s">
        <v>74</v>
      </c>
      <c r="M508" t="s">
        <v>78</v>
      </c>
      <c r="N508" t="s">
        <v>79</v>
      </c>
      <c r="O508" t="s">
        <v>74</v>
      </c>
      <c r="P508" t="s">
        <v>74</v>
      </c>
      <c r="Q508" t="s">
        <v>74</v>
      </c>
      <c r="R508" t="s">
        <v>74</v>
      </c>
      <c r="S508" t="s">
        <v>74</v>
      </c>
      <c r="T508" t="s">
        <v>10096</v>
      </c>
      <c r="U508" t="s">
        <v>10097</v>
      </c>
      <c r="V508" t="s">
        <v>10098</v>
      </c>
      <c r="W508" t="s">
        <v>10099</v>
      </c>
      <c r="X508" t="s">
        <v>10100</v>
      </c>
      <c r="Y508" t="s">
        <v>10101</v>
      </c>
      <c r="Z508" t="s">
        <v>10102</v>
      </c>
      <c r="AA508" t="s">
        <v>74</v>
      </c>
      <c r="AB508" t="s">
        <v>10103</v>
      </c>
      <c r="AC508" t="s">
        <v>10104</v>
      </c>
      <c r="AD508" t="s">
        <v>10104</v>
      </c>
      <c r="AE508" t="s">
        <v>10105</v>
      </c>
      <c r="AF508" t="s">
        <v>74</v>
      </c>
      <c r="AG508">
        <v>28</v>
      </c>
      <c r="AH508">
        <v>18</v>
      </c>
      <c r="AI508">
        <v>20</v>
      </c>
      <c r="AJ508">
        <v>0</v>
      </c>
      <c r="AK508">
        <v>32</v>
      </c>
      <c r="AL508" t="s">
        <v>576</v>
      </c>
      <c r="AM508" t="s">
        <v>607</v>
      </c>
      <c r="AN508" t="s">
        <v>3493</v>
      </c>
      <c r="AO508" t="s">
        <v>5126</v>
      </c>
      <c r="AP508" t="s">
        <v>5127</v>
      </c>
      <c r="AQ508" t="s">
        <v>74</v>
      </c>
      <c r="AR508" t="s">
        <v>5128</v>
      </c>
      <c r="AS508" t="s">
        <v>5129</v>
      </c>
      <c r="AT508" t="s">
        <v>7895</v>
      </c>
      <c r="AU508">
        <v>2019</v>
      </c>
      <c r="AV508">
        <v>42</v>
      </c>
      <c r="AW508">
        <v>3</v>
      </c>
      <c r="AX508" t="s">
        <v>74</v>
      </c>
      <c r="AY508" t="s">
        <v>74</v>
      </c>
      <c r="AZ508" t="s">
        <v>74</v>
      </c>
      <c r="BA508" t="s">
        <v>74</v>
      </c>
      <c r="BB508">
        <v>619</v>
      </c>
      <c r="BC508">
        <v>623</v>
      </c>
      <c r="BD508" t="s">
        <v>74</v>
      </c>
      <c r="BE508" t="s">
        <v>10106</v>
      </c>
      <c r="BF508" t="str">
        <f>HYPERLINK("http://dx.doi.org/10.1007/s00300-018-02444-6","http://dx.doi.org/10.1007/s00300-018-02444-6")</f>
        <v>http://dx.doi.org/10.1007/s00300-018-02444-6</v>
      </c>
      <c r="BG508" t="s">
        <v>74</v>
      </c>
      <c r="BH508" t="s">
        <v>74</v>
      </c>
      <c r="BI508">
        <v>5</v>
      </c>
      <c r="BJ508" t="s">
        <v>5131</v>
      </c>
      <c r="BK508" t="s">
        <v>102</v>
      </c>
      <c r="BL508" t="s">
        <v>5065</v>
      </c>
      <c r="BM508" t="s">
        <v>10025</v>
      </c>
      <c r="BN508" t="s">
        <v>74</v>
      </c>
      <c r="BO508" t="s">
        <v>74</v>
      </c>
      <c r="BP508" t="s">
        <v>74</v>
      </c>
      <c r="BQ508" t="s">
        <v>74</v>
      </c>
      <c r="BR508" t="s">
        <v>107</v>
      </c>
      <c r="BS508" t="s">
        <v>10107</v>
      </c>
      <c r="BT508" t="str">
        <f>HYPERLINK("https%3A%2F%2Fwww.webofscience.com%2Fwos%2Fwoscc%2Ffull-record%2FWOS:000459821700017","View Full Record in Web of Science")</f>
        <v>View Full Record in Web of Science</v>
      </c>
    </row>
    <row r="509" spans="1:72" x14ac:dyDescent="0.15">
      <c r="A509" t="s">
        <v>72</v>
      </c>
      <c r="B509" t="s">
        <v>10108</v>
      </c>
      <c r="C509" t="s">
        <v>74</v>
      </c>
      <c r="D509" t="s">
        <v>74</v>
      </c>
      <c r="E509" t="s">
        <v>74</v>
      </c>
      <c r="F509" t="s">
        <v>10109</v>
      </c>
      <c r="G509" t="s">
        <v>74</v>
      </c>
      <c r="H509" t="s">
        <v>74</v>
      </c>
      <c r="I509" t="s">
        <v>10110</v>
      </c>
      <c r="J509" t="s">
        <v>5113</v>
      </c>
      <c r="K509" t="s">
        <v>74</v>
      </c>
      <c r="L509" t="s">
        <v>74</v>
      </c>
      <c r="M509" t="s">
        <v>78</v>
      </c>
      <c r="N509" t="s">
        <v>79</v>
      </c>
      <c r="O509" t="s">
        <v>74</v>
      </c>
      <c r="P509" t="s">
        <v>74</v>
      </c>
      <c r="Q509" t="s">
        <v>74</v>
      </c>
      <c r="R509" t="s">
        <v>74</v>
      </c>
      <c r="S509" t="s">
        <v>74</v>
      </c>
      <c r="T509" t="s">
        <v>10111</v>
      </c>
      <c r="U509" t="s">
        <v>10112</v>
      </c>
      <c r="V509" t="s">
        <v>10113</v>
      </c>
      <c r="W509" t="s">
        <v>10114</v>
      </c>
      <c r="X509" t="s">
        <v>10115</v>
      </c>
      <c r="Y509" t="s">
        <v>10116</v>
      </c>
      <c r="Z509" t="s">
        <v>10117</v>
      </c>
      <c r="AA509" t="s">
        <v>10118</v>
      </c>
      <c r="AB509" t="s">
        <v>10119</v>
      </c>
      <c r="AC509" t="s">
        <v>10120</v>
      </c>
      <c r="AD509" t="s">
        <v>10121</v>
      </c>
      <c r="AE509" t="s">
        <v>10122</v>
      </c>
      <c r="AF509" t="s">
        <v>74</v>
      </c>
      <c r="AG509">
        <v>32</v>
      </c>
      <c r="AH509">
        <v>2</v>
      </c>
      <c r="AI509">
        <v>2</v>
      </c>
      <c r="AJ509">
        <v>1</v>
      </c>
      <c r="AK509">
        <v>9</v>
      </c>
      <c r="AL509" t="s">
        <v>576</v>
      </c>
      <c r="AM509" t="s">
        <v>607</v>
      </c>
      <c r="AN509" t="s">
        <v>3493</v>
      </c>
      <c r="AO509" t="s">
        <v>5126</v>
      </c>
      <c r="AP509" t="s">
        <v>5127</v>
      </c>
      <c r="AQ509" t="s">
        <v>74</v>
      </c>
      <c r="AR509" t="s">
        <v>5128</v>
      </c>
      <c r="AS509" t="s">
        <v>5129</v>
      </c>
      <c r="AT509" t="s">
        <v>7895</v>
      </c>
      <c r="AU509">
        <v>2019</v>
      </c>
      <c r="AV509">
        <v>42</v>
      </c>
      <c r="AW509">
        <v>3</v>
      </c>
      <c r="AX509" t="s">
        <v>74</v>
      </c>
      <c r="AY509" t="s">
        <v>74</v>
      </c>
      <c r="AZ509" t="s">
        <v>74</v>
      </c>
      <c r="BA509" t="s">
        <v>74</v>
      </c>
      <c r="BB509">
        <v>633</v>
      </c>
      <c r="BC509">
        <v>638</v>
      </c>
      <c r="BD509" t="s">
        <v>74</v>
      </c>
      <c r="BE509" t="s">
        <v>10123</v>
      </c>
      <c r="BF509" t="str">
        <f>HYPERLINK("http://dx.doi.org/10.1007/s00300-018-02446-4","http://dx.doi.org/10.1007/s00300-018-02446-4")</f>
        <v>http://dx.doi.org/10.1007/s00300-018-02446-4</v>
      </c>
      <c r="BG509" t="s">
        <v>74</v>
      </c>
      <c r="BH509" t="s">
        <v>74</v>
      </c>
      <c r="BI509">
        <v>6</v>
      </c>
      <c r="BJ509" t="s">
        <v>5131</v>
      </c>
      <c r="BK509" t="s">
        <v>102</v>
      </c>
      <c r="BL509" t="s">
        <v>5065</v>
      </c>
      <c r="BM509" t="s">
        <v>10025</v>
      </c>
      <c r="BN509" t="s">
        <v>74</v>
      </c>
      <c r="BO509" t="s">
        <v>74</v>
      </c>
      <c r="BP509" t="s">
        <v>74</v>
      </c>
      <c r="BQ509" t="s">
        <v>74</v>
      </c>
      <c r="BR509" t="s">
        <v>107</v>
      </c>
      <c r="BS509" t="s">
        <v>10124</v>
      </c>
      <c r="BT509" t="str">
        <f>HYPERLINK("https%3A%2F%2Fwww.webofscience.com%2Fwos%2Fwoscc%2Ffull-record%2FWOS:000459821700019","View Full Record in Web of Science")</f>
        <v>View Full Record in Web of Science</v>
      </c>
    </row>
    <row r="510" spans="1:72" x14ac:dyDescent="0.15">
      <c r="A510" t="s">
        <v>72</v>
      </c>
      <c r="B510" t="s">
        <v>10125</v>
      </c>
      <c r="C510" t="s">
        <v>74</v>
      </c>
      <c r="D510" t="s">
        <v>74</v>
      </c>
      <c r="E510" t="s">
        <v>74</v>
      </c>
      <c r="F510" t="s">
        <v>10126</v>
      </c>
      <c r="G510" t="s">
        <v>74</v>
      </c>
      <c r="H510" t="s">
        <v>74</v>
      </c>
      <c r="I510" t="s">
        <v>10127</v>
      </c>
      <c r="J510" t="s">
        <v>1720</v>
      </c>
      <c r="K510" t="s">
        <v>74</v>
      </c>
      <c r="L510" t="s">
        <v>74</v>
      </c>
      <c r="M510" t="s">
        <v>78</v>
      </c>
      <c r="N510" t="s">
        <v>79</v>
      </c>
      <c r="O510" t="s">
        <v>74</v>
      </c>
      <c r="P510" t="s">
        <v>74</v>
      </c>
      <c r="Q510" t="s">
        <v>74</v>
      </c>
      <c r="R510" t="s">
        <v>74</v>
      </c>
      <c r="S510" t="s">
        <v>74</v>
      </c>
      <c r="T510" t="s">
        <v>74</v>
      </c>
      <c r="U510" t="s">
        <v>10128</v>
      </c>
      <c r="V510" t="s">
        <v>10129</v>
      </c>
      <c r="W510" t="s">
        <v>10130</v>
      </c>
      <c r="X510" t="s">
        <v>3193</v>
      </c>
      <c r="Y510" t="s">
        <v>10131</v>
      </c>
      <c r="Z510" t="s">
        <v>10132</v>
      </c>
      <c r="AA510" t="s">
        <v>10133</v>
      </c>
      <c r="AB510" t="s">
        <v>10134</v>
      </c>
      <c r="AC510" t="s">
        <v>10135</v>
      </c>
      <c r="AD510" t="s">
        <v>10135</v>
      </c>
      <c r="AE510" t="s">
        <v>10136</v>
      </c>
      <c r="AF510" t="s">
        <v>74</v>
      </c>
      <c r="AG510">
        <v>28</v>
      </c>
      <c r="AH510">
        <v>74</v>
      </c>
      <c r="AI510">
        <v>82</v>
      </c>
      <c r="AJ510">
        <v>3</v>
      </c>
      <c r="AK510">
        <v>37</v>
      </c>
      <c r="AL510" t="s">
        <v>1393</v>
      </c>
      <c r="AM510" t="s">
        <v>1371</v>
      </c>
      <c r="AN510" t="s">
        <v>1372</v>
      </c>
      <c r="AO510" t="s">
        <v>1731</v>
      </c>
      <c r="AP510" t="s">
        <v>74</v>
      </c>
      <c r="AQ510" t="s">
        <v>74</v>
      </c>
      <c r="AR510" t="s">
        <v>1732</v>
      </c>
      <c r="AS510" t="s">
        <v>1733</v>
      </c>
      <c r="AT510" t="s">
        <v>8969</v>
      </c>
      <c r="AU510">
        <v>2019</v>
      </c>
      <c r="AV510">
        <v>9</v>
      </c>
      <c r="AW510" t="s">
        <v>74</v>
      </c>
      <c r="AX510" t="s">
        <v>74</v>
      </c>
      <c r="AY510" t="s">
        <v>74</v>
      </c>
      <c r="AZ510" t="s">
        <v>74</v>
      </c>
      <c r="BA510" t="s">
        <v>74</v>
      </c>
      <c r="BB510" t="s">
        <v>74</v>
      </c>
      <c r="BC510" t="s">
        <v>74</v>
      </c>
      <c r="BD510">
        <v>3202</v>
      </c>
      <c r="BE510" t="s">
        <v>10137</v>
      </c>
      <c r="BF510" t="str">
        <f>HYPERLINK("http://dx.doi.org/10.1038/s41598-018-36585-9","http://dx.doi.org/10.1038/s41598-018-36585-9")</f>
        <v>http://dx.doi.org/10.1038/s41598-018-36585-9</v>
      </c>
      <c r="BG510" t="s">
        <v>74</v>
      </c>
      <c r="BH510" t="s">
        <v>74</v>
      </c>
      <c r="BI510">
        <v>7</v>
      </c>
      <c r="BJ510" t="s">
        <v>460</v>
      </c>
      <c r="BK510" t="s">
        <v>102</v>
      </c>
      <c r="BL510" t="s">
        <v>461</v>
      </c>
      <c r="BM510" t="s">
        <v>10138</v>
      </c>
      <c r="BN510">
        <v>30824751</v>
      </c>
      <c r="BO510" t="s">
        <v>1100</v>
      </c>
      <c r="BP510" t="s">
        <v>74</v>
      </c>
      <c r="BQ510" t="s">
        <v>74</v>
      </c>
      <c r="BR510" t="s">
        <v>107</v>
      </c>
      <c r="BS510" t="s">
        <v>10139</v>
      </c>
      <c r="BT510" t="str">
        <f>HYPERLINK("https%3A%2F%2Fwww.webofscience.com%2Fwos%2Fwoscc%2Ffull-record%2FWOS:000459983900008","View Full Record in Web of Science")</f>
        <v>View Full Record in Web of Science</v>
      </c>
    </row>
    <row r="511" spans="1:72" x14ac:dyDescent="0.15">
      <c r="A511" t="s">
        <v>72</v>
      </c>
      <c r="B511" t="s">
        <v>10140</v>
      </c>
      <c r="C511" t="s">
        <v>74</v>
      </c>
      <c r="D511" t="s">
        <v>74</v>
      </c>
      <c r="E511" t="s">
        <v>74</v>
      </c>
      <c r="F511" t="s">
        <v>10141</v>
      </c>
      <c r="G511" t="s">
        <v>74</v>
      </c>
      <c r="H511" t="s">
        <v>74</v>
      </c>
      <c r="I511" t="s">
        <v>10142</v>
      </c>
      <c r="J511" t="s">
        <v>10143</v>
      </c>
      <c r="K511" t="s">
        <v>74</v>
      </c>
      <c r="L511" t="s">
        <v>74</v>
      </c>
      <c r="M511" t="s">
        <v>78</v>
      </c>
      <c r="N511" t="s">
        <v>79</v>
      </c>
      <c r="O511" t="s">
        <v>74</v>
      </c>
      <c r="P511" t="s">
        <v>74</v>
      </c>
      <c r="Q511" t="s">
        <v>74</v>
      </c>
      <c r="R511" t="s">
        <v>74</v>
      </c>
      <c r="S511" t="s">
        <v>74</v>
      </c>
      <c r="T511" t="s">
        <v>10144</v>
      </c>
      <c r="U511" t="s">
        <v>10145</v>
      </c>
      <c r="V511" t="s">
        <v>10146</v>
      </c>
      <c r="W511" t="s">
        <v>10147</v>
      </c>
      <c r="X511" t="s">
        <v>10148</v>
      </c>
      <c r="Y511" t="s">
        <v>10149</v>
      </c>
      <c r="Z511" t="s">
        <v>10150</v>
      </c>
      <c r="AA511" t="s">
        <v>10151</v>
      </c>
      <c r="AB511" t="s">
        <v>10152</v>
      </c>
      <c r="AC511" t="s">
        <v>10153</v>
      </c>
      <c r="AD511" t="s">
        <v>10154</v>
      </c>
      <c r="AE511" t="s">
        <v>10155</v>
      </c>
      <c r="AF511" t="s">
        <v>74</v>
      </c>
      <c r="AG511">
        <v>102</v>
      </c>
      <c r="AH511">
        <v>25</v>
      </c>
      <c r="AI511">
        <v>28</v>
      </c>
      <c r="AJ511">
        <v>1</v>
      </c>
      <c r="AK511">
        <v>20</v>
      </c>
      <c r="AL511" t="s">
        <v>153</v>
      </c>
      <c r="AM511" t="s">
        <v>154</v>
      </c>
      <c r="AN511" t="s">
        <v>155</v>
      </c>
      <c r="AO511" t="s">
        <v>10156</v>
      </c>
      <c r="AP511" t="s">
        <v>10157</v>
      </c>
      <c r="AQ511" t="s">
        <v>74</v>
      </c>
      <c r="AR511" t="s">
        <v>10158</v>
      </c>
      <c r="AS511" t="s">
        <v>10159</v>
      </c>
      <c r="AT511" t="s">
        <v>7895</v>
      </c>
      <c r="AU511">
        <v>2019</v>
      </c>
      <c r="AV511">
        <v>48</v>
      </c>
      <c r="AW511">
        <v>2</v>
      </c>
      <c r="AX511" t="s">
        <v>74</v>
      </c>
      <c r="AY511" t="s">
        <v>74</v>
      </c>
      <c r="AZ511" t="s">
        <v>74</v>
      </c>
      <c r="BA511" t="s">
        <v>74</v>
      </c>
      <c r="BB511">
        <v>226</v>
      </c>
      <c r="BC511">
        <v>242</v>
      </c>
      <c r="BD511" t="s">
        <v>74</v>
      </c>
      <c r="BE511" t="s">
        <v>10160</v>
      </c>
      <c r="BF511" t="str">
        <f>HYPERLINK("http://dx.doi.org/10.1111/zsc.12333","http://dx.doi.org/10.1111/zsc.12333")</f>
        <v>http://dx.doi.org/10.1111/zsc.12333</v>
      </c>
      <c r="BG511" t="s">
        <v>74</v>
      </c>
      <c r="BH511" t="s">
        <v>74</v>
      </c>
      <c r="BI511">
        <v>17</v>
      </c>
      <c r="BJ511" t="s">
        <v>10161</v>
      </c>
      <c r="BK511" t="s">
        <v>102</v>
      </c>
      <c r="BL511" t="s">
        <v>10161</v>
      </c>
      <c r="BM511" t="s">
        <v>10162</v>
      </c>
      <c r="BN511" t="s">
        <v>74</v>
      </c>
      <c r="BO511" t="s">
        <v>74</v>
      </c>
      <c r="BP511" t="s">
        <v>74</v>
      </c>
      <c r="BQ511" t="s">
        <v>74</v>
      </c>
      <c r="BR511" t="s">
        <v>107</v>
      </c>
      <c r="BS511" t="s">
        <v>10163</v>
      </c>
      <c r="BT511" t="str">
        <f>HYPERLINK("https%3A%2F%2Fwww.webofscience.com%2Fwos%2Fwoscc%2Ffull-record%2FWOS:000459810900007","View Full Record in Web of Science")</f>
        <v>View Full Record in Web of Science</v>
      </c>
    </row>
    <row r="512" spans="1:72" x14ac:dyDescent="0.15">
      <c r="A512" t="s">
        <v>72</v>
      </c>
      <c r="B512" t="s">
        <v>10164</v>
      </c>
      <c r="C512" t="s">
        <v>74</v>
      </c>
      <c r="D512" t="s">
        <v>74</v>
      </c>
      <c r="E512" t="s">
        <v>74</v>
      </c>
      <c r="F512" t="s">
        <v>10165</v>
      </c>
      <c r="G512" t="s">
        <v>74</v>
      </c>
      <c r="H512" t="s">
        <v>74</v>
      </c>
      <c r="I512" t="s">
        <v>10166</v>
      </c>
      <c r="J512" t="s">
        <v>10167</v>
      </c>
      <c r="K512" t="s">
        <v>74</v>
      </c>
      <c r="L512" t="s">
        <v>74</v>
      </c>
      <c r="M512" t="s">
        <v>78</v>
      </c>
      <c r="N512" t="s">
        <v>79</v>
      </c>
      <c r="O512" t="s">
        <v>74</v>
      </c>
      <c r="P512" t="s">
        <v>74</v>
      </c>
      <c r="Q512" t="s">
        <v>74</v>
      </c>
      <c r="R512" t="s">
        <v>74</v>
      </c>
      <c r="S512" t="s">
        <v>74</v>
      </c>
      <c r="T512" t="s">
        <v>74</v>
      </c>
      <c r="U512" t="s">
        <v>10168</v>
      </c>
      <c r="V512" t="s">
        <v>10169</v>
      </c>
      <c r="W512" t="s">
        <v>10170</v>
      </c>
      <c r="X512" t="s">
        <v>10171</v>
      </c>
      <c r="Y512" t="s">
        <v>10172</v>
      </c>
      <c r="Z512" t="s">
        <v>10173</v>
      </c>
      <c r="AA512" t="s">
        <v>10174</v>
      </c>
      <c r="AB512" t="s">
        <v>10175</v>
      </c>
      <c r="AC512" t="s">
        <v>10176</v>
      </c>
      <c r="AD512" t="s">
        <v>10177</v>
      </c>
      <c r="AE512" t="s">
        <v>10178</v>
      </c>
      <c r="AF512" t="s">
        <v>74</v>
      </c>
      <c r="AG512">
        <v>64</v>
      </c>
      <c r="AH512">
        <v>3</v>
      </c>
      <c r="AI512">
        <v>3</v>
      </c>
      <c r="AJ512">
        <v>0</v>
      </c>
      <c r="AK512">
        <v>4</v>
      </c>
      <c r="AL512" t="s">
        <v>868</v>
      </c>
      <c r="AM512" t="s">
        <v>869</v>
      </c>
      <c r="AN512" t="s">
        <v>870</v>
      </c>
      <c r="AO512" t="s">
        <v>10179</v>
      </c>
      <c r="AP512" t="s">
        <v>10180</v>
      </c>
      <c r="AQ512" t="s">
        <v>74</v>
      </c>
      <c r="AR512" t="s">
        <v>10181</v>
      </c>
      <c r="AS512" t="s">
        <v>10182</v>
      </c>
      <c r="AT512" t="s">
        <v>8969</v>
      </c>
      <c r="AU512">
        <v>2019</v>
      </c>
      <c r="AV512">
        <v>12</v>
      </c>
      <c r="AW512">
        <v>2</v>
      </c>
      <c r="AX512" t="s">
        <v>74</v>
      </c>
      <c r="AY512" t="s">
        <v>74</v>
      </c>
      <c r="AZ512" t="s">
        <v>74</v>
      </c>
      <c r="BA512" t="s">
        <v>74</v>
      </c>
      <c r="BB512">
        <v>1375</v>
      </c>
      <c r="BC512">
        <v>1392</v>
      </c>
      <c r="BD512" t="s">
        <v>74</v>
      </c>
      <c r="BE512" t="s">
        <v>10183</v>
      </c>
      <c r="BF512" t="str">
        <f>HYPERLINK("http://dx.doi.org/10.5194/amt-12-1375-2019","http://dx.doi.org/10.5194/amt-12-1375-2019")</f>
        <v>http://dx.doi.org/10.5194/amt-12-1375-2019</v>
      </c>
      <c r="BG512" t="s">
        <v>74</v>
      </c>
      <c r="BH512" t="s">
        <v>74</v>
      </c>
      <c r="BI512">
        <v>18</v>
      </c>
      <c r="BJ512" t="s">
        <v>133</v>
      </c>
      <c r="BK512" t="s">
        <v>102</v>
      </c>
      <c r="BL512" t="s">
        <v>133</v>
      </c>
      <c r="BM512" t="s">
        <v>10184</v>
      </c>
      <c r="BN512" t="s">
        <v>74</v>
      </c>
      <c r="BO512" t="s">
        <v>3476</v>
      </c>
      <c r="BP512" t="s">
        <v>74</v>
      </c>
      <c r="BQ512" t="s">
        <v>74</v>
      </c>
      <c r="BR512" t="s">
        <v>107</v>
      </c>
      <c r="BS512" t="s">
        <v>10185</v>
      </c>
      <c r="BT512" t="str">
        <f>HYPERLINK("https%3A%2F%2Fwww.webofscience.com%2Fwos%2Fwoscc%2Ffull-record%2FWOS:000460048500001","View Full Record in Web of Science")</f>
        <v>View Full Record in Web of Science</v>
      </c>
    </row>
    <row r="513" spans="1:72" x14ac:dyDescent="0.15">
      <c r="A513" t="s">
        <v>72</v>
      </c>
      <c r="B513" t="s">
        <v>10186</v>
      </c>
      <c r="C513" t="s">
        <v>74</v>
      </c>
      <c r="D513" t="s">
        <v>74</v>
      </c>
      <c r="E513" t="s">
        <v>74</v>
      </c>
      <c r="F513" t="s">
        <v>10187</v>
      </c>
      <c r="G513" t="s">
        <v>74</v>
      </c>
      <c r="H513" t="s">
        <v>74</v>
      </c>
      <c r="I513" t="s">
        <v>10188</v>
      </c>
      <c r="J513" t="s">
        <v>10189</v>
      </c>
      <c r="K513" t="s">
        <v>74</v>
      </c>
      <c r="L513" t="s">
        <v>74</v>
      </c>
      <c r="M513" t="s">
        <v>78</v>
      </c>
      <c r="N513" t="s">
        <v>79</v>
      </c>
      <c r="O513" t="s">
        <v>74</v>
      </c>
      <c r="P513" t="s">
        <v>74</v>
      </c>
      <c r="Q513" t="s">
        <v>74</v>
      </c>
      <c r="R513" t="s">
        <v>74</v>
      </c>
      <c r="S513" t="s">
        <v>74</v>
      </c>
      <c r="T513" t="s">
        <v>10190</v>
      </c>
      <c r="U513" t="s">
        <v>10191</v>
      </c>
      <c r="V513" t="s">
        <v>10192</v>
      </c>
      <c r="W513" t="s">
        <v>10193</v>
      </c>
      <c r="X513" t="s">
        <v>696</v>
      </c>
      <c r="Y513" t="s">
        <v>10194</v>
      </c>
      <c r="Z513" t="s">
        <v>10195</v>
      </c>
      <c r="AA513" t="s">
        <v>74</v>
      </c>
      <c r="AB513" t="s">
        <v>10196</v>
      </c>
      <c r="AC513" t="s">
        <v>74</v>
      </c>
      <c r="AD513" t="s">
        <v>74</v>
      </c>
      <c r="AE513" t="s">
        <v>74</v>
      </c>
      <c r="AF513" t="s">
        <v>74</v>
      </c>
      <c r="AG513">
        <v>36</v>
      </c>
      <c r="AH513">
        <v>1</v>
      </c>
      <c r="AI513">
        <v>1</v>
      </c>
      <c r="AJ513">
        <v>1</v>
      </c>
      <c r="AK513">
        <v>14</v>
      </c>
      <c r="AL513" t="s">
        <v>550</v>
      </c>
      <c r="AM513" t="s">
        <v>551</v>
      </c>
      <c r="AN513" t="s">
        <v>552</v>
      </c>
      <c r="AO513" t="s">
        <v>10197</v>
      </c>
      <c r="AP513" t="s">
        <v>10198</v>
      </c>
      <c r="AQ513" t="s">
        <v>74</v>
      </c>
      <c r="AR513" t="s">
        <v>10199</v>
      </c>
      <c r="AS513" t="s">
        <v>10200</v>
      </c>
      <c r="AT513" t="s">
        <v>7895</v>
      </c>
      <c r="AU513">
        <v>2019</v>
      </c>
      <c r="AV513">
        <v>69</v>
      </c>
      <c r="AW513">
        <v>3</v>
      </c>
      <c r="AX513" t="s">
        <v>74</v>
      </c>
      <c r="AY513" t="s">
        <v>74</v>
      </c>
      <c r="AZ513" t="s">
        <v>74</v>
      </c>
      <c r="BA513" t="s">
        <v>74</v>
      </c>
      <c r="BB513">
        <v>301</v>
      </c>
      <c r="BC513">
        <v>311</v>
      </c>
      <c r="BD513" t="s">
        <v>74</v>
      </c>
      <c r="BE513" t="s">
        <v>10201</v>
      </c>
      <c r="BF513" t="str">
        <f>HYPERLINK("http://dx.doi.org/10.1007/s10236-019-01251-9","http://dx.doi.org/10.1007/s10236-019-01251-9")</f>
        <v>http://dx.doi.org/10.1007/s10236-019-01251-9</v>
      </c>
      <c r="BG513" t="s">
        <v>74</v>
      </c>
      <c r="BH513" t="s">
        <v>74</v>
      </c>
      <c r="BI513">
        <v>11</v>
      </c>
      <c r="BJ513" t="s">
        <v>277</v>
      </c>
      <c r="BK513" t="s">
        <v>102</v>
      </c>
      <c r="BL513" t="s">
        <v>277</v>
      </c>
      <c r="BM513" t="s">
        <v>10202</v>
      </c>
      <c r="BN513" t="s">
        <v>74</v>
      </c>
      <c r="BO513" t="s">
        <v>74</v>
      </c>
      <c r="BP513" t="s">
        <v>74</v>
      </c>
      <c r="BQ513" t="s">
        <v>74</v>
      </c>
      <c r="BR513" t="s">
        <v>107</v>
      </c>
      <c r="BS513" t="s">
        <v>10203</v>
      </c>
      <c r="BT513" t="str">
        <f>HYPERLINK("https%3A%2F%2Fwww.webofscience.com%2Fwos%2Fwoscc%2Ffull-record%2FWOS:000459509800002","View Full Record in Web of Science")</f>
        <v>View Full Record in Web of Science</v>
      </c>
    </row>
    <row r="514" spans="1:72" x14ac:dyDescent="0.15">
      <c r="A514" t="s">
        <v>72</v>
      </c>
      <c r="B514" t="s">
        <v>10204</v>
      </c>
      <c r="C514" t="s">
        <v>74</v>
      </c>
      <c r="D514" t="s">
        <v>74</v>
      </c>
      <c r="E514" t="s">
        <v>74</v>
      </c>
      <c r="F514" t="s">
        <v>10205</v>
      </c>
      <c r="G514" t="s">
        <v>74</v>
      </c>
      <c r="H514" t="s">
        <v>74</v>
      </c>
      <c r="I514" t="s">
        <v>10206</v>
      </c>
      <c r="J514" t="s">
        <v>5284</v>
      </c>
      <c r="K514" t="s">
        <v>74</v>
      </c>
      <c r="L514" t="s">
        <v>74</v>
      </c>
      <c r="M514" t="s">
        <v>78</v>
      </c>
      <c r="N514" t="s">
        <v>79</v>
      </c>
      <c r="O514" t="s">
        <v>74</v>
      </c>
      <c r="P514" t="s">
        <v>74</v>
      </c>
      <c r="Q514" t="s">
        <v>74</v>
      </c>
      <c r="R514" t="s">
        <v>74</v>
      </c>
      <c r="S514" t="s">
        <v>74</v>
      </c>
      <c r="T514" t="s">
        <v>74</v>
      </c>
      <c r="U514" t="s">
        <v>10207</v>
      </c>
      <c r="V514" t="s">
        <v>10208</v>
      </c>
      <c r="W514" t="s">
        <v>10209</v>
      </c>
      <c r="X514" t="s">
        <v>10210</v>
      </c>
      <c r="Y514" t="s">
        <v>10211</v>
      </c>
      <c r="Z514" t="s">
        <v>74</v>
      </c>
      <c r="AA514" t="s">
        <v>10212</v>
      </c>
      <c r="AB514" t="s">
        <v>10213</v>
      </c>
      <c r="AC514" t="s">
        <v>10214</v>
      </c>
      <c r="AD514" t="s">
        <v>10215</v>
      </c>
      <c r="AE514" t="s">
        <v>10216</v>
      </c>
      <c r="AF514" t="s">
        <v>74</v>
      </c>
      <c r="AG514">
        <v>29</v>
      </c>
      <c r="AH514">
        <v>46</v>
      </c>
      <c r="AI514">
        <v>52</v>
      </c>
      <c r="AJ514">
        <v>2</v>
      </c>
      <c r="AK514">
        <v>41</v>
      </c>
      <c r="AL514" t="s">
        <v>4820</v>
      </c>
      <c r="AM514" t="s">
        <v>4821</v>
      </c>
      <c r="AN514" t="s">
        <v>4822</v>
      </c>
      <c r="AO514" t="s">
        <v>5294</v>
      </c>
      <c r="AP514" t="s">
        <v>5295</v>
      </c>
      <c r="AQ514" t="s">
        <v>74</v>
      </c>
      <c r="AR514" t="s">
        <v>5284</v>
      </c>
      <c r="AS514" t="s">
        <v>923</v>
      </c>
      <c r="AT514" t="s">
        <v>7895</v>
      </c>
      <c r="AU514">
        <v>2019</v>
      </c>
      <c r="AV514">
        <v>47</v>
      </c>
      <c r="AW514">
        <v>3</v>
      </c>
      <c r="AX514" t="s">
        <v>74</v>
      </c>
      <c r="AY514" t="s">
        <v>74</v>
      </c>
      <c r="AZ514" t="s">
        <v>74</v>
      </c>
      <c r="BA514" t="s">
        <v>74</v>
      </c>
      <c r="BB514">
        <v>203</v>
      </c>
      <c r="BC514">
        <v>206</v>
      </c>
      <c r="BD514" t="s">
        <v>74</v>
      </c>
      <c r="BE514" t="s">
        <v>10217</v>
      </c>
      <c r="BF514" t="str">
        <f>HYPERLINK("http://dx.doi.org/10.1130/G45480.1","http://dx.doi.org/10.1130/G45480.1")</f>
        <v>http://dx.doi.org/10.1130/G45480.1</v>
      </c>
      <c r="BG514" t="s">
        <v>74</v>
      </c>
      <c r="BH514" t="s">
        <v>74</v>
      </c>
      <c r="BI514">
        <v>4</v>
      </c>
      <c r="BJ514" t="s">
        <v>923</v>
      </c>
      <c r="BK514" t="s">
        <v>102</v>
      </c>
      <c r="BL514" t="s">
        <v>923</v>
      </c>
      <c r="BM514" t="s">
        <v>10218</v>
      </c>
      <c r="BN514" t="s">
        <v>74</v>
      </c>
      <c r="BO514" t="s">
        <v>74</v>
      </c>
      <c r="BP514" t="s">
        <v>74</v>
      </c>
      <c r="BQ514" t="s">
        <v>74</v>
      </c>
      <c r="BR514" t="s">
        <v>107</v>
      </c>
      <c r="BS514" t="s">
        <v>10219</v>
      </c>
      <c r="BT514" t="str">
        <f>HYPERLINK("https%3A%2F%2Fwww.webofscience.com%2Fwos%2Fwoscc%2Ffull-record%2FWOS:000459755700007","View Full Record in Web of Science")</f>
        <v>View Full Record in Web of Science</v>
      </c>
    </row>
    <row r="515" spans="1:72" x14ac:dyDescent="0.15">
      <c r="A515" t="s">
        <v>72</v>
      </c>
      <c r="B515" t="s">
        <v>10220</v>
      </c>
      <c r="C515" t="s">
        <v>74</v>
      </c>
      <c r="D515" t="s">
        <v>74</v>
      </c>
      <c r="E515" t="s">
        <v>74</v>
      </c>
      <c r="F515" t="s">
        <v>10221</v>
      </c>
      <c r="G515" t="s">
        <v>74</v>
      </c>
      <c r="H515" t="s">
        <v>74</v>
      </c>
      <c r="I515" t="s">
        <v>10222</v>
      </c>
      <c r="J515" t="s">
        <v>10223</v>
      </c>
      <c r="K515" t="s">
        <v>74</v>
      </c>
      <c r="L515" t="s">
        <v>74</v>
      </c>
      <c r="M515" t="s">
        <v>78</v>
      </c>
      <c r="N515" t="s">
        <v>79</v>
      </c>
      <c r="O515" t="s">
        <v>74</v>
      </c>
      <c r="P515" t="s">
        <v>74</v>
      </c>
      <c r="Q515" t="s">
        <v>74</v>
      </c>
      <c r="R515" t="s">
        <v>74</v>
      </c>
      <c r="S515" t="s">
        <v>74</v>
      </c>
      <c r="T515" t="s">
        <v>10224</v>
      </c>
      <c r="U515" t="s">
        <v>10225</v>
      </c>
      <c r="V515" t="s">
        <v>10226</v>
      </c>
      <c r="W515" t="s">
        <v>10227</v>
      </c>
      <c r="X515" t="s">
        <v>10228</v>
      </c>
      <c r="Y515" t="s">
        <v>10229</v>
      </c>
      <c r="Z515" t="s">
        <v>10230</v>
      </c>
      <c r="AA515" t="s">
        <v>10231</v>
      </c>
      <c r="AB515" t="s">
        <v>10232</v>
      </c>
      <c r="AC515" t="s">
        <v>74</v>
      </c>
      <c r="AD515" t="s">
        <v>74</v>
      </c>
      <c r="AE515" t="s">
        <v>74</v>
      </c>
      <c r="AF515" t="s">
        <v>74</v>
      </c>
      <c r="AG515">
        <v>135</v>
      </c>
      <c r="AH515">
        <v>25</v>
      </c>
      <c r="AI515">
        <v>26</v>
      </c>
      <c r="AJ515">
        <v>7</v>
      </c>
      <c r="AK515">
        <v>74</v>
      </c>
      <c r="AL515" t="s">
        <v>576</v>
      </c>
      <c r="AM515" t="s">
        <v>577</v>
      </c>
      <c r="AN515" t="s">
        <v>578</v>
      </c>
      <c r="AO515" t="s">
        <v>10233</v>
      </c>
      <c r="AP515" t="s">
        <v>10234</v>
      </c>
      <c r="AQ515" t="s">
        <v>74</v>
      </c>
      <c r="AR515" t="s">
        <v>10235</v>
      </c>
      <c r="AS515" t="s">
        <v>10236</v>
      </c>
      <c r="AT515" t="s">
        <v>7895</v>
      </c>
      <c r="AU515">
        <v>2019</v>
      </c>
      <c r="AV515">
        <v>29</v>
      </c>
      <c r="AW515">
        <v>1</v>
      </c>
      <c r="AX515" t="s">
        <v>74</v>
      </c>
      <c r="AY515" t="s">
        <v>74</v>
      </c>
      <c r="AZ515" t="s">
        <v>74</v>
      </c>
      <c r="BA515" t="s">
        <v>74</v>
      </c>
      <c r="BB515">
        <v>161</v>
      </c>
      <c r="BC515">
        <v>175</v>
      </c>
      <c r="BD515" t="s">
        <v>74</v>
      </c>
      <c r="BE515" t="s">
        <v>10237</v>
      </c>
      <c r="BF515" t="str">
        <f>HYPERLINK("http://dx.doi.org/10.1007/s11160-018-09546-8","http://dx.doi.org/10.1007/s11160-018-09546-8")</f>
        <v>http://dx.doi.org/10.1007/s11160-018-09546-8</v>
      </c>
      <c r="BG515" t="s">
        <v>74</v>
      </c>
      <c r="BH515" t="s">
        <v>74</v>
      </c>
      <c r="BI515">
        <v>15</v>
      </c>
      <c r="BJ515" t="s">
        <v>4669</v>
      </c>
      <c r="BK515" t="s">
        <v>337</v>
      </c>
      <c r="BL515" t="s">
        <v>4669</v>
      </c>
      <c r="BM515" t="s">
        <v>10238</v>
      </c>
      <c r="BN515" t="s">
        <v>74</v>
      </c>
      <c r="BO515" t="s">
        <v>74</v>
      </c>
      <c r="BP515" t="s">
        <v>74</v>
      </c>
      <c r="BQ515" t="s">
        <v>74</v>
      </c>
      <c r="BR515" t="s">
        <v>107</v>
      </c>
      <c r="BS515" t="s">
        <v>10239</v>
      </c>
      <c r="BT515" t="str">
        <f>HYPERLINK("https%3A%2F%2Fwww.webofscience.com%2Fwos%2Fwoscc%2Ffull-record%2FWOS:000459409700007","View Full Record in Web of Science")</f>
        <v>View Full Record in Web of Science</v>
      </c>
    </row>
    <row r="516" spans="1:72" x14ac:dyDescent="0.15">
      <c r="A516" t="s">
        <v>72</v>
      </c>
      <c r="B516" t="s">
        <v>10240</v>
      </c>
      <c r="C516" t="s">
        <v>74</v>
      </c>
      <c r="D516" t="s">
        <v>74</v>
      </c>
      <c r="E516" t="s">
        <v>74</v>
      </c>
      <c r="F516" t="s">
        <v>10241</v>
      </c>
      <c r="G516" t="s">
        <v>74</v>
      </c>
      <c r="H516" t="s">
        <v>74</v>
      </c>
      <c r="I516" t="s">
        <v>10242</v>
      </c>
      <c r="J516" t="s">
        <v>10243</v>
      </c>
      <c r="K516" t="s">
        <v>74</v>
      </c>
      <c r="L516" t="s">
        <v>74</v>
      </c>
      <c r="M516" t="s">
        <v>78</v>
      </c>
      <c r="N516" t="s">
        <v>79</v>
      </c>
      <c r="O516" t="s">
        <v>74</v>
      </c>
      <c r="P516" t="s">
        <v>74</v>
      </c>
      <c r="Q516" t="s">
        <v>74</v>
      </c>
      <c r="R516" t="s">
        <v>74</v>
      </c>
      <c r="S516" t="s">
        <v>74</v>
      </c>
      <c r="T516" t="s">
        <v>10244</v>
      </c>
      <c r="U516" t="s">
        <v>10245</v>
      </c>
      <c r="V516" t="s">
        <v>10246</v>
      </c>
      <c r="W516" t="s">
        <v>10247</v>
      </c>
      <c r="X516" t="s">
        <v>10248</v>
      </c>
      <c r="Y516" t="s">
        <v>10249</v>
      </c>
      <c r="Z516" t="s">
        <v>10250</v>
      </c>
      <c r="AA516" t="s">
        <v>74</v>
      </c>
      <c r="AB516" t="s">
        <v>10251</v>
      </c>
      <c r="AC516" t="s">
        <v>10252</v>
      </c>
      <c r="AD516" t="s">
        <v>10252</v>
      </c>
      <c r="AE516" t="s">
        <v>10253</v>
      </c>
      <c r="AF516" t="s">
        <v>74</v>
      </c>
      <c r="AG516">
        <v>30</v>
      </c>
      <c r="AH516">
        <v>0</v>
      </c>
      <c r="AI516">
        <v>0</v>
      </c>
      <c r="AJ516">
        <v>0</v>
      </c>
      <c r="AK516">
        <v>6</v>
      </c>
      <c r="AL516" t="s">
        <v>10254</v>
      </c>
      <c r="AM516" t="s">
        <v>10255</v>
      </c>
      <c r="AN516" t="s">
        <v>10256</v>
      </c>
      <c r="AO516" t="s">
        <v>10257</v>
      </c>
      <c r="AP516" t="s">
        <v>10258</v>
      </c>
      <c r="AQ516" t="s">
        <v>74</v>
      </c>
      <c r="AR516" t="s">
        <v>10259</v>
      </c>
      <c r="AS516" t="s">
        <v>10260</v>
      </c>
      <c r="AT516" t="s">
        <v>7895</v>
      </c>
      <c r="AU516">
        <v>2019</v>
      </c>
      <c r="AV516">
        <v>85</v>
      </c>
      <c r="AW516">
        <v>2</v>
      </c>
      <c r="AX516" t="s">
        <v>74</v>
      </c>
      <c r="AY516" t="s">
        <v>74</v>
      </c>
      <c r="AZ516" t="s">
        <v>74</v>
      </c>
      <c r="BA516" t="s">
        <v>74</v>
      </c>
      <c r="BB516">
        <v>285</v>
      </c>
      <c r="BC516">
        <v>294</v>
      </c>
      <c r="BD516" t="s">
        <v>74</v>
      </c>
      <c r="BE516" t="s">
        <v>10261</v>
      </c>
      <c r="BF516" t="str">
        <f>HYPERLINK("http://dx.doi.org/10.1007/s12562-018-1281-7","http://dx.doi.org/10.1007/s12562-018-1281-7")</f>
        <v>http://dx.doi.org/10.1007/s12562-018-1281-7</v>
      </c>
      <c r="BG516" t="s">
        <v>74</v>
      </c>
      <c r="BH516" t="s">
        <v>74</v>
      </c>
      <c r="BI516">
        <v>10</v>
      </c>
      <c r="BJ516" t="s">
        <v>753</v>
      </c>
      <c r="BK516" t="s">
        <v>102</v>
      </c>
      <c r="BL516" t="s">
        <v>753</v>
      </c>
      <c r="BM516" t="s">
        <v>10262</v>
      </c>
      <c r="BN516" t="s">
        <v>74</v>
      </c>
      <c r="BO516" t="s">
        <v>74</v>
      </c>
      <c r="BP516" t="s">
        <v>74</v>
      </c>
      <c r="BQ516" t="s">
        <v>74</v>
      </c>
      <c r="BR516" t="s">
        <v>107</v>
      </c>
      <c r="BS516" t="s">
        <v>10263</v>
      </c>
      <c r="BT516" t="str">
        <f>HYPERLINK("https%3A%2F%2Fwww.webofscience.com%2Fwos%2Fwoscc%2Ffull-record%2FWOS:000459421200002","View Full Record in Web of Science")</f>
        <v>View Full Record in Web of Science</v>
      </c>
    </row>
    <row r="517" spans="1:72" x14ac:dyDescent="0.15">
      <c r="A517" t="s">
        <v>72</v>
      </c>
      <c r="B517" t="s">
        <v>10264</v>
      </c>
      <c r="C517" t="s">
        <v>74</v>
      </c>
      <c r="D517" t="s">
        <v>74</v>
      </c>
      <c r="E517" t="s">
        <v>74</v>
      </c>
      <c r="F517" t="s">
        <v>10265</v>
      </c>
      <c r="G517" t="s">
        <v>74</v>
      </c>
      <c r="H517" t="s">
        <v>74</v>
      </c>
      <c r="I517" t="s">
        <v>10266</v>
      </c>
      <c r="J517" t="s">
        <v>10267</v>
      </c>
      <c r="K517" t="s">
        <v>74</v>
      </c>
      <c r="L517" t="s">
        <v>74</v>
      </c>
      <c r="M517" t="s">
        <v>78</v>
      </c>
      <c r="N517" t="s">
        <v>79</v>
      </c>
      <c r="O517" t="s">
        <v>74</v>
      </c>
      <c r="P517" t="s">
        <v>74</v>
      </c>
      <c r="Q517" t="s">
        <v>74</v>
      </c>
      <c r="R517" t="s">
        <v>74</v>
      </c>
      <c r="S517" t="s">
        <v>74</v>
      </c>
      <c r="T517" t="s">
        <v>10268</v>
      </c>
      <c r="U517" t="s">
        <v>10269</v>
      </c>
      <c r="V517" t="s">
        <v>10270</v>
      </c>
      <c r="W517" t="s">
        <v>10271</v>
      </c>
      <c r="X517" t="s">
        <v>10272</v>
      </c>
      <c r="Y517" t="s">
        <v>10273</v>
      </c>
      <c r="Z517" t="s">
        <v>10274</v>
      </c>
      <c r="AA517" t="s">
        <v>10275</v>
      </c>
      <c r="AB517" t="s">
        <v>10276</v>
      </c>
      <c r="AC517" t="s">
        <v>10277</v>
      </c>
      <c r="AD517" t="s">
        <v>10278</v>
      </c>
      <c r="AE517" t="s">
        <v>10279</v>
      </c>
      <c r="AF517" t="s">
        <v>74</v>
      </c>
      <c r="AG517">
        <v>51</v>
      </c>
      <c r="AH517">
        <v>3</v>
      </c>
      <c r="AI517">
        <v>3</v>
      </c>
      <c r="AJ517">
        <v>0</v>
      </c>
      <c r="AK517">
        <v>6</v>
      </c>
      <c r="AL517" t="s">
        <v>378</v>
      </c>
      <c r="AM517" t="s">
        <v>93</v>
      </c>
      <c r="AN517" t="s">
        <v>379</v>
      </c>
      <c r="AO517" t="s">
        <v>10280</v>
      </c>
      <c r="AP517" t="s">
        <v>10281</v>
      </c>
      <c r="AQ517" t="s">
        <v>74</v>
      </c>
      <c r="AR517" t="s">
        <v>10282</v>
      </c>
      <c r="AS517" t="s">
        <v>10283</v>
      </c>
      <c r="AT517" t="s">
        <v>7895</v>
      </c>
      <c r="AU517">
        <v>2019</v>
      </c>
      <c r="AV517">
        <v>184</v>
      </c>
      <c r="AW517" t="s">
        <v>74</v>
      </c>
      <c r="AX517" t="s">
        <v>74</v>
      </c>
      <c r="AY517" t="s">
        <v>74</v>
      </c>
      <c r="AZ517" t="s">
        <v>74</v>
      </c>
      <c r="BA517" t="s">
        <v>74</v>
      </c>
      <c r="BB517">
        <v>5</v>
      </c>
      <c r="BC517">
        <v>17</v>
      </c>
      <c r="BD517" t="s">
        <v>74</v>
      </c>
      <c r="BE517" t="s">
        <v>10284</v>
      </c>
      <c r="BF517" t="str">
        <f>HYPERLINK("http://dx.doi.org/10.1016/j.jastp.2019.01.004","http://dx.doi.org/10.1016/j.jastp.2019.01.004")</f>
        <v>http://dx.doi.org/10.1016/j.jastp.2019.01.004</v>
      </c>
      <c r="BG517" t="s">
        <v>74</v>
      </c>
      <c r="BH517" t="s">
        <v>74</v>
      </c>
      <c r="BI517">
        <v>13</v>
      </c>
      <c r="BJ517" t="s">
        <v>10285</v>
      </c>
      <c r="BK517" t="s">
        <v>102</v>
      </c>
      <c r="BL517" t="s">
        <v>10285</v>
      </c>
      <c r="BM517" t="s">
        <v>10286</v>
      </c>
      <c r="BN517" t="s">
        <v>74</v>
      </c>
      <c r="BO517" t="s">
        <v>74</v>
      </c>
      <c r="BP517" t="s">
        <v>74</v>
      </c>
      <c r="BQ517" t="s">
        <v>74</v>
      </c>
      <c r="BR517" t="s">
        <v>107</v>
      </c>
      <c r="BS517" t="s">
        <v>10287</v>
      </c>
      <c r="BT517" t="str">
        <f>HYPERLINK("https%3A%2F%2Fwww.webofscience.com%2Fwos%2Fwoscc%2Ffull-record%2FWOS:000459357300002","View Full Record in Web of Science")</f>
        <v>View Full Record in Web of Science</v>
      </c>
    </row>
    <row r="518" spans="1:72" x14ac:dyDescent="0.15">
      <c r="A518" t="s">
        <v>72</v>
      </c>
      <c r="B518" t="s">
        <v>10288</v>
      </c>
      <c r="C518" t="s">
        <v>74</v>
      </c>
      <c r="D518" t="s">
        <v>74</v>
      </c>
      <c r="E518" t="s">
        <v>74</v>
      </c>
      <c r="F518" t="s">
        <v>10289</v>
      </c>
      <c r="G518" t="s">
        <v>74</v>
      </c>
      <c r="H518" t="s">
        <v>74</v>
      </c>
      <c r="I518" t="s">
        <v>10290</v>
      </c>
      <c r="J518" t="s">
        <v>10291</v>
      </c>
      <c r="K518" t="s">
        <v>74</v>
      </c>
      <c r="L518" t="s">
        <v>74</v>
      </c>
      <c r="M518" t="s">
        <v>78</v>
      </c>
      <c r="N518" t="s">
        <v>79</v>
      </c>
      <c r="O518" t="s">
        <v>74</v>
      </c>
      <c r="P518" t="s">
        <v>74</v>
      </c>
      <c r="Q518" t="s">
        <v>74</v>
      </c>
      <c r="R518" t="s">
        <v>74</v>
      </c>
      <c r="S518" t="s">
        <v>74</v>
      </c>
      <c r="T518" t="s">
        <v>74</v>
      </c>
      <c r="U518" t="s">
        <v>10292</v>
      </c>
      <c r="V518" t="s">
        <v>10293</v>
      </c>
      <c r="W518" t="s">
        <v>10294</v>
      </c>
      <c r="X518" t="s">
        <v>10295</v>
      </c>
      <c r="Y518" t="s">
        <v>10296</v>
      </c>
      <c r="Z518" t="s">
        <v>10297</v>
      </c>
      <c r="AA518" t="s">
        <v>74</v>
      </c>
      <c r="AB518" t="s">
        <v>10298</v>
      </c>
      <c r="AC518" t="s">
        <v>10299</v>
      </c>
      <c r="AD518" t="s">
        <v>10300</v>
      </c>
      <c r="AE518" t="s">
        <v>10301</v>
      </c>
      <c r="AF518" t="s">
        <v>74</v>
      </c>
      <c r="AG518">
        <v>79</v>
      </c>
      <c r="AH518">
        <v>3</v>
      </c>
      <c r="AI518">
        <v>3</v>
      </c>
      <c r="AJ518">
        <v>0</v>
      </c>
      <c r="AK518">
        <v>1</v>
      </c>
      <c r="AL518" t="s">
        <v>2960</v>
      </c>
      <c r="AM518" t="s">
        <v>607</v>
      </c>
      <c r="AN518" t="s">
        <v>4525</v>
      </c>
      <c r="AO518" t="s">
        <v>10302</v>
      </c>
      <c r="AP518" t="s">
        <v>10303</v>
      </c>
      <c r="AQ518" t="s">
        <v>74</v>
      </c>
      <c r="AR518" t="s">
        <v>10304</v>
      </c>
      <c r="AS518" t="s">
        <v>10305</v>
      </c>
      <c r="AT518" t="s">
        <v>7895</v>
      </c>
      <c r="AU518">
        <v>2019</v>
      </c>
      <c r="AV518">
        <v>93</v>
      </c>
      <c r="AW518">
        <v>2</v>
      </c>
      <c r="AX518" t="s">
        <v>74</v>
      </c>
      <c r="AY518" t="s">
        <v>74</v>
      </c>
      <c r="AZ518" t="s">
        <v>74</v>
      </c>
      <c r="BA518" t="s">
        <v>74</v>
      </c>
      <c r="BB518">
        <v>312</v>
      </c>
      <c r="BC518">
        <v>336</v>
      </c>
      <c r="BD518" t="s">
        <v>74</v>
      </c>
      <c r="BE518" t="s">
        <v>10306</v>
      </c>
      <c r="BF518" t="str">
        <f>HYPERLINK("http://dx.doi.org/10.1017/jpa.2018.75","http://dx.doi.org/10.1017/jpa.2018.75")</f>
        <v>http://dx.doi.org/10.1017/jpa.2018.75</v>
      </c>
      <c r="BG518" t="s">
        <v>74</v>
      </c>
      <c r="BH518" t="s">
        <v>74</v>
      </c>
      <c r="BI518">
        <v>25</v>
      </c>
      <c r="BJ518" t="s">
        <v>10307</v>
      </c>
      <c r="BK518" t="s">
        <v>102</v>
      </c>
      <c r="BL518" t="s">
        <v>10307</v>
      </c>
      <c r="BM518" t="s">
        <v>10308</v>
      </c>
      <c r="BN518" t="s">
        <v>74</v>
      </c>
      <c r="BO518" t="s">
        <v>74</v>
      </c>
      <c r="BP518" t="s">
        <v>74</v>
      </c>
      <c r="BQ518" t="s">
        <v>74</v>
      </c>
      <c r="BR518" t="s">
        <v>107</v>
      </c>
      <c r="BS518" t="s">
        <v>10309</v>
      </c>
      <c r="BT518" t="str">
        <f>HYPERLINK("https%3A%2F%2Fwww.webofscience.com%2Fwos%2Fwoscc%2Ffull-record%2FWOS:000459035400008","View Full Record in Web of Science")</f>
        <v>View Full Record in Web of Science</v>
      </c>
    </row>
    <row r="519" spans="1:72" x14ac:dyDescent="0.15">
      <c r="A519" t="s">
        <v>72</v>
      </c>
      <c r="B519" t="s">
        <v>10310</v>
      </c>
      <c r="C519" t="s">
        <v>74</v>
      </c>
      <c r="D519" t="s">
        <v>74</v>
      </c>
      <c r="E519" t="s">
        <v>74</v>
      </c>
      <c r="F519" t="s">
        <v>10311</v>
      </c>
      <c r="G519" t="s">
        <v>74</v>
      </c>
      <c r="H519" t="s">
        <v>74</v>
      </c>
      <c r="I519" t="s">
        <v>10312</v>
      </c>
      <c r="J519" t="s">
        <v>321</v>
      </c>
      <c r="K519" t="s">
        <v>74</v>
      </c>
      <c r="L519" t="s">
        <v>74</v>
      </c>
      <c r="M519" t="s">
        <v>78</v>
      </c>
      <c r="N519" t="s">
        <v>79</v>
      </c>
      <c r="O519" t="s">
        <v>74</v>
      </c>
      <c r="P519" t="s">
        <v>74</v>
      </c>
      <c r="Q519" t="s">
        <v>74</v>
      </c>
      <c r="R519" t="s">
        <v>74</v>
      </c>
      <c r="S519" t="s">
        <v>74</v>
      </c>
      <c r="T519" t="s">
        <v>74</v>
      </c>
      <c r="U519" t="s">
        <v>10313</v>
      </c>
      <c r="V519" t="s">
        <v>10314</v>
      </c>
      <c r="W519" t="s">
        <v>10315</v>
      </c>
      <c r="X519" t="s">
        <v>10316</v>
      </c>
      <c r="Y519" t="s">
        <v>10317</v>
      </c>
      <c r="Z519" t="s">
        <v>10318</v>
      </c>
      <c r="AA519" t="s">
        <v>10319</v>
      </c>
      <c r="AB519" t="s">
        <v>10320</v>
      </c>
      <c r="AC519" t="s">
        <v>10321</v>
      </c>
      <c r="AD519" t="s">
        <v>10322</v>
      </c>
      <c r="AE519" t="s">
        <v>10323</v>
      </c>
      <c r="AF519" t="s">
        <v>74</v>
      </c>
      <c r="AG519">
        <v>46</v>
      </c>
      <c r="AH519">
        <v>29</v>
      </c>
      <c r="AI519">
        <v>29</v>
      </c>
      <c r="AJ519">
        <v>0</v>
      </c>
      <c r="AK519">
        <v>33</v>
      </c>
      <c r="AL519" t="s">
        <v>328</v>
      </c>
      <c r="AM519" t="s">
        <v>329</v>
      </c>
      <c r="AN519" t="s">
        <v>330</v>
      </c>
      <c r="AO519" t="s">
        <v>331</v>
      </c>
      <c r="AP519" t="s">
        <v>332</v>
      </c>
      <c r="AQ519" t="s">
        <v>74</v>
      </c>
      <c r="AR519" t="s">
        <v>333</v>
      </c>
      <c r="AS519" t="s">
        <v>334</v>
      </c>
      <c r="AT519" t="s">
        <v>7895</v>
      </c>
      <c r="AU519">
        <v>2019</v>
      </c>
      <c r="AV519">
        <v>9</v>
      </c>
      <c r="AW519">
        <v>3</v>
      </c>
      <c r="AX519" t="s">
        <v>74</v>
      </c>
      <c r="AY519" t="s">
        <v>74</v>
      </c>
      <c r="AZ519" t="s">
        <v>74</v>
      </c>
      <c r="BA519" t="s">
        <v>74</v>
      </c>
      <c r="BB519">
        <v>232</v>
      </c>
      <c r="BC519" t="s">
        <v>1394</v>
      </c>
      <c r="BD519" t="s">
        <v>74</v>
      </c>
      <c r="BE519" t="s">
        <v>10324</v>
      </c>
      <c r="BF519" t="str">
        <f>HYPERLINK("http://dx.doi.org/10.1038/s41558-019-0397-9","http://dx.doi.org/10.1038/s41558-019-0397-9")</f>
        <v>http://dx.doi.org/10.1038/s41558-019-0397-9</v>
      </c>
      <c r="BG519" t="s">
        <v>74</v>
      </c>
      <c r="BH519" t="s">
        <v>74</v>
      </c>
      <c r="BI519">
        <v>7</v>
      </c>
      <c r="BJ519" t="s">
        <v>336</v>
      </c>
      <c r="BK519" t="s">
        <v>337</v>
      </c>
      <c r="BL519" t="s">
        <v>338</v>
      </c>
      <c r="BM519" t="s">
        <v>10325</v>
      </c>
      <c r="BN519" t="s">
        <v>74</v>
      </c>
      <c r="BO519" t="s">
        <v>1014</v>
      </c>
      <c r="BP519" t="s">
        <v>74</v>
      </c>
      <c r="BQ519" t="s">
        <v>74</v>
      </c>
      <c r="BR519" t="s">
        <v>107</v>
      </c>
      <c r="BS519" t="s">
        <v>10326</v>
      </c>
      <c r="BT519" t="str">
        <f>HYPERLINK("https%3A%2F%2Fwww.webofscience.com%2Fwos%2Fwoscc%2Ffull-record%2FWOS:000459579300020","View Full Record in Web of Science")</f>
        <v>View Full Record in Web of Science</v>
      </c>
    </row>
    <row r="520" spans="1:72" x14ac:dyDescent="0.15">
      <c r="A520" t="s">
        <v>72</v>
      </c>
      <c r="B520" t="s">
        <v>10327</v>
      </c>
      <c r="C520" t="s">
        <v>74</v>
      </c>
      <c r="D520" t="s">
        <v>74</v>
      </c>
      <c r="E520" t="s">
        <v>74</v>
      </c>
      <c r="F520" t="s">
        <v>10328</v>
      </c>
      <c r="G520" t="s">
        <v>74</v>
      </c>
      <c r="H520" t="s">
        <v>74</v>
      </c>
      <c r="I520" t="s">
        <v>10329</v>
      </c>
      <c r="J520" t="s">
        <v>10330</v>
      </c>
      <c r="K520" t="s">
        <v>74</v>
      </c>
      <c r="L520" t="s">
        <v>74</v>
      </c>
      <c r="M520" t="s">
        <v>78</v>
      </c>
      <c r="N520" t="s">
        <v>79</v>
      </c>
      <c r="O520" t="s">
        <v>74</v>
      </c>
      <c r="P520" t="s">
        <v>74</v>
      </c>
      <c r="Q520" t="s">
        <v>74</v>
      </c>
      <c r="R520" t="s">
        <v>74</v>
      </c>
      <c r="S520" t="s">
        <v>74</v>
      </c>
      <c r="T520" t="s">
        <v>10331</v>
      </c>
      <c r="U520" t="s">
        <v>10332</v>
      </c>
      <c r="V520" t="s">
        <v>10333</v>
      </c>
      <c r="W520" t="s">
        <v>10334</v>
      </c>
      <c r="X520" t="s">
        <v>10335</v>
      </c>
      <c r="Y520" t="s">
        <v>10336</v>
      </c>
      <c r="Z520" t="s">
        <v>10337</v>
      </c>
      <c r="AA520" t="s">
        <v>10338</v>
      </c>
      <c r="AB520" t="s">
        <v>10339</v>
      </c>
      <c r="AC520" t="s">
        <v>10340</v>
      </c>
      <c r="AD520" t="s">
        <v>10341</v>
      </c>
      <c r="AE520" t="s">
        <v>10342</v>
      </c>
      <c r="AF520" t="s">
        <v>74</v>
      </c>
      <c r="AG520">
        <v>34</v>
      </c>
      <c r="AH520">
        <v>7</v>
      </c>
      <c r="AI520">
        <v>8</v>
      </c>
      <c r="AJ520">
        <v>2</v>
      </c>
      <c r="AK520">
        <v>11</v>
      </c>
      <c r="AL520" t="s">
        <v>306</v>
      </c>
      <c r="AM520" t="s">
        <v>93</v>
      </c>
      <c r="AN520" t="s">
        <v>307</v>
      </c>
      <c r="AO520" t="s">
        <v>10343</v>
      </c>
      <c r="AP520" t="s">
        <v>10344</v>
      </c>
      <c r="AQ520" t="s">
        <v>74</v>
      </c>
      <c r="AR520" t="s">
        <v>10345</v>
      </c>
      <c r="AS520" t="s">
        <v>10346</v>
      </c>
      <c r="AT520" t="s">
        <v>7895</v>
      </c>
      <c r="AU520">
        <v>2019</v>
      </c>
      <c r="AV520">
        <v>135</v>
      </c>
      <c r="AW520" t="s">
        <v>74</v>
      </c>
      <c r="AX520" t="s">
        <v>74</v>
      </c>
      <c r="AY520" t="s">
        <v>74</v>
      </c>
      <c r="AZ520" t="s">
        <v>74</v>
      </c>
      <c r="BA520" t="s">
        <v>74</v>
      </c>
      <c r="BB520">
        <v>1</v>
      </c>
      <c r="BC520">
        <v>13</v>
      </c>
      <c r="BD520" t="s">
        <v>74</v>
      </c>
      <c r="BE520" t="s">
        <v>10347</v>
      </c>
      <c r="BF520" t="str">
        <f>HYPERLINK("http://dx.doi.org/10.1016/j.ocemod.2019.01.005","http://dx.doi.org/10.1016/j.ocemod.2019.01.005")</f>
        <v>http://dx.doi.org/10.1016/j.ocemod.2019.01.005</v>
      </c>
      <c r="BG520" t="s">
        <v>74</v>
      </c>
      <c r="BH520" t="s">
        <v>74</v>
      </c>
      <c r="BI520">
        <v>13</v>
      </c>
      <c r="BJ520" t="s">
        <v>1696</v>
      </c>
      <c r="BK520" t="s">
        <v>102</v>
      </c>
      <c r="BL520" t="s">
        <v>1696</v>
      </c>
      <c r="BM520" t="s">
        <v>10348</v>
      </c>
      <c r="BN520" t="s">
        <v>74</v>
      </c>
      <c r="BO520" t="s">
        <v>198</v>
      </c>
      <c r="BP520" t="s">
        <v>74</v>
      </c>
      <c r="BQ520" t="s">
        <v>74</v>
      </c>
      <c r="BR520" t="s">
        <v>107</v>
      </c>
      <c r="BS520" t="s">
        <v>10349</v>
      </c>
      <c r="BT520" t="str">
        <f>HYPERLINK("https%3A%2F%2Fwww.webofscience.com%2Fwos%2Fwoscc%2Ffull-record%2FWOS:000459502400001","View Full Record in Web of Science")</f>
        <v>View Full Record in Web of Science</v>
      </c>
    </row>
    <row r="521" spans="1:72" x14ac:dyDescent="0.15">
      <c r="A521" t="s">
        <v>72</v>
      </c>
      <c r="B521" t="s">
        <v>10350</v>
      </c>
      <c r="C521" t="s">
        <v>74</v>
      </c>
      <c r="D521" t="s">
        <v>74</v>
      </c>
      <c r="E521" t="s">
        <v>74</v>
      </c>
      <c r="F521" t="s">
        <v>10351</v>
      </c>
      <c r="G521" t="s">
        <v>74</v>
      </c>
      <c r="H521" t="s">
        <v>74</v>
      </c>
      <c r="I521" t="s">
        <v>10352</v>
      </c>
      <c r="J521" t="s">
        <v>10353</v>
      </c>
      <c r="K521" t="s">
        <v>74</v>
      </c>
      <c r="L521" t="s">
        <v>74</v>
      </c>
      <c r="M521" t="s">
        <v>78</v>
      </c>
      <c r="N521" t="s">
        <v>79</v>
      </c>
      <c r="O521" t="s">
        <v>74</v>
      </c>
      <c r="P521" t="s">
        <v>74</v>
      </c>
      <c r="Q521" t="s">
        <v>74</v>
      </c>
      <c r="R521" t="s">
        <v>74</v>
      </c>
      <c r="S521" t="s">
        <v>74</v>
      </c>
      <c r="T521" t="s">
        <v>10354</v>
      </c>
      <c r="U521" t="s">
        <v>10355</v>
      </c>
      <c r="V521" t="s">
        <v>10356</v>
      </c>
      <c r="W521" t="s">
        <v>10357</v>
      </c>
      <c r="X521" t="s">
        <v>10358</v>
      </c>
      <c r="Y521" t="s">
        <v>10359</v>
      </c>
      <c r="Z521" t="s">
        <v>10360</v>
      </c>
      <c r="AA521" t="s">
        <v>10361</v>
      </c>
      <c r="AB521" t="s">
        <v>10362</v>
      </c>
      <c r="AC521" t="s">
        <v>10363</v>
      </c>
      <c r="AD521" t="s">
        <v>10364</v>
      </c>
      <c r="AE521" t="s">
        <v>10365</v>
      </c>
      <c r="AF521" t="s">
        <v>74</v>
      </c>
      <c r="AG521">
        <v>63</v>
      </c>
      <c r="AH521">
        <v>9</v>
      </c>
      <c r="AI521">
        <v>10</v>
      </c>
      <c r="AJ521">
        <v>0</v>
      </c>
      <c r="AK521">
        <v>15</v>
      </c>
      <c r="AL521" t="s">
        <v>576</v>
      </c>
      <c r="AM521" t="s">
        <v>577</v>
      </c>
      <c r="AN521" t="s">
        <v>578</v>
      </c>
      <c r="AO521" t="s">
        <v>10366</v>
      </c>
      <c r="AP521" t="s">
        <v>10367</v>
      </c>
      <c r="AQ521" t="s">
        <v>74</v>
      </c>
      <c r="AR521" t="s">
        <v>10368</v>
      </c>
      <c r="AS521" t="s">
        <v>10369</v>
      </c>
      <c r="AT521" t="s">
        <v>7895</v>
      </c>
      <c r="AU521">
        <v>2019</v>
      </c>
      <c r="AV521">
        <v>112</v>
      </c>
      <c r="AW521">
        <v>3</v>
      </c>
      <c r="AX521" t="s">
        <v>74</v>
      </c>
      <c r="AY521" t="s">
        <v>74</v>
      </c>
      <c r="AZ521" t="s">
        <v>74</v>
      </c>
      <c r="BA521" t="s">
        <v>74</v>
      </c>
      <c r="BB521">
        <v>479</v>
      </c>
      <c r="BC521">
        <v>490</v>
      </c>
      <c r="BD521" t="s">
        <v>74</v>
      </c>
      <c r="BE521" t="s">
        <v>10370</v>
      </c>
      <c r="BF521" t="str">
        <f>HYPERLINK("http://dx.doi.org/10.1007/s10482-018-1179-5","http://dx.doi.org/10.1007/s10482-018-1179-5")</f>
        <v>http://dx.doi.org/10.1007/s10482-018-1179-5</v>
      </c>
      <c r="BG521" t="s">
        <v>74</v>
      </c>
      <c r="BH521" t="s">
        <v>74</v>
      </c>
      <c r="BI521">
        <v>12</v>
      </c>
      <c r="BJ521" t="s">
        <v>901</v>
      </c>
      <c r="BK521" t="s">
        <v>102</v>
      </c>
      <c r="BL521" t="s">
        <v>901</v>
      </c>
      <c r="BM521" t="s">
        <v>10371</v>
      </c>
      <c r="BN521">
        <v>30302647</v>
      </c>
      <c r="BO521" t="s">
        <v>74</v>
      </c>
      <c r="BP521" t="s">
        <v>74</v>
      </c>
      <c r="BQ521" t="s">
        <v>74</v>
      </c>
      <c r="BR521" t="s">
        <v>107</v>
      </c>
      <c r="BS521" t="s">
        <v>10372</v>
      </c>
      <c r="BT521" t="str">
        <f>HYPERLINK("https%3A%2F%2Fwww.webofscience.com%2Fwos%2Fwoscc%2Ffull-record%2FWOS:000459102000014","View Full Record in Web of Science")</f>
        <v>View Full Record in Web of Science</v>
      </c>
    </row>
    <row r="522" spans="1:72" x14ac:dyDescent="0.15">
      <c r="A522" t="s">
        <v>72</v>
      </c>
      <c r="B522" t="s">
        <v>10373</v>
      </c>
      <c r="C522" t="s">
        <v>74</v>
      </c>
      <c r="D522" t="s">
        <v>74</v>
      </c>
      <c r="E522" t="s">
        <v>74</v>
      </c>
      <c r="F522" t="s">
        <v>10374</v>
      </c>
      <c r="G522" t="s">
        <v>74</v>
      </c>
      <c r="H522" t="s">
        <v>74</v>
      </c>
      <c r="I522" t="s">
        <v>10375</v>
      </c>
      <c r="J522" t="s">
        <v>10376</v>
      </c>
      <c r="K522" t="s">
        <v>74</v>
      </c>
      <c r="L522" t="s">
        <v>74</v>
      </c>
      <c r="M522" t="s">
        <v>78</v>
      </c>
      <c r="N522" t="s">
        <v>79</v>
      </c>
      <c r="O522" t="s">
        <v>74</v>
      </c>
      <c r="P522" t="s">
        <v>74</v>
      </c>
      <c r="Q522" t="s">
        <v>74</v>
      </c>
      <c r="R522" t="s">
        <v>74</v>
      </c>
      <c r="S522" t="s">
        <v>74</v>
      </c>
      <c r="T522" t="s">
        <v>10377</v>
      </c>
      <c r="U522" t="s">
        <v>10378</v>
      </c>
      <c r="V522" t="s">
        <v>10379</v>
      </c>
      <c r="W522" t="s">
        <v>10380</v>
      </c>
      <c r="X522" t="s">
        <v>10381</v>
      </c>
      <c r="Y522" t="s">
        <v>10382</v>
      </c>
      <c r="Z522" t="s">
        <v>10383</v>
      </c>
      <c r="AA522" t="s">
        <v>10384</v>
      </c>
      <c r="AB522" t="s">
        <v>10385</v>
      </c>
      <c r="AC522" t="s">
        <v>10386</v>
      </c>
      <c r="AD522" t="s">
        <v>10387</v>
      </c>
      <c r="AE522" t="s">
        <v>10388</v>
      </c>
      <c r="AF522" t="s">
        <v>74</v>
      </c>
      <c r="AG522">
        <v>36</v>
      </c>
      <c r="AH522">
        <v>13</v>
      </c>
      <c r="AI522">
        <v>15</v>
      </c>
      <c r="AJ522">
        <v>0</v>
      </c>
      <c r="AK522">
        <v>17</v>
      </c>
      <c r="AL522" t="s">
        <v>576</v>
      </c>
      <c r="AM522" t="s">
        <v>607</v>
      </c>
      <c r="AN522" t="s">
        <v>3493</v>
      </c>
      <c r="AO522" t="s">
        <v>10389</v>
      </c>
      <c r="AP522" t="s">
        <v>10390</v>
      </c>
      <c r="AQ522" t="s">
        <v>74</v>
      </c>
      <c r="AR522" t="s">
        <v>10391</v>
      </c>
      <c r="AS522" t="s">
        <v>10392</v>
      </c>
      <c r="AT522" t="s">
        <v>7895</v>
      </c>
      <c r="AU522">
        <v>2019</v>
      </c>
      <c r="AV522">
        <v>187</v>
      </c>
      <c r="AW522">
        <v>3</v>
      </c>
      <c r="AX522" t="s">
        <v>74</v>
      </c>
      <c r="AY522" t="s">
        <v>74</v>
      </c>
      <c r="AZ522" t="s">
        <v>74</v>
      </c>
      <c r="BA522" t="s">
        <v>74</v>
      </c>
      <c r="BB522">
        <v>1046</v>
      </c>
      <c r="BC522">
        <v>1060</v>
      </c>
      <c r="BD522" t="s">
        <v>74</v>
      </c>
      <c r="BE522" t="s">
        <v>10393</v>
      </c>
      <c r="BF522" t="str">
        <f>HYPERLINK("http://dx.doi.org/10.1007/s12010-018-2865-5","http://dx.doi.org/10.1007/s12010-018-2865-5")</f>
        <v>http://dx.doi.org/10.1007/s12010-018-2865-5</v>
      </c>
      <c r="BG522" t="s">
        <v>74</v>
      </c>
      <c r="BH522" t="s">
        <v>74</v>
      </c>
      <c r="BI522">
        <v>15</v>
      </c>
      <c r="BJ522" t="s">
        <v>10394</v>
      </c>
      <c r="BK522" t="s">
        <v>102</v>
      </c>
      <c r="BL522" t="s">
        <v>10394</v>
      </c>
      <c r="BM522" t="s">
        <v>10395</v>
      </c>
      <c r="BN522">
        <v>30151635</v>
      </c>
      <c r="BO522" t="s">
        <v>74</v>
      </c>
      <c r="BP522" t="s">
        <v>74</v>
      </c>
      <c r="BQ522" t="s">
        <v>74</v>
      </c>
      <c r="BR522" t="s">
        <v>107</v>
      </c>
      <c r="BS522" t="s">
        <v>10396</v>
      </c>
      <c r="BT522" t="str">
        <f>HYPERLINK("https%3A%2F%2Fwww.webofscience.com%2Fwos%2Fwoscc%2Ffull-record%2FWOS:000463838900026","View Full Record in Web of Science")</f>
        <v>View Full Record in Web of Science</v>
      </c>
    </row>
    <row r="523" spans="1:72" x14ac:dyDescent="0.15">
      <c r="A523" t="s">
        <v>72</v>
      </c>
      <c r="B523" t="s">
        <v>10397</v>
      </c>
      <c r="C523" t="s">
        <v>74</v>
      </c>
      <c r="D523" t="s">
        <v>74</v>
      </c>
      <c r="E523" t="s">
        <v>74</v>
      </c>
      <c r="F523" t="s">
        <v>10398</v>
      </c>
      <c r="G523" t="s">
        <v>74</v>
      </c>
      <c r="H523" t="s">
        <v>74</v>
      </c>
      <c r="I523" t="s">
        <v>10399</v>
      </c>
      <c r="J523" t="s">
        <v>10400</v>
      </c>
      <c r="K523" t="s">
        <v>74</v>
      </c>
      <c r="L523" t="s">
        <v>74</v>
      </c>
      <c r="M523" t="s">
        <v>78</v>
      </c>
      <c r="N523" t="s">
        <v>79</v>
      </c>
      <c r="O523" t="s">
        <v>74</v>
      </c>
      <c r="P523" t="s">
        <v>74</v>
      </c>
      <c r="Q523" t="s">
        <v>74</v>
      </c>
      <c r="R523" t="s">
        <v>74</v>
      </c>
      <c r="S523" t="s">
        <v>74</v>
      </c>
      <c r="T523" t="s">
        <v>10401</v>
      </c>
      <c r="U523" t="s">
        <v>10402</v>
      </c>
      <c r="V523" t="s">
        <v>10403</v>
      </c>
      <c r="W523" t="s">
        <v>10404</v>
      </c>
      <c r="X523" t="s">
        <v>10405</v>
      </c>
      <c r="Y523" t="s">
        <v>10406</v>
      </c>
      <c r="Z523" t="s">
        <v>10407</v>
      </c>
      <c r="AA523" t="s">
        <v>10408</v>
      </c>
      <c r="AB523" t="s">
        <v>10409</v>
      </c>
      <c r="AC523" t="s">
        <v>10410</v>
      </c>
      <c r="AD523" t="s">
        <v>10411</v>
      </c>
      <c r="AE523" t="s">
        <v>10412</v>
      </c>
      <c r="AF523" t="s">
        <v>74</v>
      </c>
      <c r="AG523">
        <v>30</v>
      </c>
      <c r="AH523">
        <v>17</v>
      </c>
      <c r="AI523">
        <v>20</v>
      </c>
      <c r="AJ523">
        <v>1</v>
      </c>
      <c r="AK523">
        <v>7</v>
      </c>
      <c r="AL523" t="s">
        <v>662</v>
      </c>
      <c r="AM523" t="s">
        <v>635</v>
      </c>
      <c r="AN523" t="s">
        <v>663</v>
      </c>
      <c r="AO523" t="s">
        <v>10413</v>
      </c>
      <c r="AP523" t="s">
        <v>10414</v>
      </c>
      <c r="AQ523" t="s">
        <v>74</v>
      </c>
      <c r="AR523" t="s">
        <v>10415</v>
      </c>
      <c r="AS523" t="s">
        <v>10416</v>
      </c>
      <c r="AT523" t="s">
        <v>7895</v>
      </c>
      <c r="AU523">
        <v>2019</v>
      </c>
      <c r="AV523">
        <v>108</v>
      </c>
      <c r="AW523" t="s">
        <v>74</v>
      </c>
      <c r="AX523" t="s">
        <v>74</v>
      </c>
      <c r="AY523" t="s">
        <v>74</v>
      </c>
      <c r="AZ523" t="s">
        <v>74</v>
      </c>
      <c r="BA523" t="s">
        <v>74</v>
      </c>
      <c r="BB523">
        <v>63</v>
      </c>
      <c r="BC523">
        <v>73</v>
      </c>
      <c r="BD523" t="s">
        <v>74</v>
      </c>
      <c r="BE523" t="s">
        <v>10417</v>
      </c>
      <c r="BF523" t="str">
        <f>HYPERLINK("http://dx.doi.org/10.1016/j.astropartphys.2019.01.004","http://dx.doi.org/10.1016/j.astropartphys.2019.01.004")</f>
        <v>http://dx.doi.org/10.1016/j.astropartphys.2019.01.004</v>
      </c>
      <c r="BG523" t="s">
        <v>74</v>
      </c>
      <c r="BH523" t="s">
        <v>74</v>
      </c>
      <c r="BI523">
        <v>11</v>
      </c>
      <c r="BJ523" t="s">
        <v>6950</v>
      </c>
      <c r="BK523" t="s">
        <v>102</v>
      </c>
      <c r="BL523" t="s">
        <v>6951</v>
      </c>
      <c r="BM523" t="s">
        <v>10418</v>
      </c>
      <c r="BN523" t="s">
        <v>74</v>
      </c>
      <c r="BO523" t="s">
        <v>198</v>
      </c>
      <c r="BP523" t="s">
        <v>74</v>
      </c>
      <c r="BQ523" t="s">
        <v>74</v>
      </c>
      <c r="BR523" t="s">
        <v>107</v>
      </c>
      <c r="BS523" t="s">
        <v>10419</v>
      </c>
      <c r="BT523" t="str">
        <f>HYPERLINK("https%3A%2F%2Fwww.webofscience.com%2Fwos%2Fwoscc%2Ffull-record%2FWOS:000459520800006","View Full Record in Web of Science")</f>
        <v>View Full Record in Web of Science</v>
      </c>
    </row>
    <row r="524" spans="1:72" x14ac:dyDescent="0.15">
      <c r="A524" t="s">
        <v>72</v>
      </c>
      <c r="B524" t="s">
        <v>10420</v>
      </c>
      <c r="C524" t="s">
        <v>74</v>
      </c>
      <c r="D524" t="s">
        <v>74</v>
      </c>
      <c r="E524" t="s">
        <v>74</v>
      </c>
      <c r="F524" t="s">
        <v>10421</v>
      </c>
      <c r="G524" t="s">
        <v>74</v>
      </c>
      <c r="H524" t="s">
        <v>74</v>
      </c>
      <c r="I524" t="s">
        <v>10422</v>
      </c>
      <c r="J524" t="s">
        <v>10423</v>
      </c>
      <c r="K524" t="s">
        <v>74</v>
      </c>
      <c r="L524" t="s">
        <v>74</v>
      </c>
      <c r="M524" t="s">
        <v>78</v>
      </c>
      <c r="N524" t="s">
        <v>469</v>
      </c>
      <c r="O524" t="s">
        <v>74</v>
      </c>
      <c r="P524" t="s">
        <v>74</v>
      </c>
      <c r="Q524" t="s">
        <v>74</v>
      </c>
      <c r="R524" t="s">
        <v>74</v>
      </c>
      <c r="S524" t="s">
        <v>74</v>
      </c>
      <c r="T524" t="s">
        <v>10424</v>
      </c>
      <c r="U524" t="s">
        <v>10425</v>
      </c>
      <c r="V524" t="s">
        <v>10426</v>
      </c>
      <c r="W524" t="s">
        <v>10427</v>
      </c>
      <c r="X524" t="s">
        <v>10428</v>
      </c>
      <c r="Y524" t="s">
        <v>10429</v>
      </c>
      <c r="Z524" t="s">
        <v>10430</v>
      </c>
      <c r="AA524" t="s">
        <v>10431</v>
      </c>
      <c r="AB524" t="s">
        <v>10432</v>
      </c>
      <c r="AC524" t="s">
        <v>10433</v>
      </c>
      <c r="AD524" t="s">
        <v>10434</v>
      </c>
      <c r="AE524" t="s">
        <v>10435</v>
      </c>
      <c r="AF524" t="s">
        <v>74</v>
      </c>
      <c r="AG524">
        <v>182</v>
      </c>
      <c r="AH524">
        <v>95</v>
      </c>
      <c r="AI524">
        <v>108</v>
      </c>
      <c r="AJ524">
        <v>42</v>
      </c>
      <c r="AK524">
        <v>276</v>
      </c>
      <c r="AL524" t="s">
        <v>153</v>
      </c>
      <c r="AM524" t="s">
        <v>154</v>
      </c>
      <c r="AN524" t="s">
        <v>155</v>
      </c>
      <c r="AO524" t="s">
        <v>10436</v>
      </c>
      <c r="AP524" t="s">
        <v>74</v>
      </c>
      <c r="AQ524" t="s">
        <v>74</v>
      </c>
      <c r="AR524" t="s">
        <v>10437</v>
      </c>
      <c r="AS524" t="s">
        <v>10438</v>
      </c>
      <c r="AT524" t="s">
        <v>7895</v>
      </c>
      <c r="AU524">
        <v>2019</v>
      </c>
      <c r="AV524">
        <v>18</v>
      </c>
      <c r="AW524">
        <v>2</v>
      </c>
      <c r="AX524" t="s">
        <v>74</v>
      </c>
      <c r="AY524" t="s">
        <v>74</v>
      </c>
      <c r="AZ524" t="s">
        <v>74</v>
      </c>
      <c r="BA524" t="s">
        <v>74</v>
      </c>
      <c r="BB524">
        <v>514</v>
      </c>
      <c r="BC524">
        <v>534</v>
      </c>
      <c r="BD524" t="s">
        <v>74</v>
      </c>
      <c r="BE524" t="s">
        <v>10439</v>
      </c>
      <c r="BF524" t="str">
        <f>HYPERLINK("http://dx.doi.org/10.1111/1541-4337.12427","http://dx.doi.org/10.1111/1541-4337.12427")</f>
        <v>http://dx.doi.org/10.1111/1541-4337.12427</v>
      </c>
      <c r="BG524" t="s">
        <v>74</v>
      </c>
      <c r="BH524" t="s">
        <v>74</v>
      </c>
      <c r="BI524">
        <v>21</v>
      </c>
      <c r="BJ524" t="s">
        <v>5041</v>
      </c>
      <c r="BK524" t="s">
        <v>102</v>
      </c>
      <c r="BL524" t="s">
        <v>5041</v>
      </c>
      <c r="BM524" t="s">
        <v>10440</v>
      </c>
      <c r="BN524">
        <v>33336946</v>
      </c>
      <c r="BO524" t="s">
        <v>279</v>
      </c>
      <c r="BP524" t="s">
        <v>74</v>
      </c>
      <c r="BQ524" t="s">
        <v>74</v>
      </c>
      <c r="BR524" t="s">
        <v>107</v>
      </c>
      <c r="BS524" t="s">
        <v>10441</v>
      </c>
      <c r="BT524" t="str">
        <f>HYPERLINK("https%3A%2F%2Fwww.webofscience.com%2Fwos%2Fwoscc%2Ffull-record%2FWOS:000459493900011","View Full Record in Web of Science")</f>
        <v>View Full Record in Web of Science</v>
      </c>
    </row>
    <row r="525" spans="1:72" x14ac:dyDescent="0.15">
      <c r="A525" t="s">
        <v>72</v>
      </c>
      <c r="B525" t="s">
        <v>10442</v>
      </c>
      <c r="C525" t="s">
        <v>74</v>
      </c>
      <c r="D525" t="s">
        <v>74</v>
      </c>
      <c r="E525" t="s">
        <v>74</v>
      </c>
      <c r="F525" t="s">
        <v>10443</v>
      </c>
      <c r="G525" t="s">
        <v>74</v>
      </c>
      <c r="H525" t="s">
        <v>74</v>
      </c>
      <c r="I525" t="s">
        <v>10444</v>
      </c>
      <c r="J525" t="s">
        <v>10445</v>
      </c>
      <c r="K525" t="s">
        <v>74</v>
      </c>
      <c r="L525" t="s">
        <v>74</v>
      </c>
      <c r="M525" t="s">
        <v>78</v>
      </c>
      <c r="N525" t="s">
        <v>79</v>
      </c>
      <c r="O525" t="s">
        <v>74</v>
      </c>
      <c r="P525" t="s">
        <v>74</v>
      </c>
      <c r="Q525" t="s">
        <v>74</v>
      </c>
      <c r="R525" t="s">
        <v>74</v>
      </c>
      <c r="S525" t="s">
        <v>74</v>
      </c>
      <c r="T525" t="s">
        <v>10446</v>
      </c>
      <c r="U525" t="s">
        <v>10447</v>
      </c>
      <c r="V525" t="s">
        <v>10448</v>
      </c>
      <c r="W525" t="s">
        <v>10449</v>
      </c>
      <c r="X525" t="s">
        <v>10450</v>
      </c>
      <c r="Y525" t="s">
        <v>10451</v>
      </c>
      <c r="Z525" t="s">
        <v>10452</v>
      </c>
      <c r="AA525" t="s">
        <v>10453</v>
      </c>
      <c r="AB525" t="s">
        <v>10454</v>
      </c>
      <c r="AC525" t="s">
        <v>10455</v>
      </c>
      <c r="AD525" t="s">
        <v>10456</v>
      </c>
      <c r="AE525" t="s">
        <v>10457</v>
      </c>
      <c r="AF525" t="s">
        <v>74</v>
      </c>
      <c r="AG525">
        <v>23</v>
      </c>
      <c r="AH525">
        <v>2</v>
      </c>
      <c r="AI525">
        <v>2</v>
      </c>
      <c r="AJ525">
        <v>0</v>
      </c>
      <c r="AK525">
        <v>15</v>
      </c>
      <c r="AL525" t="s">
        <v>10458</v>
      </c>
      <c r="AM525" t="s">
        <v>10459</v>
      </c>
      <c r="AN525" t="s">
        <v>10460</v>
      </c>
      <c r="AO525" t="s">
        <v>10461</v>
      </c>
      <c r="AP525" t="s">
        <v>10462</v>
      </c>
      <c r="AQ525" t="s">
        <v>74</v>
      </c>
      <c r="AR525" t="s">
        <v>10463</v>
      </c>
      <c r="AS525" t="s">
        <v>10464</v>
      </c>
      <c r="AT525" t="s">
        <v>7895</v>
      </c>
      <c r="AU525">
        <v>2019</v>
      </c>
      <c r="AV525">
        <v>144</v>
      </c>
      <c r="AW525" t="s">
        <v>74</v>
      </c>
      <c r="AX525" t="s">
        <v>74</v>
      </c>
      <c r="AY525" t="s">
        <v>74</v>
      </c>
      <c r="AZ525" t="s">
        <v>74</v>
      </c>
      <c r="BA525" t="s">
        <v>74</v>
      </c>
      <c r="BB525">
        <v>129</v>
      </c>
      <c r="BC525">
        <v>137</v>
      </c>
      <c r="BD525" t="s">
        <v>74</v>
      </c>
      <c r="BE525" t="s">
        <v>10465</v>
      </c>
      <c r="BF525" t="str">
        <f>HYPERLINK("http://dx.doi.org/10.5004/dwt.2019.23529","http://dx.doi.org/10.5004/dwt.2019.23529")</f>
        <v>http://dx.doi.org/10.5004/dwt.2019.23529</v>
      </c>
      <c r="BG525" t="s">
        <v>74</v>
      </c>
      <c r="BH525" t="s">
        <v>74</v>
      </c>
      <c r="BI525">
        <v>9</v>
      </c>
      <c r="BJ525" t="s">
        <v>10466</v>
      </c>
      <c r="BK525" t="s">
        <v>102</v>
      </c>
      <c r="BL525" t="s">
        <v>10467</v>
      </c>
      <c r="BM525" t="s">
        <v>10468</v>
      </c>
      <c r="BN525" t="s">
        <v>74</v>
      </c>
      <c r="BO525" t="s">
        <v>74</v>
      </c>
      <c r="BP525" t="s">
        <v>74</v>
      </c>
      <c r="BQ525" t="s">
        <v>74</v>
      </c>
      <c r="BR525" t="s">
        <v>107</v>
      </c>
      <c r="BS525" t="s">
        <v>10469</v>
      </c>
      <c r="BT525" t="str">
        <f>HYPERLINK("https%3A%2F%2Fwww.webofscience.com%2Fwos%2Fwoscc%2Ffull-record%2FWOS:000458909900013","View Full Record in Web of Science")</f>
        <v>View Full Record in Web of Science</v>
      </c>
    </row>
    <row r="526" spans="1:72" x14ac:dyDescent="0.15">
      <c r="A526" t="s">
        <v>72</v>
      </c>
      <c r="B526" t="s">
        <v>10470</v>
      </c>
      <c r="C526" t="s">
        <v>74</v>
      </c>
      <c r="D526" t="s">
        <v>74</v>
      </c>
      <c r="E526" t="s">
        <v>74</v>
      </c>
      <c r="F526" t="s">
        <v>10471</v>
      </c>
      <c r="G526" t="s">
        <v>74</v>
      </c>
      <c r="H526" t="s">
        <v>74</v>
      </c>
      <c r="I526" t="s">
        <v>10472</v>
      </c>
      <c r="J526" t="s">
        <v>10473</v>
      </c>
      <c r="K526" t="s">
        <v>74</v>
      </c>
      <c r="L526" t="s">
        <v>74</v>
      </c>
      <c r="M526" t="s">
        <v>78</v>
      </c>
      <c r="N526" t="s">
        <v>79</v>
      </c>
      <c r="O526" t="s">
        <v>74</v>
      </c>
      <c r="P526" t="s">
        <v>74</v>
      </c>
      <c r="Q526" t="s">
        <v>74</v>
      </c>
      <c r="R526" t="s">
        <v>74</v>
      </c>
      <c r="S526" t="s">
        <v>74</v>
      </c>
      <c r="T526" t="s">
        <v>10474</v>
      </c>
      <c r="U526" t="s">
        <v>10475</v>
      </c>
      <c r="V526" t="s">
        <v>10476</v>
      </c>
      <c r="W526" t="s">
        <v>10477</v>
      </c>
      <c r="X526" t="s">
        <v>10478</v>
      </c>
      <c r="Y526" t="s">
        <v>10479</v>
      </c>
      <c r="Z526" t="s">
        <v>10480</v>
      </c>
      <c r="AA526" t="s">
        <v>10481</v>
      </c>
      <c r="AB526" t="s">
        <v>10482</v>
      </c>
      <c r="AC526" t="s">
        <v>10483</v>
      </c>
      <c r="AD526" t="s">
        <v>10484</v>
      </c>
      <c r="AE526" t="s">
        <v>10485</v>
      </c>
      <c r="AF526" t="s">
        <v>74</v>
      </c>
      <c r="AG526">
        <v>73</v>
      </c>
      <c r="AH526">
        <v>24</v>
      </c>
      <c r="AI526">
        <v>24</v>
      </c>
      <c r="AJ526">
        <v>2</v>
      </c>
      <c r="AK526">
        <v>35</v>
      </c>
      <c r="AL526" t="s">
        <v>153</v>
      </c>
      <c r="AM526" t="s">
        <v>154</v>
      </c>
      <c r="AN526" t="s">
        <v>155</v>
      </c>
      <c r="AO526" t="s">
        <v>10486</v>
      </c>
      <c r="AP526" t="s">
        <v>74</v>
      </c>
      <c r="AQ526" t="s">
        <v>74</v>
      </c>
      <c r="AR526" t="s">
        <v>10487</v>
      </c>
      <c r="AS526" t="s">
        <v>10488</v>
      </c>
      <c r="AT526" t="s">
        <v>7895</v>
      </c>
      <c r="AU526">
        <v>2019</v>
      </c>
      <c r="AV526">
        <v>12</v>
      </c>
      <c r="AW526">
        <v>3</v>
      </c>
      <c r="AX526" t="s">
        <v>74</v>
      </c>
      <c r="AY526" t="s">
        <v>74</v>
      </c>
      <c r="AZ526" t="s">
        <v>74</v>
      </c>
      <c r="BA526" t="s">
        <v>74</v>
      </c>
      <c r="BB526">
        <v>519</v>
      </c>
      <c r="BC526">
        <v>534</v>
      </c>
      <c r="BD526" t="s">
        <v>74</v>
      </c>
      <c r="BE526" t="s">
        <v>10489</v>
      </c>
      <c r="BF526" t="str">
        <f>HYPERLINK("http://dx.doi.org/10.1111/eva.12736","http://dx.doi.org/10.1111/eva.12736")</f>
        <v>http://dx.doi.org/10.1111/eva.12736</v>
      </c>
      <c r="BG526" t="s">
        <v>74</v>
      </c>
      <c r="BH526" t="s">
        <v>74</v>
      </c>
      <c r="BI526">
        <v>16</v>
      </c>
      <c r="BJ526" t="s">
        <v>10490</v>
      </c>
      <c r="BK526" t="s">
        <v>102</v>
      </c>
      <c r="BL526" t="s">
        <v>10490</v>
      </c>
      <c r="BM526" t="s">
        <v>10491</v>
      </c>
      <c r="BN526">
        <v>30847007</v>
      </c>
      <c r="BO526" t="s">
        <v>1100</v>
      </c>
      <c r="BP526" t="s">
        <v>74</v>
      </c>
      <c r="BQ526" t="s">
        <v>74</v>
      </c>
      <c r="BR526" t="s">
        <v>107</v>
      </c>
      <c r="BS526" t="s">
        <v>10492</v>
      </c>
      <c r="BT526" t="str">
        <f>HYPERLINK("https%3A%2F%2Fwww.webofscience.com%2Fwos%2Fwoscc%2Ffull-record%2FWOS:000459328300012","View Full Record in Web of Science")</f>
        <v>View Full Record in Web of Science</v>
      </c>
    </row>
    <row r="527" spans="1:72" x14ac:dyDescent="0.15">
      <c r="A527" t="s">
        <v>72</v>
      </c>
      <c r="B527" t="s">
        <v>10493</v>
      </c>
      <c r="C527" t="s">
        <v>74</v>
      </c>
      <c r="D527" t="s">
        <v>74</v>
      </c>
      <c r="E527" t="s">
        <v>74</v>
      </c>
      <c r="F527" t="s">
        <v>10494</v>
      </c>
      <c r="G527" t="s">
        <v>74</v>
      </c>
      <c r="H527" t="s">
        <v>74</v>
      </c>
      <c r="I527" t="s">
        <v>10495</v>
      </c>
      <c r="J527" t="s">
        <v>2676</v>
      </c>
      <c r="K527" t="s">
        <v>74</v>
      </c>
      <c r="L527" t="s">
        <v>74</v>
      </c>
      <c r="M527" t="s">
        <v>78</v>
      </c>
      <c r="N527" t="s">
        <v>79</v>
      </c>
      <c r="O527" t="s">
        <v>74</v>
      </c>
      <c r="P527" t="s">
        <v>74</v>
      </c>
      <c r="Q527" t="s">
        <v>74</v>
      </c>
      <c r="R527" t="s">
        <v>74</v>
      </c>
      <c r="S527" t="s">
        <v>74</v>
      </c>
      <c r="T527" t="s">
        <v>10496</v>
      </c>
      <c r="U527" t="s">
        <v>10497</v>
      </c>
      <c r="V527" t="s">
        <v>10498</v>
      </c>
      <c r="W527" t="s">
        <v>10499</v>
      </c>
      <c r="X527" t="s">
        <v>10500</v>
      </c>
      <c r="Y527" t="s">
        <v>10501</v>
      </c>
      <c r="Z527" t="s">
        <v>10502</v>
      </c>
      <c r="AA527" t="s">
        <v>10503</v>
      </c>
      <c r="AB527" t="s">
        <v>10504</v>
      </c>
      <c r="AC527" t="s">
        <v>10505</v>
      </c>
      <c r="AD527" t="s">
        <v>10506</v>
      </c>
      <c r="AE527" t="s">
        <v>10507</v>
      </c>
      <c r="AF527" t="s">
        <v>74</v>
      </c>
      <c r="AG527">
        <v>735</v>
      </c>
      <c r="AH527">
        <v>66</v>
      </c>
      <c r="AI527">
        <v>72</v>
      </c>
      <c r="AJ527">
        <v>6</v>
      </c>
      <c r="AK527">
        <v>50</v>
      </c>
      <c r="AL527" t="s">
        <v>125</v>
      </c>
      <c r="AM527" t="s">
        <v>126</v>
      </c>
      <c r="AN527" t="s">
        <v>127</v>
      </c>
      <c r="AO527" t="s">
        <v>74</v>
      </c>
      <c r="AP527" t="s">
        <v>2688</v>
      </c>
      <c r="AQ527" t="s">
        <v>74</v>
      </c>
      <c r="AR527" t="s">
        <v>2689</v>
      </c>
      <c r="AS527" t="s">
        <v>2690</v>
      </c>
      <c r="AT527" t="s">
        <v>7895</v>
      </c>
      <c r="AU527">
        <v>2019</v>
      </c>
      <c r="AV527">
        <v>20</v>
      </c>
      <c r="AW527">
        <v>3</v>
      </c>
      <c r="AX527" t="s">
        <v>74</v>
      </c>
      <c r="AY527" t="s">
        <v>74</v>
      </c>
      <c r="AZ527" t="s">
        <v>74</v>
      </c>
      <c r="BA527" t="s">
        <v>74</v>
      </c>
      <c r="BB527">
        <v>1387</v>
      </c>
      <c r="BC527">
        <v>1424</v>
      </c>
      <c r="BD527" t="s">
        <v>74</v>
      </c>
      <c r="BE527" t="s">
        <v>10508</v>
      </c>
      <c r="BF527" t="str">
        <f>HYPERLINK("http://dx.doi.org/10.1029/2018GC007630","http://dx.doi.org/10.1029/2018GC007630")</f>
        <v>http://dx.doi.org/10.1029/2018GC007630</v>
      </c>
      <c r="BG527" t="s">
        <v>74</v>
      </c>
      <c r="BH527" t="s">
        <v>74</v>
      </c>
      <c r="BI527">
        <v>38</v>
      </c>
      <c r="BJ527" t="s">
        <v>643</v>
      </c>
      <c r="BK527" t="s">
        <v>102</v>
      </c>
      <c r="BL527" t="s">
        <v>643</v>
      </c>
      <c r="BM527" t="s">
        <v>8484</v>
      </c>
      <c r="BN527" t="s">
        <v>74</v>
      </c>
      <c r="BO527" t="s">
        <v>223</v>
      </c>
      <c r="BP527" t="s">
        <v>74</v>
      </c>
      <c r="BQ527" t="s">
        <v>74</v>
      </c>
      <c r="BR527" t="s">
        <v>107</v>
      </c>
      <c r="BS527" t="s">
        <v>10509</v>
      </c>
      <c r="BT527" t="str">
        <f>HYPERLINK("https%3A%2F%2Fwww.webofscience.com%2Fwos%2Fwoscc%2Ffull-record%2FWOS:000464647100008","View Full Record in Web of Science")</f>
        <v>View Full Record in Web of Science</v>
      </c>
    </row>
    <row r="528" spans="1:72" x14ac:dyDescent="0.15">
      <c r="A528" t="s">
        <v>72</v>
      </c>
      <c r="B528" t="s">
        <v>10510</v>
      </c>
      <c r="C528" t="s">
        <v>74</v>
      </c>
      <c r="D528" t="s">
        <v>74</v>
      </c>
      <c r="E528" t="s">
        <v>74</v>
      </c>
      <c r="F528" t="s">
        <v>10511</v>
      </c>
      <c r="G528" t="s">
        <v>74</v>
      </c>
      <c r="H528" t="s">
        <v>74</v>
      </c>
      <c r="I528" t="s">
        <v>10512</v>
      </c>
      <c r="J528" t="s">
        <v>10513</v>
      </c>
      <c r="K528" t="s">
        <v>74</v>
      </c>
      <c r="L528" t="s">
        <v>74</v>
      </c>
      <c r="M528" t="s">
        <v>78</v>
      </c>
      <c r="N528" t="s">
        <v>79</v>
      </c>
      <c r="O528" t="s">
        <v>74</v>
      </c>
      <c r="P528" t="s">
        <v>74</v>
      </c>
      <c r="Q528" t="s">
        <v>74</v>
      </c>
      <c r="R528" t="s">
        <v>74</v>
      </c>
      <c r="S528" t="s">
        <v>74</v>
      </c>
      <c r="T528" t="s">
        <v>74</v>
      </c>
      <c r="U528" t="s">
        <v>10514</v>
      </c>
      <c r="V528" t="s">
        <v>10515</v>
      </c>
      <c r="W528" t="s">
        <v>10516</v>
      </c>
      <c r="X528" t="s">
        <v>10517</v>
      </c>
      <c r="Y528" t="s">
        <v>10518</v>
      </c>
      <c r="Z528" t="s">
        <v>10519</v>
      </c>
      <c r="AA528" t="s">
        <v>10520</v>
      </c>
      <c r="AB528" t="s">
        <v>10521</v>
      </c>
      <c r="AC528" t="s">
        <v>10522</v>
      </c>
      <c r="AD528" t="s">
        <v>10523</v>
      </c>
      <c r="AE528" t="s">
        <v>10524</v>
      </c>
      <c r="AF528" t="s">
        <v>74</v>
      </c>
      <c r="AG528">
        <v>144</v>
      </c>
      <c r="AH528">
        <v>314</v>
      </c>
      <c r="AI528">
        <v>346</v>
      </c>
      <c r="AJ528">
        <v>13</v>
      </c>
      <c r="AK528">
        <v>140</v>
      </c>
      <c r="AL528" t="s">
        <v>125</v>
      </c>
      <c r="AM528" t="s">
        <v>126</v>
      </c>
      <c r="AN528" t="s">
        <v>127</v>
      </c>
      <c r="AO528" t="s">
        <v>10525</v>
      </c>
      <c r="AP528" t="s">
        <v>10526</v>
      </c>
      <c r="AQ528" t="s">
        <v>74</v>
      </c>
      <c r="AR528" t="s">
        <v>10527</v>
      </c>
      <c r="AS528" t="s">
        <v>10528</v>
      </c>
      <c r="AT528" t="s">
        <v>7895</v>
      </c>
      <c r="AU528">
        <v>2019</v>
      </c>
      <c r="AV528">
        <v>33</v>
      </c>
      <c r="AW528">
        <v>3</v>
      </c>
      <c r="AX528" t="s">
        <v>74</v>
      </c>
      <c r="AY528" t="s">
        <v>74</v>
      </c>
      <c r="AZ528" t="s">
        <v>74</v>
      </c>
      <c r="BA528" t="s">
        <v>74</v>
      </c>
      <c r="BB528">
        <v>318</v>
      </c>
      <c r="BC528">
        <v>342</v>
      </c>
      <c r="BD528" t="s">
        <v>74</v>
      </c>
      <c r="BE528" t="s">
        <v>10529</v>
      </c>
      <c r="BF528" t="str">
        <f>HYPERLINK("http://dx.doi.org/10.1029/2018GB006009","http://dx.doi.org/10.1029/2018GB006009")</f>
        <v>http://dx.doi.org/10.1029/2018GB006009</v>
      </c>
      <c r="BG528" t="s">
        <v>74</v>
      </c>
      <c r="BH528" t="s">
        <v>74</v>
      </c>
      <c r="BI528">
        <v>25</v>
      </c>
      <c r="BJ528" t="s">
        <v>10530</v>
      </c>
      <c r="BK528" t="s">
        <v>102</v>
      </c>
      <c r="BL528" t="s">
        <v>10531</v>
      </c>
      <c r="BM528" t="s">
        <v>10532</v>
      </c>
      <c r="BN528" t="s">
        <v>74</v>
      </c>
      <c r="BO528" t="s">
        <v>7783</v>
      </c>
      <c r="BP528" t="s">
        <v>105</v>
      </c>
      <c r="BQ528" t="s">
        <v>106</v>
      </c>
      <c r="BR528" t="s">
        <v>107</v>
      </c>
      <c r="BS528" t="s">
        <v>10533</v>
      </c>
      <c r="BT528" t="str">
        <f>HYPERLINK("https%3A%2F%2Fwww.webofscience.com%2Fwos%2Fwoscc%2Ffull-record%2FWOS:000464651600006","View Full Record in Web of Science")</f>
        <v>View Full Record in Web of Science</v>
      </c>
    </row>
    <row r="529" spans="1:72" x14ac:dyDescent="0.15">
      <c r="A529" t="s">
        <v>72</v>
      </c>
      <c r="B529" t="s">
        <v>10534</v>
      </c>
      <c r="C529" t="s">
        <v>74</v>
      </c>
      <c r="D529" t="s">
        <v>74</v>
      </c>
      <c r="E529" t="s">
        <v>74</v>
      </c>
      <c r="F529" t="s">
        <v>10535</v>
      </c>
      <c r="G529" t="s">
        <v>74</v>
      </c>
      <c r="H529" t="s">
        <v>74</v>
      </c>
      <c r="I529" t="s">
        <v>10536</v>
      </c>
      <c r="J529" t="s">
        <v>10537</v>
      </c>
      <c r="K529" t="s">
        <v>74</v>
      </c>
      <c r="L529" t="s">
        <v>74</v>
      </c>
      <c r="M529" t="s">
        <v>78</v>
      </c>
      <c r="N529" t="s">
        <v>79</v>
      </c>
      <c r="O529" t="s">
        <v>74</v>
      </c>
      <c r="P529" t="s">
        <v>74</v>
      </c>
      <c r="Q529" t="s">
        <v>74</v>
      </c>
      <c r="R529" t="s">
        <v>74</v>
      </c>
      <c r="S529" t="s">
        <v>74</v>
      </c>
      <c r="T529" t="s">
        <v>74</v>
      </c>
      <c r="U529" t="s">
        <v>10538</v>
      </c>
      <c r="V529" t="s">
        <v>10539</v>
      </c>
      <c r="W529" t="s">
        <v>10540</v>
      </c>
      <c r="X529" t="s">
        <v>10541</v>
      </c>
      <c r="Y529" t="s">
        <v>10542</v>
      </c>
      <c r="Z529" t="s">
        <v>10543</v>
      </c>
      <c r="AA529" t="s">
        <v>10544</v>
      </c>
      <c r="AB529" t="s">
        <v>10545</v>
      </c>
      <c r="AC529" t="s">
        <v>10546</v>
      </c>
      <c r="AD529" t="s">
        <v>10547</v>
      </c>
      <c r="AE529" t="s">
        <v>10548</v>
      </c>
      <c r="AF529" t="s">
        <v>74</v>
      </c>
      <c r="AG529">
        <v>19</v>
      </c>
      <c r="AH529">
        <v>46</v>
      </c>
      <c r="AI529">
        <v>49</v>
      </c>
      <c r="AJ529">
        <v>2</v>
      </c>
      <c r="AK529">
        <v>46</v>
      </c>
      <c r="AL529" t="s">
        <v>328</v>
      </c>
      <c r="AM529" t="s">
        <v>329</v>
      </c>
      <c r="AN529" t="s">
        <v>330</v>
      </c>
      <c r="AO529" t="s">
        <v>10549</v>
      </c>
      <c r="AP529" t="s">
        <v>10550</v>
      </c>
      <c r="AQ529" t="s">
        <v>74</v>
      </c>
      <c r="AR529" t="s">
        <v>10551</v>
      </c>
      <c r="AS529" t="s">
        <v>10552</v>
      </c>
      <c r="AT529" t="s">
        <v>7895</v>
      </c>
      <c r="AU529">
        <v>2019</v>
      </c>
      <c r="AV529">
        <v>13</v>
      </c>
      <c r="AW529">
        <v>3</v>
      </c>
      <c r="AX529" t="s">
        <v>74</v>
      </c>
      <c r="AY529" t="s">
        <v>74</v>
      </c>
      <c r="AZ529" t="s">
        <v>74</v>
      </c>
      <c r="BA529" t="s">
        <v>74</v>
      </c>
      <c r="BB529">
        <v>734</v>
      </c>
      <c r="BC529">
        <v>737</v>
      </c>
      <c r="BD529" t="s">
        <v>74</v>
      </c>
      <c r="BE529" t="s">
        <v>10553</v>
      </c>
      <c r="BF529" t="str">
        <f>HYPERLINK("http://dx.doi.org/10.1038/s41396-018-0306-7","http://dx.doi.org/10.1038/s41396-018-0306-7")</f>
        <v>http://dx.doi.org/10.1038/s41396-018-0306-7</v>
      </c>
      <c r="BG529" t="s">
        <v>74</v>
      </c>
      <c r="BH529" t="s">
        <v>74</v>
      </c>
      <c r="BI529">
        <v>4</v>
      </c>
      <c r="BJ529" t="s">
        <v>10554</v>
      </c>
      <c r="BK529" t="s">
        <v>102</v>
      </c>
      <c r="BL529" t="s">
        <v>4969</v>
      </c>
      <c r="BM529" t="s">
        <v>10555</v>
      </c>
      <c r="BN529">
        <v>30367123</v>
      </c>
      <c r="BO529" t="s">
        <v>2631</v>
      </c>
      <c r="BP529" t="s">
        <v>74</v>
      </c>
      <c r="BQ529" t="s">
        <v>74</v>
      </c>
      <c r="BR529" t="s">
        <v>107</v>
      </c>
      <c r="BS529" t="s">
        <v>10556</v>
      </c>
      <c r="BT529" t="str">
        <f>HYPERLINK("https%3A%2F%2Fwww.webofscience.com%2Fwos%2Fwoscc%2Ffull-record%2FWOS:000459053600014","View Full Record in Web of Science")</f>
        <v>View Full Record in Web of Science</v>
      </c>
    </row>
    <row r="530" spans="1:72" x14ac:dyDescent="0.15">
      <c r="A530" t="s">
        <v>72</v>
      </c>
      <c r="B530" t="s">
        <v>10557</v>
      </c>
      <c r="C530" t="s">
        <v>74</v>
      </c>
      <c r="D530" t="s">
        <v>74</v>
      </c>
      <c r="E530" t="s">
        <v>74</v>
      </c>
      <c r="F530" t="s">
        <v>10558</v>
      </c>
      <c r="G530" t="s">
        <v>74</v>
      </c>
      <c r="H530" t="s">
        <v>74</v>
      </c>
      <c r="I530" t="s">
        <v>10559</v>
      </c>
      <c r="J530" t="s">
        <v>3971</v>
      </c>
      <c r="K530" t="s">
        <v>74</v>
      </c>
      <c r="L530" t="s">
        <v>74</v>
      </c>
      <c r="M530" t="s">
        <v>78</v>
      </c>
      <c r="N530" t="s">
        <v>79</v>
      </c>
      <c r="O530" t="s">
        <v>74</v>
      </c>
      <c r="P530" t="s">
        <v>74</v>
      </c>
      <c r="Q530" t="s">
        <v>74</v>
      </c>
      <c r="R530" t="s">
        <v>74</v>
      </c>
      <c r="S530" t="s">
        <v>74</v>
      </c>
      <c r="T530" t="s">
        <v>10560</v>
      </c>
      <c r="U530" t="s">
        <v>10561</v>
      </c>
      <c r="V530" t="s">
        <v>10562</v>
      </c>
      <c r="W530" t="s">
        <v>10563</v>
      </c>
      <c r="X530" t="s">
        <v>10564</v>
      </c>
      <c r="Y530" t="s">
        <v>10565</v>
      </c>
      <c r="Z530" t="s">
        <v>9410</v>
      </c>
      <c r="AA530" t="s">
        <v>74</v>
      </c>
      <c r="AB530" t="s">
        <v>10566</v>
      </c>
      <c r="AC530" t="s">
        <v>10567</v>
      </c>
      <c r="AD530" t="s">
        <v>10568</v>
      </c>
      <c r="AE530" t="s">
        <v>10569</v>
      </c>
      <c r="AF530" t="s">
        <v>74</v>
      </c>
      <c r="AG530">
        <v>54</v>
      </c>
      <c r="AH530">
        <v>9</v>
      </c>
      <c r="AI530">
        <v>10</v>
      </c>
      <c r="AJ530">
        <v>4</v>
      </c>
      <c r="AK530">
        <v>14</v>
      </c>
      <c r="AL530" t="s">
        <v>3984</v>
      </c>
      <c r="AM530" t="s">
        <v>1004</v>
      </c>
      <c r="AN530" t="s">
        <v>3985</v>
      </c>
      <c r="AO530" t="s">
        <v>3986</v>
      </c>
      <c r="AP530" t="s">
        <v>3987</v>
      </c>
      <c r="AQ530" t="s">
        <v>74</v>
      </c>
      <c r="AR530" t="s">
        <v>3988</v>
      </c>
      <c r="AS530" t="s">
        <v>3989</v>
      </c>
      <c r="AT530" t="s">
        <v>7895</v>
      </c>
      <c r="AU530">
        <v>2019</v>
      </c>
      <c r="AV530">
        <v>222</v>
      </c>
      <c r="AW530">
        <v>6</v>
      </c>
      <c r="AX530" t="s">
        <v>74</v>
      </c>
      <c r="AY530" t="s">
        <v>74</v>
      </c>
      <c r="AZ530" t="s">
        <v>74</v>
      </c>
      <c r="BA530" t="s">
        <v>74</v>
      </c>
      <c r="BB530" t="s">
        <v>74</v>
      </c>
      <c r="BC530" t="s">
        <v>74</v>
      </c>
      <c r="BD530" t="s">
        <v>10570</v>
      </c>
      <c r="BE530" t="s">
        <v>10571</v>
      </c>
      <c r="BF530" t="str">
        <f>HYPERLINK("http://dx.doi.org/10.1242/jeb.188573","http://dx.doi.org/10.1242/jeb.188573")</f>
        <v>http://dx.doi.org/10.1242/jeb.188573</v>
      </c>
      <c r="BG530" t="s">
        <v>74</v>
      </c>
      <c r="BH530" t="s">
        <v>74</v>
      </c>
      <c r="BI530">
        <v>16</v>
      </c>
      <c r="BJ530" t="s">
        <v>3992</v>
      </c>
      <c r="BK530" t="s">
        <v>102</v>
      </c>
      <c r="BL530" t="s">
        <v>3993</v>
      </c>
      <c r="BM530" t="s">
        <v>10572</v>
      </c>
      <c r="BN530">
        <v>30765469</v>
      </c>
      <c r="BO530" t="s">
        <v>198</v>
      </c>
      <c r="BP530" t="s">
        <v>74</v>
      </c>
      <c r="BQ530" t="s">
        <v>74</v>
      </c>
      <c r="BR530" t="s">
        <v>107</v>
      </c>
      <c r="BS530" t="s">
        <v>10573</v>
      </c>
      <c r="BT530" t="str">
        <f>HYPERLINK("https%3A%2F%2Fwww.webofscience.com%2Fwos%2Fwoscc%2Ffull-record%2FWOS:000462866500005","View Full Record in Web of Science")</f>
        <v>View Full Record in Web of Science</v>
      </c>
    </row>
    <row r="531" spans="1:72" x14ac:dyDescent="0.15">
      <c r="A531" t="s">
        <v>72</v>
      </c>
      <c r="B531" t="s">
        <v>10574</v>
      </c>
      <c r="C531" t="s">
        <v>74</v>
      </c>
      <c r="D531" t="s">
        <v>74</v>
      </c>
      <c r="E531" t="s">
        <v>74</v>
      </c>
      <c r="F531" t="s">
        <v>10575</v>
      </c>
      <c r="G531" t="s">
        <v>74</v>
      </c>
      <c r="H531" t="s">
        <v>74</v>
      </c>
      <c r="I531" t="s">
        <v>10576</v>
      </c>
      <c r="J531" t="s">
        <v>9084</v>
      </c>
      <c r="K531" t="s">
        <v>74</v>
      </c>
      <c r="L531" t="s">
        <v>74</v>
      </c>
      <c r="M531" t="s">
        <v>78</v>
      </c>
      <c r="N531" t="s">
        <v>79</v>
      </c>
      <c r="O531" t="s">
        <v>74</v>
      </c>
      <c r="P531" t="s">
        <v>74</v>
      </c>
      <c r="Q531" t="s">
        <v>74</v>
      </c>
      <c r="R531" t="s">
        <v>74</v>
      </c>
      <c r="S531" t="s">
        <v>74</v>
      </c>
      <c r="T531" t="s">
        <v>74</v>
      </c>
      <c r="U531" t="s">
        <v>10577</v>
      </c>
      <c r="V531" t="s">
        <v>10578</v>
      </c>
      <c r="W531" t="s">
        <v>10579</v>
      </c>
      <c r="X531" t="s">
        <v>10580</v>
      </c>
      <c r="Y531" t="s">
        <v>10581</v>
      </c>
      <c r="Z531" t="s">
        <v>10582</v>
      </c>
      <c r="AA531" t="s">
        <v>10583</v>
      </c>
      <c r="AB531" t="s">
        <v>10584</v>
      </c>
      <c r="AC531" t="s">
        <v>10585</v>
      </c>
      <c r="AD531" t="s">
        <v>10586</v>
      </c>
      <c r="AE531" t="s">
        <v>10587</v>
      </c>
      <c r="AF531" t="s">
        <v>74</v>
      </c>
      <c r="AG531">
        <v>90</v>
      </c>
      <c r="AH531">
        <v>24</v>
      </c>
      <c r="AI531">
        <v>24</v>
      </c>
      <c r="AJ531">
        <v>3</v>
      </c>
      <c r="AK531">
        <v>49</v>
      </c>
      <c r="AL531" t="s">
        <v>153</v>
      </c>
      <c r="AM531" t="s">
        <v>154</v>
      </c>
      <c r="AN531" t="s">
        <v>155</v>
      </c>
      <c r="AO531" t="s">
        <v>9090</v>
      </c>
      <c r="AP531" t="s">
        <v>9091</v>
      </c>
      <c r="AQ531" t="s">
        <v>74</v>
      </c>
      <c r="AR531" t="s">
        <v>9092</v>
      </c>
      <c r="AS531" t="s">
        <v>9093</v>
      </c>
      <c r="AT531" t="s">
        <v>7895</v>
      </c>
      <c r="AU531">
        <v>2019</v>
      </c>
      <c r="AV531">
        <v>64</v>
      </c>
      <c r="AW531">
        <v>2</v>
      </c>
      <c r="AX531" t="s">
        <v>74</v>
      </c>
      <c r="AY531" t="s">
        <v>74</v>
      </c>
      <c r="AZ531" t="s">
        <v>74</v>
      </c>
      <c r="BA531" t="s">
        <v>74</v>
      </c>
      <c r="BB531">
        <v>661</v>
      </c>
      <c r="BC531">
        <v>678</v>
      </c>
      <c r="BD531" t="s">
        <v>74</v>
      </c>
      <c r="BE531" t="s">
        <v>10588</v>
      </c>
      <c r="BF531" t="str">
        <f>HYPERLINK("http://dx.doi.org/10.1002/lno.11067","http://dx.doi.org/10.1002/lno.11067")</f>
        <v>http://dx.doi.org/10.1002/lno.11067</v>
      </c>
      <c r="BG531" t="s">
        <v>74</v>
      </c>
      <c r="BH531" t="s">
        <v>74</v>
      </c>
      <c r="BI531">
        <v>18</v>
      </c>
      <c r="BJ531" t="s">
        <v>249</v>
      </c>
      <c r="BK531" t="s">
        <v>102</v>
      </c>
      <c r="BL531" t="s">
        <v>250</v>
      </c>
      <c r="BM531" t="s">
        <v>9095</v>
      </c>
      <c r="BN531" t="s">
        <v>74</v>
      </c>
      <c r="BO531" t="s">
        <v>10589</v>
      </c>
      <c r="BP531" t="s">
        <v>74</v>
      </c>
      <c r="BQ531" t="s">
        <v>74</v>
      </c>
      <c r="BR531" t="s">
        <v>107</v>
      </c>
      <c r="BS531" t="s">
        <v>10590</v>
      </c>
      <c r="BT531" t="str">
        <f>HYPERLINK("https%3A%2F%2Fwww.webofscience.com%2Fwos%2Fwoscc%2Ffull-record%2FWOS:000461865500017","View Full Record in Web of Science")</f>
        <v>View Full Record in Web of Science</v>
      </c>
    </row>
    <row r="532" spans="1:72" x14ac:dyDescent="0.15">
      <c r="A532" t="s">
        <v>72</v>
      </c>
      <c r="B532" t="s">
        <v>10591</v>
      </c>
      <c r="C532" t="s">
        <v>74</v>
      </c>
      <c r="D532" t="s">
        <v>74</v>
      </c>
      <c r="E532" t="s">
        <v>74</v>
      </c>
      <c r="F532" t="s">
        <v>10592</v>
      </c>
      <c r="G532" t="s">
        <v>74</v>
      </c>
      <c r="H532" t="s">
        <v>74</v>
      </c>
      <c r="I532" t="s">
        <v>10593</v>
      </c>
      <c r="J532" t="s">
        <v>10594</v>
      </c>
      <c r="K532" t="s">
        <v>74</v>
      </c>
      <c r="L532" t="s">
        <v>74</v>
      </c>
      <c r="M532" t="s">
        <v>78</v>
      </c>
      <c r="N532" t="s">
        <v>79</v>
      </c>
      <c r="O532" t="s">
        <v>74</v>
      </c>
      <c r="P532" t="s">
        <v>74</v>
      </c>
      <c r="Q532" t="s">
        <v>74</v>
      </c>
      <c r="R532" t="s">
        <v>74</v>
      </c>
      <c r="S532" t="s">
        <v>74</v>
      </c>
      <c r="T532" t="s">
        <v>10595</v>
      </c>
      <c r="U532" t="s">
        <v>10596</v>
      </c>
      <c r="V532" t="s">
        <v>10597</v>
      </c>
      <c r="W532" t="s">
        <v>10598</v>
      </c>
      <c r="X532" t="s">
        <v>10599</v>
      </c>
      <c r="Y532" t="s">
        <v>10600</v>
      </c>
      <c r="Z532" t="s">
        <v>10601</v>
      </c>
      <c r="AA532" t="s">
        <v>10602</v>
      </c>
      <c r="AB532" t="s">
        <v>10603</v>
      </c>
      <c r="AC532" t="s">
        <v>10604</v>
      </c>
      <c r="AD532" t="s">
        <v>10605</v>
      </c>
      <c r="AE532" t="s">
        <v>10606</v>
      </c>
      <c r="AF532" t="s">
        <v>74</v>
      </c>
      <c r="AG532">
        <v>80</v>
      </c>
      <c r="AH532">
        <v>35</v>
      </c>
      <c r="AI532">
        <v>38</v>
      </c>
      <c r="AJ532">
        <v>0</v>
      </c>
      <c r="AK532">
        <v>32</v>
      </c>
      <c r="AL532" t="s">
        <v>153</v>
      </c>
      <c r="AM532" t="s">
        <v>154</v>
      </c>
      <c r="AN532" t="s">
        <v>155</v>
      </c>
      <c r="AO532" t="s">
        <v>10607</v>
      </c>
      <c r="AP532" t="s">
        <v>10608</v>
      </c>
      <c r="AQ532" t="s">
        <v>74</v>
      </c>
      <c r="AR532" t="s">
        <v>10609</v>
      </c>
      <c r="AS532" t="s">
        <v>10610</v>
      </c>
      <c r="AT532" t="s">
        <v>7895</v>
      </c>
      <c r="AU532">
        <v>2019</v>
      </c>
      <c r="AV532">
        <v>19</v>
      </c>
      <c r="AW532">
        <v>2</v>
      </c>
      <c r="AX532" t="s">
        <v>74</v>
      </c>
      <c r="AY532" t="s">
        <v>74</v>
      </c>
      <c r="AZ532" t="s">
        <v>74</v>
      </c>
      <c r="BA532" t="s">
        <v>74</v>
      </c>
      <c r="BB532">
        <v>411</v>
      </c>
      <c r="BC532">
        <v>425</v>
      </c>
      <c r="BD532" t="s">
        <v>74</v>
      </c>
      <c r="BE532" t="s">
        <v>10611</v>
      </c>
      <c r="BF532" t="str">
        <f>HYPERLINK("http://dx.doi.org/10.1111/1755-0998.12981","http://dx.doi.org/10.1111/1755-0998.12981")</f>
        <v>http://dx.doi.org/10.1111/1755-0998.12981</v>
      </c>
      <c r="BG532" t="s">
        <v>74</v>
      </c>
      <c r="BH532" t="s">
        <v>74</v>
      </c>
      <c r="BI532">
        <v>15</v>
      </c>
      <c r="BJ532" t="s">
        <v>5440</v>
      </c>
      <c r="BK532" t="s">
        <v>102</v>
      </c>
      <c r="BL532" t="s">
        <v>5441</v>
      </c>
      <c r="BM532" t="s">
        <v>10612</v>
      </c>
      <c r="BN532">
        <v>30576072</v>
      </c>
      <c r="BO532" t="s">
        <v>925</v>
      </c>
      <c r="BP532" t="s">
        <v>74</v>
      </c>
      <c r="BQ532" t="s">
        <v>74</v>
      </c>
      <c r="BR532" t="s">
        <v>107</v>
      </c>
      <c r="BS532" t="s">
        <v>10613</v>
      </c>
      <c r="BT532" t="str">
        <f>HYPERLINK("https%3A%2F%2Fwww.webofscience.com%2Fwos%2Fwoscc%2Ffull-record%2FWOS:000459815200009","View Full Record in Web of Science")</f>
        <v>View Full Record in Web of Science</v>
      </c>
    </row>
    <row r="533" spans="1:72" x14ac:dyDescent="0.15">
      <c r="A533" t="s">
        <v>72</v>
      </c>
      <c r="B533" t="s">
        <v>10614</v>
      </c>
      <c r="C533" t="s">
        <v>74</v>
      </c>
      <c r="D533" t="s">
        <v>74</v>
      </c>
      <c r="E533" t="s">
        <v>74</v>
      </c>
      <c r="F533" t="s">
        <v>10615</v>
      </c>
      <c r="G533" t="s">
        <v>74</v>
      </c>
      <c r="H533" t="s">
        <v>74</v>
      </c>
      <c r="I533" t="s">
        <v>10616</v>
      </c>
      <c r="J533" t="s">
        <v>321</v>
      </c>
      <c r="K533" t="s">
        <v>74</v>
      </c>
      <c r="L533" t="s">
        <v>74</v>
      </c>
      <c r="M533" t="s">
        <v>78</v>
      </c>
      <c r="N533" t="s">
        <v>79</v>
      </c>
      <c r="O533" t="s">
        <v>74</v>
      </c>
      <c r="P533" t="s">
        <v>74</v>
      </c>
      <c r="Q533" t="s">
        <v>74</v>
      </c>
      <c r="R533" t="s">
        <v>74</v>
      </c>
      <c r="S533" t="s">
        <v>74</v>
      </c>
      <c r="T533" t="s">
        <v>74</v>
      </c>
      <c r="U533" t="s">
        <v>10617</v>
      </c>
      <c r="V533" t="s">
        <v>10618</v>
      </c>
      <c r="W533" t="s">
        <v>10619</v>
      </c>
      <c r="X533" t="s">
        <v>10620</v>
      </c>
      <c r="Y533" t="s">
        <v>10621</v>
      </c>
      <c r="Z533" t="s">
        <v>10622</v>
      </c>
      <c r="AA533" t="s">
        <v>10623</v>
      </c>
      <c r="AB533" t="s">
        <v>10624</v>
      </c>
      <c r="AC533" t="s">
        <v>10625</v>
      </c>
      <c r="AD533" t="s">
        <v>10626</v>
      </c>
      <c r="AE533" t="s">
        <v>10627</v>
      </c>
      <c r="AF533" t="s">
        <v>74</v>
      </c>
      <c r="AG533">
        <v>49</v>
      </c>
      <c r="AH533">
        <v>69</v>
      </c>
      <c r="AI533">
        <v>73</v>
      </c>
      <c r="AJ533">
        <v>5</v>
      </c>
      <c r="AK533">
        <v>92</v>
      </c>
      <c r="AL533" t="s">
        <v>1393</v>
      </c>
      <c r="AM533" t="s">
        <v>1371</v>
      </c>
      <c r="AN533" t="s">
        <v>1372</v>
      </c>
      <c r="AO533" t="s">
        <v>331</v>
      </c>
      <c r="AP533" t="s">
        <v>332</v>
      </c>
      <c r="AQ533" t="s">
        <v>74</v>
      </c>
      <c r="AR533" t="s">
        <v>333</v>
      </c>
      <c r="AS533" t="s">
        <v>334</v>
      </c>
      <c r="AT533" t="s">
        <v>7895</v>
      </c>
      <c r="AU533">
        <v>2019</v>
      </c>
      <c r="AV533">
        <v>9</v>
      </c>
      <c r="AW533">
        <v>3</v>
      </c>
      <c r="AX533" t="s">
        <v>74</v>
      </c>
      <c r="AY533" t="s">
        <v>74</v>
      </c>
      <c r="AZ533" t="s">
        <v>74</v>
      </c>
      <c r="BA533" t="s">
        <v>74</v>
      </c>
      <c r="BB533">
        <v>237</v>
      </c>
      <c r="BC533" t="s">
        <v>1394</v>
      </c>
      <c r="BD533" t="s">
        <v>74</v>
      </c>
      <c r="BE533" t="s">
        <v>10628</v>
      </c>
      <c r="BF533" t="str">
        <f>HYPERLINK("http://dx.doi.org/10.1038/s41558-019-0420-1","http://dx.doi.org/10.1038/s41558-019-0420-1")</f>
        <v>http://dx.doi.org/10.1038/s41558-019-0420-1</v>
      </c>
      <c r="BG533" t="s">
        <v>74</v>
      </c>
      <c r="BH533" t="s">
        <v>74</v>
      </c>
      <c r="BI533">
        <v>10</v>
      </c>
      <c r="BJ533" t="s">
        <v>336</v>
      </c>
      <c r="BK533" t="s">
        <v>337</v>
      </c>
      <c r="BL533" t="s">
        <v>338</v>
      </c>
      <c r="BM533" t="s">
        <v>10325</v>
      </c>
      <c r="BN533" t="s">
        <v>74</v>
      </c>
      <c r="BO533" t="s">
        <v>6520</v>
      </c>
      <c r="BP533" t="s">
        <v>74</v>
      </c>
      <c r="BQ533" t="s">
        <v>74</v>
      </c>
      <c r="BR533" t="s">
        <v>107</v>
      </c>
      <c r="BS533" t="s">
        <v>10629</v>
      </c>
      <c r="BT533" t="str">
        <f>HYPERLINK("https%3A%2F%2Fwww.webofscience.com%2Fwos%2Fwoscc%2Ffull-record%2FWOS:000459579300021","View Full Record in Web of Science")</f>
        <v>View Full Record in Web of Science</v>
      </c>
    </row>
    <row r="534" spans="1:72" x14ac:dyDescent="0.15">
      <c r="A534" t="s">
        <v>72</v>
      </c>
      <c r="B534" t="s">
        <v>10630</v>
      </c>
      <c r="C534" t="s">
        <v>74</v>
      </c>
      <c r="D534" t="s">
        <v>74</v>
      </c>
      <c r="E534" t="s">
        <v>74</v>
      </c>
      <c r="F534" t="s">
        <v>10631</v>
      </c>
      <c r="G534" t="s">
        <v>74</v>
      </c>
      <c r="H534" t="s">
        <v>74</v>
      </c>
      <c r="I534" t="s">
        <v>10632</v>
      </c>
      <c r="J534" t="s">
        <v>10633</v>
      </c>
      <c r="K534" t="s">
        <v>74</v>
      </c>
      <c r="L534" t="s">
        <v>74</v>
      </c>
      <c r="M534" t="s">
        <v>78</v>
      </c>
      <c r="N534" t="s">
        <v>79</v>
      </c>
      <c r="O534" t="s">
        <v>74</v>
      </c>
      <c r="P534" t="s">
        <v>74</v>
      </c>
      <c r="Q534" t="s">
        <v>74</v>
      </c>
      <c r="R534" t="s">
        <v>74</v>
      </c>
      <c r="S534" t="s">
        <v>74</v>
      </c>
      <c r="T534" t="s">
        <v>74</v>
      </c>
      <c r="U534" t="s">
        <v>10634</v>
      </c>
      <c r="V534" t="s">
        <v>10635</v>
      </c>
      <c r="W534" t="s">
        <v>10636</v>
      </c>
      <c r="X534" t="s">
        <v>10637</v>
      </c>
      <c r="Y534" t="s">
        <v>10638</v>
      </c>
      <c r="Z534" t="s">
        <v>10639</v>
      </c>
      <c r="AA534" t="s">
        <v>10640</v>
      </c>
      <c r="AB534" t="s">
        <v>10641</v>
      </c>
      <c r="AC534" t="s">
        <v>10642</v>
      </c>
      <c r="AD534" t="s">
        <v>10643</v>
      </c>
      <c r="AE534" t="s">
        <v>10644</v>
      </c>
      <c r="AF534" t="s">
        <v>74</v>
      </c>
      <c r="AG534">
        <v>91</v>
      </c>
      <c r="AH534">
        <v>74</v>
      </c>
      <c r="AI534">
        <v>78</v>
      </c>
      <c r="AJ534">
        <v>7</v>
      </c>
      <c r="AK534">
        <v>98</v>
      </c>
      <c r="AL534" t="s">
        <v>328</v>
      </c>
      <c r="AM534" t="s">
        <v>329</v>
      </c>
      <c r="AN534" t="s">
        <v>330</v>
      </c>
      <c r="AO534" t="s">
        <v>10645</v>
      </c>
      <c r="AP534" t="s">
        <v>74</v>
      </c>
      <c r="AQ534" t="s">
        <v>74</v>
      </c>
      <c r="AR534" t="s">
        <v>10646</v>
      </c>
      <c r="AS534" t="s">
        <v>10647</v>
      </c>
      <c r="AT534" t="s">
        <v>7895</v>
      </c>
      <c r="AU534">
        <v>2019</v>
      </c>
      <c r="AV534">
        <v>3</v>
      </c>
      <c r="AW534">
        <v>3</v>
      </c>
      <c r="AX534" t="s">
        <v>74</v>
      </c>
      <c r="AY534" t="s">
        <v>74</v>
      </c>
      <c r="AZ534" t="s">
        <v>74</v>
      </c>
      <c r="BA534" t="s">
        <v>74</v>
      </c>
      <c r="BB534">
        <v>469</v>
      </c>
      <c r="BC534" t="s">
        <v>1394</v>
      </c>
      <c r="BD534" t="s">
        <v>74</v>
      </c>
      <c r="BE534" t="s">
        <v>10648</v>
      </c>
      <c r="BF534" t="str">
        <f>HYPERLINK("http://dx.doi.org/10.1038/s41559-019-0812-7","http://dx.doi.org/10.1038/s41559-019-0812-7")</f>
        <v>http://dx.doi.org/10.1038/s41559-019-0812-7</v>
      </c>
      <c r="BG534" t="s">
        <v>74</v>
      </c>
      <c r="BH534" t="s">
        <v>74</v>
      </c>
      <c r="BI534">
        <v>12</v>
      </c>
      <c r="BJ534" t="s">
        <v>3041</v>
      </c>
      <c r="BK534" t="s">
        <v>102</v>
      </c>
      <c r="BL534" t="s">
        <v>3042</v>
      </c>
      <c r="BM534" t="s">
        <v>10649</v>
      </c>
      <c r="BN534">
        <v>30804520</v>
      </c>
      <c r="BO534" t="s">
        <v>3785</v>
      </c>
      <c r="BP534" t="s">
        <v>74</v>
      </c>
      <c r="BQ534" t="s">
        <v>74</v>
      </c>
      <c r="BR534" t="s">
        <v>107</v>
      </c>
      <c r="BS534" t="s">
        <v>10650</v>
      </c>
      <c r="BT534" t="str">
        <f>HYPERLINK("https%3A%2F%2Fwww.webofscience.com%2Fwos%2Fwoscc%2Ffull-record%2FWOS:000459753700028","View Full Record in Web of Science")</f>
        <v>View Full Record in Web of Science</v>
      </c>
    </row>
    <row r="535" spans="1:72" x14ac:dyDescent="0.15">
      <c r="A535" t="s">
        <v>72</v>
      </c>
      <c r="B535" t="s">
        <v>10651</v>
      </c>
      <c r="C535" t="s">
        <v>74</v>
      </c>
      <c r="D535" t="s">
        <v>74</v>
      </c>
      <c r="E535" t="s">
        <v>74</v>
      </c>
      <c r="F535" t="s">
        <v>10652</v>
      </c>
      <c r="G535" t="s">
        <v>74</v>
      </c>
      <c r="H535" t="s">
        <v>74</v>
      </c>
      <c r="I535" t="s">
        <v>10653</v>
      </c>
      <c r="J535" t="s">
        <v>10654</v>
      </c>
      <c r="K535" t="s">
        <v>74</v>
      </c>
      <c r="L535" t="s">
        <v>74</v>
      </c>
      <c r="M535" t="s">
        <v>78</v>
      </c>
      <c r="N535" t="s">
        <v>79</v>
      </c>
      <c r="O535" t="s">
        <v>74</v>
      </c>
      <c r="P535" t="s">
        <v>74</v>
      </c>
      <c r="Q535" t="s">
        <v>74</v>
      </c>
      <c r="R535" t="s">
        <v>74</v>
      </c>
      <c r="S535" t="s">
        <v>74</v>
      </c>
      <c r="T535" t="s">
        <v>74</v>
      </c>
      <c r="U535" t="s">
        <v>10655</v>
      </c>
      <c r="V535" t="s">
        <v>10656</v>
      </c>
      <c r="W535" t="s">
        <v>10657</v>
      </c>
      <c r="X535" t="s">
        <v>10658</v>
      </c>
      <c r="Y535" t="s">
        <v>10659</v>
      </c>
      <c r="Z535" t="s">
        <v>10660</v>
      </c>
      <c r="AA535" t="s">
        <v>10661</v>
      </c>
      <c r="AB535" t="s">
        <v>10662</v>
      </c>
      <c r="AC535" t="s">
        <v>10663</v>
      </c>
      <c r="AD535" t="s">
        <v>10664</v>
      </c>
      <c r="AE535" t="s">
        <v>10665</v>
      </c>
      <c r="AF535" t="s">
        <v>74</v>
      </c>
      <c r="AG535">
        <v>55</v>
      </c>
      <c r="AH535">
        <v>371</v>
      </c>
      <c r="AI535">
        <v>396</v>
      </c>
      <c r="AJ535">
        <v>28</v>
      </c>
      <c r="AK535">
        <v>188</v>
      </c>
      <c r="AL535" t="s">
        <v>1393</v>
      </c>
      <c r="AM535" t="s">
        <v>1371</v>
      </c>
      <c r="AN535" t="s">
        <v>1372</v>
      </c>
      <c r="AO535" t="s">
        <v>10666</v>
      </c>
      <c r="AP535" t="s">
        <v>10667</v>
      </c>
      <c r="AQ535" t="s">
        <v>74</v>
      </c>
      <c r="AR535" t="s">
        <v>10668</v>
      </c>
      <c r="AS535" t="s">
        <v>10669</v>
      </c>
      <c r="AT535" t="s">
        <v>7895</v>
      </c>
      <c r="AU535">
        <v>2019</v>
      </c>
      <c r="AV535">
        <v>12</v>
      </c>
      <c r="AW535">
        <v>3</v>
      </c>
      <c r="AX535" t="s">
        <v>74</v>
      </c>
      <c r="AY535" t="s">
        <v>74</v>
      </c>
      <c r="AZ535" t="s">
        <v>74</v>
      </c>
      <c r="BA535" t="s">
        <v>74</v>
      </c>
      <c r="BB535">
        <v>168</v>
      </c>
      <c r="BC535" t="s">
        <v>1394</v>
      </c>
      <c r="BD535" t="s">
        <v>74</v>
      </c>
      <c r="BE535" t="s">
        <v>10670</v>
      </c>
      <c r="BF535" t="str">
        <f>HYPERLINK("http://dx.doi.org/10.1038/s41561-019-0300-3","http://dx.doi.org/10.1038/s41561-019-0300-3")</f>
        <v>http://dx.doi.org/10.1038/s41561-019-0300-3</v>
      </c>
      <c r="BG535" t="s">
        <v>74</v>
      </c>
      <c r="BH535" t="s">
        <v>74</v>
      </c>
      <c r="BI535">
        <v>7</v>
      </c>
      <c r="BJ535" t="s">
        <v>922</v>
      </c>
      <c r="BK535" t="s">
        <v>102</v>
      </c>
      <c r="BL535" t="s">
        <v>923</v>
      </c>
      <c r="BM535" t="s">
        <v>10671</v>
      </c>
      <c r="BN535" t="s">
        <v>74</v>
      </c>
      <c r="BO535" t="s">
        <v>403</v>
      </c>
      <c r="BP535" t="s">
        <v>105</v>
      </c>
      <c r="BQ535" t="s">
        <v>106</v>
      </c>
      <c r="BR535" t="s">
        <v>107</v>
      </c>
      <c r="BS535" t="s">
        <v>10672</v>
      </c>
      <c r="BT535" t="str">
        <f>HYPERLINK("https%3A%2F%2Fwww.webofscience.com%2Fwos%2Fwoscc%2Ffull-record%2FWOS:000460103000009","View Full Record in Web of Science")</f>
        <v>View Full Record in Web of Science</v>
      </c>
    </row>
    <row r="536" spans="1:72" x14ac:dyDescent="0.15">
      <c r="A536" t="s">
        <v>72</v>
      </c>
      <c r="B536" t="s">
        <v>10673</v>
      </c>
      <c r="C536" t="s">
        <v>74</v>
      </c>
      <c r="D536" t="s">
        <v>74</v>
      </c>
      <c r="E536" t="s">
        <v>74</v>
      </c>
      <c r="F536" t="s">
        <v>10674</v>
      </c>
      <c r="G536" t="s">
        <v>74</v>
      </c>
      <c r="H536" t="s">
        <v>74</v>
      </c>
      <c r="I536" t="s">
        <v>10675</v>
      </c>
      <c r="J536" t="s">
        <v>10654</v>
      </c>
      <c r="K536" t="s">
        <v>74</v>
      </c>
      <c r="L536" t="s">
        <v>74</v>
      </c>
      <c r="M536" t="s">
        <v>78</v>
      </c>
      <c r="N536" t="s">
        <v>79</v>
      </c>
      <c r="O536" t="s">
        <v>74</v>
      </c>
      <c r="P536" t="s">
        <v>74</v>
      </c>
      <c r="Q536" t="s">
        <v>74</v>
      </c>
      <c r="R536" t="s">
        <v>74</v>
      </c>
      <c r="S536" t="s">
        <v>74</v>
      </c>
      <c r="T536" t="s">
        <v>74</v>
      </c>
      <c r="U536" t="s">
        <v>10676</v>
      </c>
      <c r="V536" t="s">
        <v>10677</v>
      </c>
      <c r="W536" t="s">
        <v>10678</v>
      </c>
      <c r="X536" t="s">
        <v>10679</v>
      </c>
      <c r="Y536" t="s">
        <v>10680</v>
      </c>
      <c r="Z536" t="s">
        <v>10681</v>
      </c>
      <c r="AA536" t="s">
        <v>10682</v>
      </c>
      <c r="AB536" t="s">
        <v>10683</v>
      </c>
      <c r="AC536" t="s">
        <v>10684</v>
      </c>
      <c r="AD536" t="s">
        <v>10685</v>
      </c>
      <c r="AE536" t="s">
        <v>10686</v>
      </c>
      <c r="AF536" t="s">
        <v>74</v>
      </c>
      <c r="AG536">
        <v>59</v>
      </c>
      <c r="AH536">
        <v>26</v>
      </c>
      <c r="AI536">
        <v>28</v>
      </c>
      <c r="AJ536">
        <v>6</v>
      </c>
      <c r="AK536">
        <v>28</v>
      </c>
      <c r="AL536" t="s">
        <v>328</v>
      </c>
      <c r="AM536" t="s">
        <v>607</v>
      </c>
      <c r="AN536" t="s">
        <v>10687</v>
      </c>
      <c r="AO536" t="s">
        <v>10666</v>
      </c>
      <c r="AP536" t="s">
        <v>10667</v>
      </c>
      <c r="AQ536" t="s">
        <v>74</v>
      </c>
      <c r="AR536" t="s">
        <v>10668</v>
      </c>
      <c r="AS536" t="s">
        <v>10669</v>
      </c>
      <c r="AT536" t="s">
        <v>7895</v>
      </c>
      <c r="AU536">
        <v>2019</v>
      </c>
      <c r="AV536">
        <v>12</v>
      </c>
      <c r="AW536">
        <v>3</v>
      </c>
      <c r="AX536" t="s">
        <v>74</v>
      </c>
      <c r="AY536" t="s">
        <v>74</v>
      </c>
      <c r="AZ536" t="s">
        <v>74</v>
      </c>
      <c r="BA536" t="s">
        <v>74</v>
      </c>
      <c r="BB536">
        <v>206</v>
      </c>
      <c r="BC536" t="s">
        <v>1394</v>
      </c>
      <c r="BD536" t="s">
        <v>74</v>
      </c>
      <c r="BE536" t="s">
        <v>10688</v>
      </c>
      <c r="BF536" t="str">
        <f>HYPERLINK("http://dx.doi.org/10.1038/s41561-018-0292-4","http://dx.doi.org/10.1038/s41561-018-0292-4")</f>
        <v>http://dx.doi.org/10.1038/s41561-018-0292-4</v>
      </c>
      <c r="BG536" t="s">
        <v>74</v>
      </c>
      <c r="BH536" t="s">
        <v>74</v>
      </c>
      <c r="BI536">
        <v>10</v>
      </c>
      <c r="BJ536" t="s">
        <v>922</v>
      </c>
      <c r="BK536" t="s">
        <v>102</v>
      </c>
      <c r="BL536" t="s">
        <v>923</v>
      </c>
      <c r="BM536" t="s">
        <v>10671</v>
      </c>
      <c r="BN536" t="s">
        <v>74</v>
      </c>
      <c r="BO536" t="s">
        <v>74</v>
      </c>
      <c r="BP536" t="s">
        <v>74</v>
      </c>
      <c r="BQ536" t="s">
        <v>74</v>
      </c>
      <c r="BR536" t="s">
        <v>107</v>
      </c>
      <c r="BS536" t="s">
        <v>10689</v>
      </c>
      <c r="BT536" t="str">
        <f>HYPERLINK("https%3A%2F%2Fwww.webofscience.com%2Fwos%2Fwoscc%2Ffull-record%2FWOS:000460103000015","View Full Record in Web of Science")</f>
        <v>View Full Record in Web of Science</v>
      </c>
    </row>
    <row r="537" spans="1:72" x14ac:dyDescent="0.15">
      <c r="A537" t="s">
        <v>72</v>
      </c>
      <c r="B537" t="s">
        <v>10690</v>
      </c>
      <c r="C537" t="s">
        <v>74</v>
      </c>
      <c r="D537" t="s">
        <v>74</v>
      </c>
      <c r="E537" t="s">
        <v>74</v>
      </c>
      <c r="F537" t="s">
        <v>10691</v>
      </c>
      <c r="G537" t="s">
        <v>74</v>
      </c>
      <c r="H537" t="s">
        <v>74</v>
      </c>
      <c r="I537" t="s">
        <v>10692</v>
      </c>
      <c r="J537" t="s">
        <v>10693</v>
      </c>
      <c r="K537" t="s">
        <v>74</v>
      </c>
      <c r="L537" t="s">
        <v>74</v>
      </c>
      <c r="M537" t="s">
        <v>78</v>
      </c>
      <c r="N537" t="s">
        <v>79</v>
      </c>
      <c r="O537" t="s">
        <v>74</v>
      </c>
      <c r="P537" t="s">
        <v>74</v>
      </c>
      <c r="Q537" t="s">
        <v>74</v>
      </c>
      <c r="R537" t="s">
        <v>74</v>
      </c>
      <c r="S537" t="s">
        <v>74</v>
      </c>
      <c r="T537" t="s">
        <v>74</v>
      </c>
      <c r="U537" t="s">
        <v>10694</v>
      </c>
      <c r="V537" t="s">
        <v>10695</v>
      </c>
      <c r="W537" t="s">
        <v>10696</v>
      </c>
      <c r="X537" t="s">
        <v>10697</v>
      </c>
      <c r="Y537" t="s">
        <v>10698</v>
      </c>
      <c r="Z537" t="s">
        <v>10699</v>
      </c>
      <c r="AA537" t="s">
        <v>10700</v>
      </c>
      <c r="AB537" t="s">
        <v>10701</v>
      </c>
      <c r="AC537" t="s">
        <v>10702</v>
      </c>
      <c r="AD537" t="s">
        <v>10703</v>
      </c>
      <c r="AE537" t="s">
        <v>10704</v>
      </c>
      <c r="AF537" t="s">
        <v>74</v>
      </c>
      <c r="AG537">
        <v>50</v>
      </c>
      <c r="AH537">
        <v>91</v>
      </c>
      <c r="AI537">
        <v>92</v>
      </c>
      <c r="AJ537">
        <v>1</v>
      </c>
      <c r="AK537">
        <v>30</v>
      </c>
      <c r="AL537" t="s">
        <v>1393</v>
      </c>
      <c r="AM537" t="s">
        <v>1371</v>
      </c>
      <c r="AN537" t="s">
        <v>1372</v>
      </c>
      <c r="AO537" t="s">
        <v>10705</v>
      </c>
      <c r="AP537" t="s">
        <v>74</v>
      </c>
      <c r="AQ537" t="s">
        <v>74</v>
      </c>
      <c r="AR537" t="s">
        <v>10706</v>
      </c>
      <c r="AS537" t="s">
        <v>10707</v>
      </c>
      <c r="AT537" t="s">
        <v>7895</v>
      </c>
      <c r="AU537">
        <v>2019</v>
      </c>
      <c r="AV537">
        <v>2</v>
      </c>
      <c r="AW537">
        <v>3</v>
      </c>
      <c r="AX537" t="s">
        <v>74</v>
      </c>
      <c r="AY537" t="s">
        <v>74</v>
      </c>
      <c r="AZ537" t="s">
        <v>74</v>
      </c>
      <c r="BA537" t="s">
        <v>74</v>
      </c>
      <c r="BB537">
        <v>185</v>
      </c>
      <c r="BC537">
        <v>190</v>
      </c>
      <c r="BD537" t="s">
        <v>74</v>
      </c>
      <c r="BE537" t="s">
        <v>10708</v>
      </c>
      <c r="BF537" t="str">
        <f>HYPERLINK("http://dx.doi.org/10.1038/s41893-019-0237-y","http://dx.doi.org/10.1038/s41893-019-0237-y")</f>
        <v>http://dx.doi.org/10.1038/s41893-019-0237-y</v>
      </c>
      <c r="BG537" t="s">
        <v>74</v>
      </c>
      <c r="BH537" t="s">
        <v>74</v>
      </c>
      <c r="BI537">
        <v>6</v>
      </c>
      <c r="BJ537" t="s">
        <v>10709</v>
      </c>
      <c r="BK537" t="s">
        <v>337</v>
      </c>
      <c r="BL537" t="s">
        <v>10710</v>
      </c>
      <c r="BM537" t="s">
        <v>10711</v>
      </c>
      <c r="BN537" t="s">
        <v>74</v>
      </c>
      <c r="BO537" t="s">
        <v>403</v>
      </c>
      <c r="BP537" t="s">
        <v>74</v>
      </c>
      <c r="BQ537" t="s">
        <v>74</v>
      </c>
      <c r="BR537" t="s">
        <v>107</v>
      </c>
      <c r="BS537" t="s">
        <v>10712</v>
      </c>
      <c r="BT537" t="str">
        <f>HYPERLINK("https%3A%2F%2Fwww.webofscience.com%2Fwos%2Fwoscc%2Ffull-record%2FWOS:000462350500011","View Full Record in Web of Science")</f>
        <v>View Full Record in Web of Science</v>
      </c>
    </row>
    <row r="538" spans="1:72" x14ac:dyDescent="0.15">
      <c r="A538" t="s">
        <v>72</v>
      </c>
      <c r="B538" t="s">
        <v>10713</v>
      </c>
      <c r="C538" t="s">
        <v>74</v>
      </c>
      <c r="D538" t="s">
        <v>74</v>
      </c>
      <c r="E538" t="s">
        <v>74</v>
      </c>
      <c r="F538" t="s">
        <v>10714</v>
      </c>
      <c r="G538" t="s">
        <v>74</v>
      </c>
      <c r="H538" t="s">
        <v>74</v>
      </c>
      <c r="I538" t="s">
        <v>10715</v>
      </c>
      <c r="J538" t="s">
        <v>10716</v>
      </c>
      <c r="K538" t="s">
        <v>74</v>
      </c>
      <c r="L538" t="s">
        <v>74</v>
      </c>
      <c r="M538" t="s">
        <v>78</v>
      </c>
      <c r="N538" t="s">
        <v>79</v>
      </c>
      <c r="O538" t="s">
        <v>74</v>
      </c>
      <c r="P538" t="s">
        <v>74</v>
      </c>
      <c r="Q538" t="s">
        <v>74</v>
      </c>
      <c r="R538" t="s">
        <v>74</v>
      </c>
      <c r="S538" t="s">
        <v>74</v>
      </c>
      <c r="T538" t="s">
        <v>10717</v>
      </c>
      <c r="U538" t="s">
        <v>10718</v>
      </c>
      <c r="V538" t="s">
        <v>10719</v>
      </c>
      <c r="W538" t="s">
        <v>10720</v>
      </c>
      <c r="X538" t="s">
        <v>10721</v>
      </c>
      <c r="Y538" t="s">
        <v>10722</v>
      </c>
      <c r="Z538" t="s">
        <v>10723</v>
      </c>
      <c r="AA538" t="s">
        <v>10724</v>
      </c>
      <c r="AB538" t="s">
        <v>10725</v>
      </c>
      <c r="AC538" t="s">
        <v>10726</v>
      </c>
      <c r="AD538" t="s">
        <v>10726</v>
      </c>
      <c r="AE538" t="s">
        <v>10726</v>
      </c>
      <c r="AF538" t="s">
        <v>74</v>
      </c>
      <c r="AG538">
        <v>98</v>
      </c>
      <c r="AH538">
        <v>10</v>
      </c>
      <c r="AI538">
        <v>11</v>
      </c>
      <c r="AJ538">
        <v>2</v>
      </c>
      <c r="AK538">
        <v>3</v>
      </c>
      <c r="AL538" t="s">
        <v>153</v>
      </c>
      <c r="AM538" t="s">
        <v>154</v>
      </c>
      <c r="AN538" t="s">
        <v>155</v>
      </c>
      <c r="AO538" t="s">
        <v>74</v>
      </c>
      <c r="AP538" t="s">
        <v>10727</v>
      </c>
      <c r="AQ538" t="s">
        <v>74</v>
      </c>
      <c r="AR538" t="s">
        <v>10728</v>
      </c>
      <c r="AS538" t="s">
        <v>10729</v>
      </c>
      <c r="AT538" t="s">
        <v>7895</v>
      </c>
      <c r="AU538">
        <v>2019</v>
      </c>
      <c r="AV538">
        <v>1</v>
      </c>
      <c r="AW538">
        <v>1</v>
      </c>
      <c r="AX538" t="s">
        <v>74</v>
      </c>
      <c r="AY538" t="s">
        <v>74</v>
      </c>
      <c r="AZ538" t="s">
        <v>74</v>
      </c>
      <c r="BA538" t="s">
        <v>74</v>
      </c>
      <c r="BB538">
        <v>44</v>
      </c>
      <c r="BC538">
        <v>58</v>
      </c>
      <c r="BD538" t="s">
        <v>74</v>
      </c>
      <c r="BE538" t="s">
        <v>10730</v>
      </c>
      <c r="BF538" t="str">
        <f>HYPERLINK("http://dx.doi.org/10.1002/pan3.9","http://dx.doi.org/10.1002/pan3.9")</f>
        <v>http://dx.doi.org/10.1002/pan3.9</v>
      </c>
      <c r="BG538" t="s">
        <v>74</v>
      </c>
      <c r="BH538" t="s">
        <v>74</v>
      </c>
      <c r="BI538">
        <v>15</v>
      </c>
      <c r="BJ538" t="s">
        <v>5131</v>
      </c>
      <c r="BK538" t="s">
        <v>2712</v>
      </c>
      <c r="BL538" t="s">
        <v>5065</v>
      </c>
      <c r="BM538" t="s">
        <v>10731</v>
      </c>
      <c r="BN538" t="s">
        <v>74</v>
      </c>
      <c r="BO538" t="s">
        <v>10732</v>
      </c>
      <c r="BP538" t="s">
        <v>74</v>
      </c>
      <c r="BQ538" t="s">
        <v>74</v>
      </c>
      <c r="BR538" t="s">
        <v>107</v>
      </c>
      <c r="BS538" t="s">
        <v>10733</v>
      </c>
      <c r="BT538" t="str">
        <f>HYPERLINK("https%3A%2F%2Fwww.webofscience.com%2Fwos%2Fwoscc%2Ffull-record%2FWOS:000657177700005","View Full Record in Web of Science")</f>
        <v>View Full Record in Web of Science</v>
      </c>
    </row>
    <row r="539" spans="1:72" x14ac:dyDescent="0.15">
      <c r="A539" t="s">
        <v>72</v>
      </c>
      <c r="B539" t="s">
        <v>10734</v>
      </c>
      <c r="C539" t="s">
        <v>74</v>
      </c>
      <c r="D539" t="s">
        <v>74</v>
      </c>
      <c r="E539" t="s">
        <v>74</v>
      </c>
      <c r="F539" t="s">
        <v>10735</v>
      </c>
      <c r="G539" t="s">
        <v>74</v>
      </c>
      <c r="H539" t="s">
        <v>74</v>
      </c>
      <c r="I539" t="s">
        <v>10736</v>
      </c>
      <c r="J539" t="s">
        <v>10737</v>
      </c>
      <c r="K539" t="s">
        <v>74</v>
      </c>
      <c r="L539" t="s">
        <v>74</v>
      </c>
      <c r="M539" t="s">
        <v>78</v>
      </c>
      <c r="N539" t="s">
        <v>79</v>
      </c>
      <c r="O539" t="s">
        <v>74</v>
      </c>
      <c r="P539" t="s">
        <v>74</v>
      </c>
      <c r="Q539" t="s">
        <v>74</v>
      </c>
      <c r="R539" t="s">
        <v>74</v>
      </c>
      <c r="S539" t="s">
        <v>74</v>
      </c>
      <c r="T539" t="s">
        <v>74</v>
      </c>
      <c r="U539" t="s">
        <v>10738</v>
      </c>
      <c r="V539" t="s">
        <v>10739</v>
      </c>
      <c r="W539" t="s">
        <v>10740</v>
      </c>
      <c r="X539" t="s">
        <v>10741</v>
      </c>
      <c r="Y539" t="s">
        <v>10742</v>
      </c>
      <c r="Z539" t="s">
        <v>10743</v>
      </c>
      <c r="AA539" t="s">
        <v>10744</v>
      </c>
      <c r="AB539" t="s">
        <v>10745</v>
      </c>
      <c r="AC539" t="s">
        <v>10746</v>
      </c>
      <c r="AD539" t="s">
        <v>10747</v>
      </c>
      <c r="AE539" t="s">
        <v>10748</v>
      </c>
      <c r="AF539" t="s">
        <v>74</v>
      </c>
      <c r="AG539">
        <v>61</v>
      </c>
      <c r="AH539">
        <v>16</v>
      </c>
      <c r="AI539">
        <v>16</v>
      </c>
      <c r="AJ539">
        <v>0</v>
      </c>
      <c r="AK539">
        <v>44</v>
      </c>
      <c r="AL539" t="s">
        <v>153</v>
      </c>
      <c r="AM539" t="s">
        <v>154</v>
      </c>
      <c r="AN539" t="s">
        <v>155</v>
      </c>
      <c r="AO539" t="s">
        <v>10749</v>
      </c>
      <c r="AP539" t="s">
        <v>10750</v>
      </c>
      <c r="AQ539" t="s">
        <v>74</v>
      </c>
      <c r="AR539" t="s">
        <v>10751</v>
      </c>
      <c r="AS539" t="s">
        <v>10752</v>
      </c>
      <c r="AT539" t="s">
        <v>7895</v>
      </c>
      <c r="AU539">
        <v>2019</v>
      </c>
      <c r="AV539">
        <v>165</v>
      </c>
      <c r="AW539">
        <v>3</v>
      </c>
      <c r="AX539" t="s">
        <v>74</v>
      </c>
      <c r="AY539" t="s">
        <v>74</v>
      </c>
      <c r="AZ539" t="s">
        <v>74</v>
      </c>
      <c r="BA539" t="s">
        <v>74</v>
      </c>
      <c r="BB539">
        <v>511</v>
      </c>
      <c r="BC539">
        <v>523</v>
      </c>
      <c r="BD539" t="s">
        <v>74</v>
      </c>
      <c r="BE539" t="s">
        <v>10753</v>
      </c>
      <c r="BF539" t="str">
        <f>HYPERLINK("http://dx.doi.org/10.1111/ppl.12739","http://dx.doi.org/10.1111/ppl.12739")</f>
        <v>http://dx.doi.org/10.1111/ppl.12739</v>
      </c>
      <c r="BG539" t="s">
        <v>74</v>
      </c>
      <c r="BH539" t="s">
        <v>74</v>
      </c>
      <c r="BI539">
        <v>13</v>
      </c>
      <c r="BJ539" t="s">
        <v>362</v>
      </c>
      <c r="BK539" t="s">
        <v>102</v>
      </c>
      <c r="BL539" t="s">
        <v>362</v>
      </c>
      <c r="BM539" t="s">
        <v>10754</v>
      </c>
      <c r="BN539">
        <v>29602170</v>
      </c>
      <c r="BO539" t="s">
        <v>74</v>
      </c>
      <c r="BP539" t="s">
        <v>74</v>
      </c>
      <c r="BQ539" t="s">
        <v>74</v>
      </c>
      <c r="BR539" t="s">
        <v>107</v>
      </c>
      <c r="BS539" t="s">
        <v>10755</v>
      </c>
      <c r="BT539" t="str">
        <f>HYPERLINK("https%3A%2F%2Fwww.webofscience.com%2Fwos%2Fwoscc%2Ffull-record%2FWOS:000459312400008","View Full Record in Web of Science")</f>
        <v>View Full Record in Web of Science</v>
      </c>
    </row>
    <row r="540" spans="1:72" x14ac:dyDescent="0.15">
      <c r="A540" t="s">
        <v>72</v>
      </c>
      <c r="B540" t="s">
        <v>10756</v>
      </c>
      <c r="C540" t="s">
        <v>74</v>
      </c>
      <c r="D540" t="s">
        <v>74</v>
      </c>
      <c r="E540" t="s">
        <v>74</v>
      </c>
      <c r="F540" t="s">
        <v>10757</v>
      </c>
      <c r="G540" t="s">
        <v>74</v>
      </c>
      <c r="H540" t="s">
        <v>74</v>
      </c>
      <c r="I540" t="s">
        <v>10758</v>
      </c>
      <c r="J540" t="s">
        <v>9669</v>
      </c>
      <c r="K540" t="s">
        <v>74</v>
      </c>
      <c r="L540" t="s">
        <v>74</v>
      </c>
      <c r="M540" t="s">
        <v>78</v>
      </c>
      <c r="N540" t="s">
        <v>79</v>
      </c>
      <c r="O540" t="s">
        <v>74</v>
      </c>
      <c r="P540" t="s">
        <v>74</v>
      </c>
      <c r="Q540" t="s">
        <v>74</v>
      </c>
      <c r="R540" t="s">
        <v>74</v>
      </c>
      <c r="S540" t="s">
        <v>74</v>
      </c>
      <c r="T540" t="s">
        <v>10759</v>
      </c>
      <c r="U540" t="s">
        <v>10760</v>
      </c>
      <c r="V540" t="s">
        <v>10761</v>
      </c>
      <c r="W540" t="s">
        <v>10762</v>
      </c>
      <c r="X540" t="s">
        <v>10763</v>
      </c>
      <c r="Y540" t="s">
        <v>10764</v>
      </c>
      <c r="Z540" t="s">
        <v>10765</v>
      </c>
      <c r="AA540" t="s">
        <v>74</v>
      </c>
      <c r="AB540" t="s">
        <v>10766</v>
      </c>
      <c r="AC540" t="s">
        <v>10767</v>
      </c>
      <c r="AD540" t="s">
        <v>10768</v>
      </c>
      <c r="AE540" t="s">
        <v>10769</v>
      </c>
      <c r="AF540" t="s">
        <v>74</v>
      </c>
      <c r="AG540">
        <v>49</v>
      </c>
      <c r="AH540">
        <v>6</v>
      </c>
      <c r="AI540">
        <v>6</v>
      </c>
      <c r="AJ540">
        <v>0</v>
      </c>
      <c r="AK540">
        <v>7</v>
      </c>
      <c r="AL540" t="s">
        <v>662</v>
      </c>
      <c r="AM540" t="s">
        <v>635</v>
      </c>
      <c r="AN540" t="s">
        <v>663</v>
      </c>
      <c r="AO540" t="s">
        <v>9681</v>
      </c>
      <c r="AP540" t="s">
        <v>9682</v>
      </c>
      <c r="AQ540" t="s">
        <v>74</v>
      </c>
      <c r="AR540" t="s">
        <v>9683</v>
      </c>
      <c r="AS540" t="s">
        <v>9684</v>
      </c>
      <c r="AT540" t="s">
        <v>7895</v>
      </c>
      <c r="AU540">
        <v>2019</v>
      </c>
      <c r="AV540">
        <v>19</v>
      </c>
      <c r="AW540" t="s">
        <v>74</v>
      </c>
      <c r="AX540" t="s">
        <v>74</v>
      </c>
      <c r="AY540" t="s">
        <v>74</v>
      </c>
      <c r="AZ540" t="s">
        <v>74</v>
      </c>
      <c r="BA540" t="s">
        <v>74</v>
      </c>
      <c r="BB540">
        <v>86</v>
      </c>
      <c r="BC540">
        <v>93</v>
      </c>
      <c r="BD540" t="s">
        <v>74</v>
      </c>
      <c r="BE540" t="s">
        <v>10770</v>
      </c>
      <c r="BF540" t="str">
        <f>HYPERLINK("http://dx.doi.org/10.1016/j.polar.2018.11.004","http://dx.doi.org/10.1016/j.polar.2018.11.004")</f>
        <v>http://dx.doi.org/10.1016/j.polar.2018.11.004</v>
      </c>
      <c r="BG540" t="s">
        <v>74</v>
      </c>
      <c r="BH540" t="s">
        <v>74</v>
      </c>
      <c r="BI540">
        <v>8</v>
      </c>
      <c r="BJ540" t="s">
        <v>7476</v>
      </c>
      <c r="BK540" t="s">
        <v>102</v>
      </c>
      <c r="BL540" t="s">
        <v>221</v>
      </c>
      <c r="BM540" t="s">
        <v>9686</v>
      </c>
      <c r="BN540" t="s">
        <v>74</v>
      </c>
      <c r="BO540" t="s">
        <v>74</v>
      </c>
      <c r="BP540" t="s">
        <v>74</v>
      </c>
      <c r="BQ540" t="s">
        <v>74</v>
      </c>
      <c r="BR540" t="s">
        <v>107</v>
      </c>
      <c r="BS540" t="s">
        <v>10771</v>
      </c>
      <c r="BT540" t="str">
        <f>HYPERLINK("https%3A%2F%2Fwww.webofscience.com%2Fwos%2Fwoscc%2Ffull-record%2FWOS:000460543300009","View Full Record in Web of Science")</f>
        <v>View Full Record in Web of Science</v>
      </c>
    </row>
    <row r="541" spans="1:72" x14ac:dyDescent="0.15">
      <c r="A541" t="s">
        <v>72</v>
      </c>
      <c r="B541" t="s">
        <v>10772</v>
      </c>
      <c r="C541" t="s">
        <v>74</v>
      </c>
      <c r="D541" t="s">
        <v>74</v>
      </c>
      <c r="E541" t="s">
        <v>74</v>
      </c>
      <c r="F541" t="s">
        <v>10773</v>
      </c>
      <c r="G541" t="s">
        <v>74</v>
      </c>
      <c r="H541" t="s">
        <v>74</v>
      </c>
      <c r="I541" t="s">
        <v>10774</v>
      </c>
      <c r="J541" t="s">
        <v>10775</v>
      </c>
      <c r="K541" t="s">
        <v>74</v>
      </c>
      <c r="L541" t="s">
        <v>74</v>
      </c>
      <c r="M541" t="s">
        <v>78</v>
      </c>
      <c r="N541" t="s">
        <v>79</v>
      </c>
      <c r="O541" t="s">
        <v>74</v>
      </c>
      <c r="P541" t="s">
        <v>74</v>
      </c>
      <c r="Q541" t="s">
        <v>74</v>
      </c>
      <c r="R541" t="s">
        <v>74</v>
      </c>
      <c r="S541" t="s">
        <v>74</v>
      </c>
      <c r="T541" t="s">
        <v>10776</v>
      </c>
      <c r="U541" t="s">
        <v>10777</v>
      </c>
      <c r="V541" t="s">
        <v>10778</v>
      </c>
      <c r="W541" t="s">
        <v>10779</v>
      </c>
      <c r="X541" t="s">
        <v>10780</v>
      </c>
      <c r="Y541" t="s">
        <v>10781</v>
      </c>
      <c r="Z541" t="s">
        <v>10782</v>
      </c>
      <c r="AA541" t="s">
        <v>10783</v>
      </c>
      <c r="AB541" t="s">
        <v>10784</v>
      </c>
      <c r="AC541" t="s">
        <v>10785</v>
      </c>
      <c r="AD541" t="s">
        <v>10786</v>
      </c>
      <c r="AE541" t="s">
        <v>10787</v>
      </c>
      <c r="AF541" t="s">
        <v>74</v>
      </c>
      <c r="AG541">
        <v>83</v>
      </c>
      <c r="AH541">
        <v>68</v>
      </c>
      <c r="AI541">
        <v>76</v>
      </c>
      <c r="AJ541">
        <v>5</v>
      </c>
      <c r="AK541">
        <v>119</v>
      </c>
      <c r="AL541" t="s">
        <v>606</v>
      </c>
      <c r="AM541" t="s">
        <v>607</v>
      </c>
      <c r="AN541" t="s">
        <v>608</v>
      </c>
      <c r="AO541" t="s">
        <v>10788</v>
      </c>
      <c r="AP541" t="s">
        <v>10789</v>
      </c>
      <c r="AQ541" t="s">
        <v>74</v>
      </c>
      <c r="AR541" t="s">
        <v>10790</v>
      </c>
      <c r="AS541" t="s">
        <v>10791</v>
      </c>
      <c r="AT541" t="s">
        <v>8969</v>
      </c>
      <c r="AU541">
        <v>2019</v>
      </c>
      <c r="AV541">
        <v>222</v>
      </c>
      <c r="AW541" t="s">
        <v>74</v>
      </c>
      <c r="AX541" t="s">
        <v>74</v>
      </c>
      <c r="AY541" t="s">
        <v>74</v>
      </c>
      <c r="AZ541" t="s">
        <v>74</v>
      </c>
      <c r="BA541" t="s">
        <v>74</v>
      </c>
      <c r="BB541">
        <v>204</v>
      </c>
      <c r="BC541">
        <v>214</v>
      </c>
      <c r="BD541" t="s">
        <v>74</v>
      </c>
      <c r="BE541" t="s">
        <v>10792</v>
      </c>
      <c r="BF541" t="str">
        <f>HYPERLINK("http://dx.doi.org/10.1016/j.rse.2018.12.009","http://dx.doi.org/10.1016/j.rse.2018.12.009")</f>
        <v>http://dx.doi.org/10.1016/j.rse.2018.12.009</v>
      </c>
      <c r="BG541" t="s">
        <v>74</v>
      </c>
      <c r="BH541" t="s">
        <v>74</v>
      </c>
      <c r="BI541">
        <v>11</v>
      </c>
      <c r="BJ541" t="s">
        <v>10793</v>
      </c>
      <c r="BK541" t="s">
        <v>102</v>
      </c>
      <c r="BL541" t="s">
        <v>10794</v>
      </c>
      <c r="BM541" t="s">
        <v>10795</v>
      </c>
      <c r="BN541" t="s">
        <v>74</v>
      </c>
      <c r="BO541" t="s">
        <v>198</v>
      </c>
      <c r="BP541" t="s">
        <v>74</v>
      </c>
      <c r="BQ541" t="s">
        <v>74</v>
      </c>
      <c r="BR541" t="s">
        <v>107</v>
      </c>
      <c r="BS541" t="s">
        <v>10796</v>
      </c>
      <c r="BT541" t="str">
        <f>HYPERLINK("https%3A%2F%2Fwww.webofscience.com%2Fwos%2Fwoscc%2Ffull-record%2FWOS:000457509000015","View Full Record in Web of Science")</f>
        <v>View Full Record in Web of Science</v>
      </c>
    </row>
    <row r="542" spans="1:72" x14ac:dyDescent="0.15">
      <c r="A542" t="s">
        <v>72</v>
      </c>
      <c r="B542" t="s">
        <v>10797</v>
      </c>
      <c r="C542" t="s">
        <v>74</v>
      </c>
      <c r="D542" t="s">
        <v>74</v>
      </c>
      <c r="E542" t="s">
        <v>74</v>
      </c>
      <c r="F542" t="s">
        <v>10798</v>
      </c>
      <c r="G542" t="s">
        <v>74</v>
      </c>
      <c r="H542" t="s">
        <v>74</v>
      </c>
      <c r="I542" t="s">
        <v>10799</v>
      </c>
      <c r="J542" t="s">
        <v>5999</v>
      </c>
      <c r="K542" t="s">
        <v>74</v>
      </c>
      <c r="L542" t="s">
        <v>74</v>
      </c>
      <c r="M542" t="s">
        <v>78</v>
      </c>
      <c r="N542" t="s">
        <v>79</v>
      </c>
      <c r="O542" t="s">
        <v>74</v>
      </c>
      <c r="P542" t="s">
        <v>74</v>
      </c>
      <c r="Q542" t="s">
        <v>74</v>
      </c>
      <c r="R542" t="s">
        <v>74</v>
      </c>
      <c r="S542" t="s">
        <v>74</v>
      </c>
      <c r="T542" t="s">
        <v>10800</v>
      </c>
      <c r="U542" t="s">
        <v>10801</v>
      </c>
      <c r="V542" t="s">
        <v>10802</v>
      </c>
      <c r="W542" t="s">
        <v>10803</v>
      </c>
      <c r="X542" t="s">
        <v>10804</v>
      </c>
      <c r="Y542" t="s">
        <v>10805</v>
      </c>
      <c r="Z542" t="s">
        <v>10806</v>
      </c>
      <c r="AA542" t="s">
        <v>10807</v>
      </c>
      <c r="AB542" t="s">
        <v>10808</v>
      </c>
      <c r="AC542" t="s">
        <v>10809</v>
      </c>
      <c r="AD542" t="s">
        <v>10810</v>
      </c>
      <c r="AE542" t="s">
        <v>10811</v>
      </c>
      <c r="AF542" t="s">
        <v>74</v>
      </c>
      <c r="AG542">
        <v>48</v>
      </c>
      <c r="AH542">
        <v>44</v>
      </c>
      <c r="AI542">
        <v>45</v>
      </c>
      <c r="AJ542">
        <v>0</v>
      </c>
      <c r="AK542">
        <v>33</v>
      </c>
      <c r="AL542" t="s">
        <v>634</v>
      </c>
      <c r="AM542" t="s">
        <v>635</v>
      </c>
      <c r="AN542" t="s">
        <v>636</v>
      </c>
      <c r="AO542" t="s">
        <v>6012</v>
      </c>
      <c r="AP542" t="s">
        <v>6013</v>
      </c>
      <c r="AQ542" t="s">
        <v>74</v>
      </c>
      <c r="AR542" t="s">
        <v>6014</v>
      </c>
      <c r="AS542" t="s">
        <v>6015</v>
      </c>
      <c r="AT542" t="s">
        <v>8969</v>
      </c>
      <c r="AU542">
        <v>2019</v>
      </c>
      <c r="AV542">
        <v>654</v>
      </c>
      <c r="AW542" t="s">
        <v>74</v>
      </c>
      <c r="AX542" t="s">
        <v>74</v>
      </c>
      <c r="AY542" t="s">
        <v>74</v>
      </c>
      <c r="AZ542" t="s">
        <v>74</v>
      </c>
      <c r="BA542" t="s">
        <v>74</v>
      </c>
      <c r="BB542">
        <v>190</v>
      </c>
      <c r="BC542">
        <v>196</v>
      </c>
      <c r="BD542" t="s">
        <v>74</v>
      </c>
      <c r="BE542" t="s">
        <v>10812</v>
      </c>
      <c r="BF542" t="str">
        <f>HYPERLINK("http://dx.doi.org/10.1016/j.scitotenv.2018.10.272","http://dx.doi.org/10.1016/j.scitotenv.2018.10.272")</f>
        <v>http://dx.doi.org/10.1016/j.scitotenv.2018.10.272</v>
      </c>
      <c r="BG542" t="s">
        <v>74</v>
      </c>
      <c r="BH542" t="s">
        <v>74</v>
      </c>
      <c r="BI542">
        <v>7</v>
      </c>
      <c r="BJ542" t="s">
        <v>2296</v>
      </c>
      <c r="BK542" t="s">
        <v>102</v>
      </c>
      <c r="BL542" t="s">
        <v>2297</v>
      </c>
      <c r="BM542" t="s">
        <v>10813</v>
      </c>
      <c r="BN542">
        <v>30445320</v>
      </c>
      <c r="BO542" t="s">
        <v>74</v>
      </c>
      <c r="BP542" t="s">
        <v>74</v>
      </c>
      <c r="BQ542" t="s">
        <v>74</v>
      </c>
      <c r="BR542" t="s">
        <v>107</v>
      </c>
      <c r="BS542" t="s">
        <v>10814</v>
      </c>
      <c r="BT542" t="str">
        <f>HYPERLINK("https%3A%2F%2Fwww.webofscience.com%2Fwos%2Fwoscc%2Ffull-record%2FWOS:000458630100020","View Full Record in Web of Science")</f>
        <v>View Full Record in Web of Science</v>
      </c>
    </row>
    <row r="543" spans="1:72" x14ac:dyDescent="0.15">
      <c r="A543" t="s">
        <v>72</v>
      </c>
      <c r="B543" t="s">
        <v>5197</v>
      </c>
      <c r="C543" t="s">
        <v>74</v>
      </c>
      <c r="D543" t="s">
        <v>74</v>
      </c>
      <c r="E543" t="s">
        <v>74</v>
      </c>
      <c r="F543" t="s">
        <v>5197</v>
      </c>
      <c r="G543" t="s">
        <v>74</v>
      </c>
      <c r="H543" t="s">
        <v>74</v>
      </c>
      <c r="I543" t="s">
        <v>10815</v>
      </c>
      <c r="J543" t="s">
        <v>9548</v>
      </c>
      <c r="K543" t="s">
        <v>74</v>
      </c>
      <c r="L543" t="s">
        <v>74</v>
      </c>
      <c r="M543" t="s">
        <v>78</v>
      </c>
      <c r="N543" t="s">
        <v>168</v>
      </c>
      <c r="O543" t="s">
        <v>74</v>
      </c>
      <c r="P543" t="s">
        <v>74</v>
      </c>
      <c r="Q543" t="s">
        <v>74</v>
      </c>
      <c r="R543" t="s">
        <v>74</v>
      </c>
      <c r="S543" t="s">
        <v>74</v>
      </c>
      <c r="T543" t="s">
        <v>74</v>
      </c>
      <c r="U543" t="s">
        <v>74</v>
      </c>
      <c r="V543" t="s">
        <v>74</v>
      </c>
      <c r="W543" t="s">
        <v>74</v>
      </c>
      <c r="X543" t="s">
        <v>74</v>
      </c>
      <c r="Y543" t="s">
        <v>74</v>
      </c>
      <c r="Z543" t="s">
        <v>74</v>
      </c>
      <c r="AA543" t="s">
        <v>74</v>
      </c>
      <c r="AB543" t="s">
        <v>74</v>
      </c>
      <c r="AC543" t="s">
        <v>74</v>
      </c>
      <c r="AD543" t="s">
        <v>74</v>
      </c>
      <c r="AE543" t="s">
        <v>74</v>
      </c>
      <c r="AF543" t="s">
        <v>74</v>
      </c>
      <c r="AG543">
        <v>0</v>
      </c>
      <c r="AH543">
        <v>0</v>
      </c>
      <c r="AI543">
        <v>0</v>
      </c>
      <c r="AJ543">
        <v>0</v>
      </c>
      <c r="AK543">
        <v>1</v>
      </c>
      <c r="AL543" t="s">
        <v>606</v>
      </c>
      <c r="AM543" t="s">
        <v>607</v>
      </c>
      <c r="AN543" t="s">
        <v>608</v>
      </c>
      <c r="AO543" t="s">
        <v>9561</v>
      </c>
      <c r="AP543" t="s">
        <v>9562</v>
      </c>
      <c r="AQ543" t="s">
        <v>74</v>
      </c>
      <c r="AR543" t="s">
        <v>9563</v>
      </c>
      <c r="AS543" t="s">
        <v>9564</v>
      </c>
      <c r="AT543" t="s">
        <v>7895</v>
      </c>
      <c r="AU543">
        <v>2019</v>
      </c>
      <c r="AV543">
        <v>30</v>
      </c>
      <c r="AW543">
        <v>1</v>
      </c>
      <c r="AX543" t="s">
        <v>74</v>
      </c>
      <c r="AY543" t="s">
        <v>74</v>
      </c>
      <c r="AZ543" t="s">
        <v>74</v>
      </c>
      <c r="BA543" t="s">
        <v>74</v>
      </c>
      <c r="BB543">
        <v>107</v>
      </c>
      <c r="BC543">
        <v>107</v>
      </c>
      <c r="BD543" t="s">
        <v>74</v>
      </c>
      <c r="BE543" t="s">
        <v>74</v>
      </c>
      <c r="BF543" t="s">
        <v>74</v>
      </c>
      <c r="BG543" t="s">
        <v>74</v>
      </c>
      <c r="BH543" t="s">
        <v>74</v>
      </c>
      <c r="BI543">
        <v>1</v>
      </c>
      <c r="BJ543" t="s">
        <v>9566</v>
      </c>
      <c r="BK543" t="s">
        <v>102</v>
      </c>
      <c r="BL543" t="s">
        <v>9566</v>
      </c>
      <c r="BM543" t="s">
        <v>9567</v>
      </c>
      <c r="BN543" t="s">
        <v>74</v>
      </c>
      <c r="BO543" t="s">
        <v>74</v>
      </c>
      <c r="BP543" t="s">
        <v>74</v>
      </c>
      <c r="BQ543" t="s">
        <v>74</v>
      </c>
      <c r="BR543" t="s">
        <v>107</v>
      </c>
      <c r="BS543" t="s">
        <v>10816</v>
      </c>
      <c r="BT543" t="str">
        <f>HYPERLINK("https%3A%2F%2Fwww.webofscience.com%2Fwos%2Fwoscc%2Ffull-record%2FWOS:000460849400025","View Full Record in Web of Science")</f>
        <v>View Full Record in Web of Science</v>
      </c>
    </row>
    <row r="544" spans="1:72" x14ac:dyDescent="0.15">
      <c r="A544" t="s">
        <v>72</v>
      </c>
      <c r="B544" t="s">
        <v>10817</v>
      </c>
      <c r="C544" t="s">
        <v>74</v>
      </c>
      <c r="D544" t="s">
        <v>74</v>
      </c>
      <c r="E544" t="s">
        <v>74</v>
      </c>
      <c r="F544" t="s">
        <v>10818</v>
      </c>
      <c r="G544" t="s">
        <v>74</v>
      </c>
      <c r="H544" t="s">
        <v>74</v>
      </c>
      <c r="I544" t="s">
        <v>10819</v>
      </c>
      <c r="J544" t="s">
        <v>10820</v>
      </c>
      <c r="K544" t="s">
        <v>74</v>
      </c>
      <c r="L544" t="s">
        <v>74</v>
      </c>
      <c r="M544" t="s">
        <v>78</v>
      </c>
      <c r="N544" t="s">
        <v>79</v>
      </c>
      <c r="O544" t="s">
        <v>74</v>
      </c>
      <c r="P544" t="s">
        <v>74</v>
      </c>
      <c r="Q544" t="s">
        <v>74</v>
      </c>
      <c r="R544" t="s">
        <v>74</v>
      </c>
      <c r="S544" t="s">
        <v>74</v>
      </c>
      <c r="T544" t="s">
        <v>10821</v>
      </c>
      <c r="U544" t="s">
        <v>10822</v>
      </c>
      <c r="V544" t="s">
        <v>10823</v>
      </c>
      <c r="W544" t="s">
        <v>10824</v>
      </c>
      <c r="X544" t="s">
        <v>10825</v>
      </c>
      <c r="Y544" t="s">
        <v>10826</v>
      </c>
      <c r="Z544" t="s">
        <v>10827</v>
      </c>
      <c r="AA544" t="s">
        <v>10828</v>
      </c>
      <c r="AB544" t="s">
        <v>10829</v>
      </c>
      <c r="AC544" t="s">
        <v>10830</v>
      </c>
      <c r="AD544" t="s">
        <v>10831</v>
      </c>
      <c r="AE544" t="s">
        <v>10832</v>
      </c>
      <c r="AF544" t="s">
        <v>74</v>
      </c>
      <c r="AG544">
        <v>49</v>
      </c>
      <c r="AH544">
        <v>27</v>
      </c>
      <c r="AI544">
        <v>28</v>
      </c>
      <c r="AJ544">
        <v>1</v>
      </c>
      <c r="AK544">
        <v>34</v>
      </c>
      <c r="AL544" t="s">
        <v>10833</v>
      </c>
      <c r="AM544" t="s">
        <v>10834</v>
      </c>
      <c r="AN544" t="s">
        <v>10835</v>
      </c>
      <c r="AO544" t="s">
        <v>10836</v>
      </c>
      <c r="AP544" t="s">
        <v>74</v>
      </c>
      <c r="AQ544" t="s">
        <v>74</v>
      </c>
      <c r="AR544" t="s">
        <v>10837</v>
      </c>
      <c r="AS544" t="s">
        <v>10838</v>
      </c>
      <c r="AT544" t="s">
        <v>7895</v>
      </c>
      <c r="AU544">
        <v>2019</v>
      </c>
      <c r="AV544">
        <v>10</v>
      </c>
      <c r="AW544">
        <v>2</v>
      </c>
      <c r="AX544" t="s">
        <v>74</v>
      </c>
      <c r="AY544" t="s">
        <v>74</v>
      </c>
      <c r="AZ544" t="s">
        <v>74</v>
      </c>
      <c r="BA544" t="s">
        <v>74</v>
      </c>
      <c r="BB544">
        <v>608</v>
      </c>
      <c r="BC544">
        <v>620</v>
      </c>
      <c r="BD544" t="s">
        <v>74</v>
      </c>
      <c r="BE544" t="s">
        <v>10839</v>
      </c>
      <c r="BF544" t="str">
        <f>HYPERLINK("http://dx.doi.org/10.1016/j.apr.2018.10.008","http://dx.doi.org/10.1016/j.apr.2018.10.008")</f>
        <v>http://dx.doi.org/10.1016/j.apr.2018.10.008</v>
      </c>
      <c r="BG544" t="s">
        <v>74</v>
      </c>
      <c r="BH544" t="s">
        <v>74</v>
      </c>
      <c r="BI544">
        <v>13</v>
      </c>
      <c r="BJ544" t="s">
        <v>2296</v>
      </c>
      <c r="BK544" t="s">
        <v>102</v>
      </c>
      <c r="BL544" t="s">
        <v>2297</v>
      </c>
      <c r="BM544" t="s">
        <v>10840</v>
      </c>
      <c r="BN544" t="s">
        <v>74</v>
      </c>
      <c r="BO544" t="s">
        <v>74</v>
      </c>
      <c r="BP544" t="s">
        <v>74</v>
      </c>
      <c r="BQ544" t="s">
        <v>74</v>
      </c>
      <c r="BR544" t="s">
        <v>107</v>
      </c>
      <c r="BS544" t="s">
        <v>10841</v>
      </c>
      <c r="BT544" t="str">
        <f>HYPERLINK("https%3A%2F%2Fwww.webofscience.com%2Fwos%2Fwoscc%2Ffull-record%2FWOS:000458484300029","View Full Record in Web of Science")</f>
        <v>View Full Record in Web of Science</v>
      </c>
    </row>
    <row r="545" spans="1:72" x14ac:dyDescent="0.15">
      <c r="A545" t="s">
        <v>72</v>
      </c>
      <c r="B545" t="s">
        <v>10842</v>
      </c>
      <c r="C545" t="s">
        <v>74</v>
      </c>
      <c r="D545" t="s">
        <v>74</v>
      </c>
      <c r="E545" t="s">
        <v>74</v>
      </c>
      <c r="F545" t="s">
        <v>10843</v>
      </c>
      <c r="G545" t="s">
        <v>74</v>
      </c>
      <c r="H545" t="s">
        <v>74</v>
      </c>
      <c r="I545" t="s">
        <v>10844</v>
      </c>
      <c r="J545" t="s">
        <v>10845</v>
      </c>
      <c r="K545" t="s">
        <v>74</v>
      </c>
      <c r="L545" t="s">
        <v>74</v>
      </c>
      <c r="M545" t="s">
        <v>78</v>
      </c>
      <c r="N545" t="s">
        <v>79</v>
      </c>
      <c r="O545" t="s">
        <v>74</v>
      </c>
      <c r="P545" t="s">
        <v>74</v>
      </c>
      <c r="Q545" t="s">
        <v>74</v>
      </c>
      <c r="R545" t="s">
        <v>74</v>
      </c>
      <c r="S545" t="s">
        <v>74</v>
      </c>
      <c r="T545" t="s">
        <v>10846</v>
      </c>
      <c r="U545" t="s">
        <v>10847</v>
      </c>
      <c r="V545" t="s">
        <v>10848</v>
      </c>
      <c r="W545" t="s">
        <v>10849</v>
      </c>
      <c r="X545" t="s">
        <v>10850</v>
      </c>
      <c r="Y545" t="s">
        <v>10851</v>
      </c>
      <c r="Z545" t="s">
        <v>10852</v>
      </c>
      <c r="AA545" t="s">
        <v>10853</v>
      </c>
      <c r="AB545" t="s">
        <v>10854</v>
      </c>
      <c r="AC545" t="s">
        <v>10855</v>
      </c>
      <c r="AD545" t="s">
        <v>10856</v>
      </c>
      <c r="AE545" t="s">
        <v>10857</v>
      </c>
      <c r="AF545" t="s">
        <v>74</v>
      </c>
      <c r="AG545">
        <v>72</v>
      </c>
      <c r="AH545">
        <v>12</v>
      </c>
      <c r="AI545">
        <v>12</v>
      </c>
      <c r="AJ545">
        <v>0</v>
      </c>
      <c r="AK545">
        <v>26</v>
      </c>
      <c r="AL545" t="s">
        <v>378</v>
      </c>
      <c r="AM545" t="s">
        <v>93</v>
      </c>
      <c r="AN545" t="s">
        <v>379</v>
      </c>
      <c r="AO545" t="s">
        <v>10858</v>
      </c>
      <c r="AP545" t="s">
        <v>10859</v>
      </c>
      <c r="AQ545" t="s">
        <v>74</v>
      </c>
      <c r="AR545" t="s">
        <v>10860</v>
      </c>
      <c r="AS545" t="s">
        <v>10861</v>
      </c>
      <c r="AT545" t="s">
        <v>7895</v>
      </c>
      <c r="AU545">
        <v>2019</v>
      </c>
      <c r="AV545">
        <v>159</v>
      </c>
      <c r="AW545" t="s">
        <v>74</v>
      </c>
      <c r="AX545" t="s">
        <v>74</v>
      </c>
      <c r="AY545" t="s">
        <v>74</v>
      </c>
      <c r="AZ545" t="s">
        <v>74</v>
      </c>
      <c r="BA545" t="s">
        <v>74</v>
      </c>
      <c r="BB545">
        <v>179</v>
      </c>
      <c r="BC545">
        <v>190</v>
      </c>
      <c r="BD545" t="s">
        <v>74</v>
      </c>
      <c r="BE545" t="s">
        <v>10862</v>
      </c>
      <c r="BF545" t="str">
        <f>HYPERLINK("http://dx.doi.org/10.1016/j.envexpbot.2018.12.022","http://dx.doi.org/10.1016/j.envexpbot.2018.12.022")</f>
        <v>http://dx.doi.org/10.1016/j.envexpbot.2018.12.022</v>
      </c>
      <c r="BG545" t="s">
        <v>74</v>
      </c>
      <c r="BH545" t="s">
        <v>74</v>
      </c>
      <c r="BI545">
        <v>12</v>
      </c>
      <c r="BJ545" t="s">
        <v>10863</v>
      </c>
      <c r="BK545" t="s">
        <v>102</v>
      </c>
      <c r="BL545" t="s">
        <v>10864</v>
      </c>
      <c r="BM545" t="s">
        <v>10865</v>
      </c>
      <c r="BN545" t="s">
        <v>74</v>
      </c>
      <c r="BO545" t="s">
        <v>74</v>
      </c>
      <c r="BP545" t="s">
        <v>74</v>
      </c>
      <c r="BQ545" t="s">
        <v>74</v>
      </c>
      <c r="BR545" t="s">
        <v>107</v>
      </c>
      <c r="BS545" t="s">
        <v>10866</v>
      </c>
      <c r="BT545" t="str">
        <f>HYPERLINK("https%3A%2F%2Fwww.webofscience.com%2Fwos%2Fwoscc%2Ffull-record%2FWOS:000458595000018","View Full Record in Web of Science")</f>
        <v>View Full Record in Web of Science</v>
      </c>
    </row>
    <row r="546" spans="1:72" x14ac:dyDescent="0.15">
      <c r="A546" t="s">
        <v>72</v>
      </c>
      <c r="B546" t="s">
        <v>10867</v>
      </c>
      <c r="C546" t="s">
        <v>74</v>
      </c>
      <c r="D546" t="s">
        <v>74</v>
      </c>
      <c r="E546" t="s">
        <v>74</v>
      </c>
      <c r="F546" t="s">
        <v>10868</v>
      </c>
      <c r="G546" t="s">
        <v>74</v>
      </c>
      <c r="H546" t="s">
        <v>74</v>
      </c>
      <c r="I546" t="s">
        <v>10869</v>
      </c>
      <c r="J546" t="s">
        <v>10870</v>
      </c>
      <c r="K546" t="s">
        <v>74</v>
      </c>
      <c r="L546" t="s">
        <v>74</v>
      </c>
      <c r="M546" t="s">
        <v>78</v>
      </c>
      <c r="N546" t="s">
        <v>469</v>
      </c>
      <c r="O546" t="s">
        <v>74</v>
      </c>
      <c r="P546" t="s">
        <v>74</v>
      </c>
      <c r="Q546" t="s">
        <v>74</v>
      </c>
      <c r="R546" t="s">
        <v>74</v>
      </c>
      <c r="S546" t="s">
        <v>74</v>
      </c>
      <c r="T546" t="s">
        <v>74</v>
      </c>
      <c r="U546" t="s">
        <v>10871</v>
      </c>
      <c r="V546" t="s">
        <v>10872</v>
      </c>
      <c r="W546" t="s">
        <v>10873</v>
      </c>
      <c r="X546" t="s">
        <v>2352</v>
      </c>
      <c r="Y546" t="s">
        <v>10874</v>
      </c>
      <c r="Z546" t="s">
        <v>10875</v>
      </c>
      <c r="AA546" t="s">
        <v>10876</v>
      </c>
      <c r="AB546" t="s">
        <v>10877</v>
      </c>
      <c r="AC546" t="s">
        <v>10878</v>
      </c>
      <c r="AD546" t="s">
        <v>10879</v>
      </c>
      <c r="AE546" t="s">
        <v>10880</v>
      </c>
      <c r="AF546" t="s">
        <v>74</v>
      </c>
      <c r="AG546">
        <v>129</v>
      </c>
      <c r="AH546">
        <v>58</v>
      </c>
      <c r="AI546">
        <v>62</v>
      </c>
      <c r="AJ546">
        <v>3</v>
      </c>
      <c r="AK546">
        <v>58</v>
      </c>
      <c r="AL546" t="s">
        <v>153</v>
      </c>
      <c r="AM546" t="s">
        <v>154</v>
      </c>
      <c r="AN546" t="s">
        <v>155</v>
      </c>
      <c r="AO546" t="s">
        <v>10881</v>
      </c>
      <c r="AP546" t="s">
        <v>10882</v>
      </c>
      <c r="AQ546" t="s">
        <v>74</v>
      </c>
      <c r="AR546" t="s">
        <v>10883</v>
      </c>
      <c r="AS546" t="s">
        <v>10884</v>
      </c>
      <c r="AT546" t="s">
        <v>7895</v>
      </c>
      <c r="AU546">
        <v>2019</v>
      </c>
      <c r="AV546">
        <v>36</v>
      </c>
      <c r="AW546">
        <v>2</v>
      </c>
      <c r="AX546" t="s">
        <v>74</v>
      </c>
      <c r="AY546" t="s">
        <v>74</v>
      </c>
      <c r="AZ546" t="s">
        <v>74</v>
      </c>
      <c r="BA546" t="s">
        <v>74</v>
      </c>
      <c r="BB546">
        <v>333</v>
      </c>
      <c r="BC546">
        <v>354</v>
      </c>
      <c r="BD546" t="s">
        <v>74</v>
      </c>
      <c r="BE546" t="s">
        <v>10885</v>
      </c>
      <c r="BF546" t="str">
        <f>HYPERLINK("http://dx.doi.org/10.1002/rob.21819","http://dx.doi.org/10.1002/rob.21819")</f>
        <v>http://dx.doi.org/10.1002/rob.21819</v>
      </c>
      <c r="BG546" t="s">
        <v>74</v>
      </c>
      <c r="BH546" t="s">
        <v>74</v>
      </c>
      <c r="BI546">
        <v>22</v>
      </c>
      <c r="BJ546" t="s">
        <v>10886</v>
      </c>
      <c r="BK546" t="s">
        <v>102</v>
      </c>
      <c r="BL546" t="s">
        <v>10886</v>
      </c>
      <c r="BM546" t="s">
        <v>10887</v>
      </c>
      <c r="BN546" t="s">
        <v>74</v>
      </c>
      <c r="BO546" t="s">
        <v>74</v>
      </c>
      <c r="BP546" t="s">
        <v>74</v>
      </c>
      <c r="BQ546" t="s">
        <v>74</v>
      </c>
      <c r="BR546" t="s">
        <v>107</v>
      </c>
      <c r="BS546" t="s">
        <v>10888</v>
      </c>
      <c r="BT546" t="str">
        <f>HYPERLINK("https%3A%2F%2Fwww.webofscience.com%2Fwos%2Fwoscc%2Ffull-record%2FWOS:000458335100002","View Full Record in Web of Science")</f>
        <v>View Full Record in Web of Science</v>
      </c>
    </row>
    <row r="547" spans="1:72" x14ac:dyDescent="0.15">
      <c r="A547" t="s">
        <v>72</v>
      </c>
      <c r="B547" t="s">
        <v>10889</v>
      </c>
      <c r="C547" t="s">
        <v>74</v>
      </c>
      <c r="D547" t="s">
        <v>74</v>
      </c>
      <c r="E547" t="s">
        <v>74</v>
      </c>
      <c r="F547" t="s">
        <v>10890</v>
      </c>
      <c r="G547" t="s">
        <v>74</v>
      </c>
      <c r="H547" t="s">
        <v>74</v>
      </c>
      <c r="I547" t="s">
        <v>10891</v>
      </c>
      <c r="J547" t="s">
        <v>10892</v>
      </c>
      <c r="K547" t="s">
        <v>74</v>
      </c>
      <c r="L547" t="s">
        <v>74</v>
      </c>
      <c r="M547" t="s">
        <v>78</v>
      </c>
      <c r="N547" t="s">
        <v>79</v>
      </c>
      <c r="O547" t="s">
        <v>74</v>
      </c>
      <c r="P547" t="s">
        <v>74</v>
      </c>
      <c r="Q547" t="s">
        <v>74</v>
      </c>
      <c r="R547" t="s">
        <v>74</v>
      </c>
      <c r="S547" t="s">
        <v>74</v>
      </c>
      <c r="T547" t="s">
        <v>10893</v>
      </c>
      <c r="U547" t="s">
        <v>10894</v>
      </c>
      <c r="V547" t="s">
        <v>10895</v>
      </c>
      <c r="W547" t="s">
        <v>10896</v>
      </c>
      <c r="X547" t="s">
        <v>10897</v>
      </c>
      <c r="Y547" t="s">
        <v>10898</v>
      </c>
      <c r="Z547" t="s">
        <v>10899</v>
      </c>
      <c r="AA547" t="s">
        <v>74</v>
      </c>
      <c r="AB547" t="s">
        <v>10900</v>
      </c>
      <c r="AC547" t="s">
        <v>74</v>
      </c>
      <c r="AD547" t="s">
        <v>74</v>
      </c>
      <c r="AE547" t="s">
        <v>74</v>
      </c>
      <c r="AF547" t="s">
        <v>74</v>
      </c>
      <c r="AG547">
        <v>26</v>
      </c>
      <c r="AH547">
        <v>1</v>
      </c>
      <c r="AI547">
        <v>1</v>
      </c>
      <c r="AJ547">
        <v>1</v>
      </c>
      <c r="AK547">
        <v>4</v>
      </c>
      <c r="AL547" t="s">
        <v>153</v>
      </c>
      <c r="AM547" t="s">
        <v>154</v>
      </c>
      <c r="AN547" t="s">
        <v>155</v>
      </c>
      <c r="AO547" t="s">
        <v>10901</v>
      </c>
      <c r="AP547" t="s">
        <v>10902</v>
      </c>
      <c r="AQ547" t="s">
        <v>74</v>
      </c>
      <c r="AR547" t="s">
        <v>10903</v>
      </c>
      <c r="AS547" t="s">
        <v>10904</v>
      </c>
      <c r="AT547" t="s">
        <v>7895</v>
      </c>
      <c r="AU547">
        <v>2019</v>
      </c>
      <c r="AV547">
        <v>46</v>
      </c>
      <c r="AW547">
        <v>1</v>
      </c>
      <c r="AX547" t="s">
        <v>74</v>
      </c>
      <c r="AY547" t="s">
        <v>74</v>
      </c>
      <c r="AZ547" t="s">
        <v>74</v>
      </c>
      <c r="BA547" t="s">
        <v>74</v>
      </c>
      <c r="BB547">
        <v>160</v>
      </c>
      <c r="BC547">
        <v>199</v>
      </c>
      <c r="BD547" t="s">
        <v>74</v>
      </c>
      <c r="BE547" t="s">
        <v>10905</v>
      </c>
      <c r="BF547" t="str">
        <f>HYPERLINK("http://dx.doi.org/10.1111/sjos.12342","http://dx.doi.org/10.1111/sjos.12342")</f>
        <v>http://dx.doi.org/10.1111/sjos.12342</v>
      </c>
      <c r="BG547" t="s">
        <v>74</v>
      </c>
      <c r="BH547" t="s">
        <v>74</v>
      </c>
      <c r="BI547">
        <v>40</v>
      </c>
      <c r="BJ547" t="s">
        <v>10906</v>
      </c>
      <c r="BK547" t="s">
        <v>102</v>
      </c>
      <c r="BL547" t="s">
        <v>9521</v>
      </c>
      <c r="BM547" t="s">
        <v>10907</v>
      </c>
      <c r="BN547" t="s">
        <v>74</v>
      </c>
      <c r="BO547" t="s">
        <v>645</v>
      </c>
      <c r="BP547" t="s">
        <v>74</v>
      </c>
      <c r="BQ547" t="s">
        <v>74</v>
      </c>
      <c r="BR547" t="s">
        <v>107</v>
      </c>
      <c r="BS547" t="s">
        <v>10908</v>
      </c>
      <c r="BT547" t="str">
        <f>HYPERLINK("https%3A%2F%2Fwww.webofscience.com%2Fwos%2Fwoscc%2Ffull-record%2FWOS:000458557100008","View Full Record in Web of Science")</f>
        <v>View Full Record in Web of Science</v>
      </c>
    </row>
    <row r="548" spans="1:72" x14ac:dyDescent="0.15">
      <c r="A548" t="s">
        <v>72</v>
      </c>
      <c r="B548" t="s">
        <v>10909</v>
      </c>
      <c r="C548" t="s">
        <v>74</v>
      </c>
      <c r="D548" t="s">
        <v>74</v>
      </c>
      <c r="E548" t="s">
        <v>74</v>
      </c>
      <c r="F548" t="s">
        <v>10910</v>
      </c>
      <c r="G548" t="s">
        <v>74</v>
      </c>
      <c r="H548" t="s">
        <v>74</v>
      </c>
      <c r="I548" t="s">
        <v>10911</v>
      </c>
      <c r="J548" t="s">
        <v>10912</v>
      </c>
      <c r="K548" t="s">
        <v>74</v>
      </c>
      <c r="L548" t="s">
        <v>74</v>
      </c>
      <c r="M548" t="s">
        <v>78</v>
      </c>
      <c r="N548" t="s">
        <v>79</v>
      </c>
      <c r="O548" t="s">
        <v>74</v>
      </c>
      <c r="P548" t="s">
        <v>74</v>
      </c>
      <c r="Q548" t="s">
        <v>74</v>
      </c>
      <c r="R548" t="s">
        <v>74</v>
      </c>
      <c r="S548" t="s">
        <v>74</v>
      </c>
      <c r="T548" t="s">
        <v>10913</v>
      </c>
      <c r="U548" t="s">
        <v>10914</v>
      </c>
      <c r="V548" t="s">
        <v>10915</v>
      </c>
      <c r="W548" t="s">
        <v>10916</v>
      </c>
      <c r="X548" t="s">
        <v>10917</v>
      </c>
      <c r="Y548" t="s">
        <v>10918</v>
      </c>
      <c r="Z548" t="s">
        <v>10919</v>
      </c>
      <c r="AA548" t="s">
        <v>10920</v>
      </c>
      <c r="AB548" t="s">
        <v>10921</v>
      </c>
      <c r="AC548" t="s">
        <v>10922</v>
      </c>
      <c r="AD548" t="s">
        <v>10923</v>
      </c>
      <c r="AE548" t="s">
        <v>10924</v>
      </c>
      <c r="AF548" t="s">
        <v>74</v>
      </c>
      <c r="AG548">
        <v>41</v>
      </c>
      <c r="AH548">
        <v>1</v>
      </c>
      <c r="AI548">
        <v>2</v>
      </c>
      <c r="AJ548">
        <v>0</v>
      </c>
      <c r="AK548">
        <v>17</v>
      </c>
      <c r="AL548" t="s">
        <v>10925</v>
      </c>
      <c r="AM548" t="s">
        <v>10926</v>
      </c>
      <c r="AN548" t="s">
        <v>10927</v>
      </c>
      <c r="AO548" t="s">
        <v>10928</v>
      </c>
      <c r="AP548" t="s">
        <v>10929</v>
      </c>
      <c r="AQ548" t="s">
        <v>74</v>
      </c>
      <c r="AR548" t="s">
        <v>10930</v>
      </c>
      <c r="AS548" t="s">
        <v>10931</v>
      </c>
      <c r="AT548" t="s">
        <v>7895</v>
      </c>
      <c r="AU548">
        <v>2019</v>
      </c>
      <c r="AV548">
        <v>61</v>
      </c>
      <c r="AW548">
        <v>3</v>
      </c>
      <c r="AX548" t="s">
        <v>74</v>
      </c>
      <c r="AY548" t="s">
        <v>74</v>
      </c>
      <c r="AZ548" t="s">
        <v>74</v>
      </c>
      <c r="BA548" t="s">
        <v>74</v>
      </c>
      <c r="BB548">
        <v>200</v>
      </c>
      <c r="BC548">
        <v>208</v>
      </c>
      <c r="BD548" t="s">
        <v>74</v>
      </c>
      <c r="BE548" t="s">
        <v>10932</v>
      </c>
      <c r="BF548" t="str">
        <f>HYPERLINK("http://dx.doi.org/10.1007/s12033-018-00152-4","http://dx.doi.org/10.1007/s12033-018-00152-4")</f>
        <v>http://dx.doi.org/10.1007/s12033-018-00152-4</v>
      </c>
      <c r="BG548" t="s">
        <v>74</v>
      </c>
      <c r="BH548" t="s">
        <v>74</v>
      </c>
      <c r="BI548">
        <v>9</v>
      </c>
      <c r="BJ548" t="s">
        <v>10394</v>
      </c>
      <c r="BK548" t="s">
        <v>102</v>
      </c>
      <c r="BL548" t="s">
        <v>10394</v>
      </c>
      <c r="BM548" t="s">
        <v>10933</v>
      </c>
      <c r="BN548">
        <v>30649663</v>
      </c>
      <c r="BO548" t="s">
        <v>74</v>
      </c>
      <c r="BP548" t="s">
        <v>74</v>
      </c>
      <c r="BQ548" t="s">
        <v>74</v>
      </c>
      <c r="BR548" t="s">
        <v>107</v>
      </c>
      <c r="BS548" t="s">
        <v>10934</v>
      </c>
      <c r="BT548" t="str">
        <f>HYPERLINK("https%3A%2F%2Fwww.webofscience.com%2Fwos%2Fwoscc%2Ffull-record%2FWOS:000458164100004","View Full Record in Web of Science")</f>
        <v>View Full Record in Web of Science</v>
      </c>
    </row>
    <row r="549" spans="1:72" x14ac:dyDescent="0.15">
      <c r="A549" t="s">
        <v>72</v>
      </c>
      <c r="B549" t="s">
        <v>10935</v>
      </c>
      <c r="C549" t="s">
        <v>74</v>
      </c>
      <c r="D549" t="s">
        <v>74</v>
      </c>
      <c r="E549" t="s">
        <v>74</v>
      </c>
      <c r="F549" t="s">
        <v>10936</v>
      </c>
      <c r="G549" t="s">
        <v>74</v>
      </c>
      <c r="H549" t="s">
        <v>74</v>
      </c>
      <c r="I549" t="s">
        <v>10937</v>
      </c>
      <c r="J549" t="s">
        <v>1829</v>
      </c>
      <c r="K549" t="s">
        <v>74</v>
      </c>
      <c r="L549" t="s">
        <v>74</v>
      </c>
      <c r="M549" t="s">
        <v>78</v>
      </c>
      <c r="N549" t="s">
        <v>79</v>
      </c>
      <c r="O549" t="s">
        <v>74</v>
      </c>
      <c r="P549" t="s">
        <v>74</v>
      </c>
      <c r="Q549" t="s">
        <v>74</v>
      </c>
      <c r="R549" t="s">
        <v>74</v>
      </c>
      <c r="S549" t="s">
        <v>74</v>
      </c>
      <c r="T549" t="s">
        <v>10938</v>
      </c>
      <c r="U549" t="s">
        <v>10939</v>
      </c>
      <c r="V549" t="s">
        <v>10940</v>
      </c>
      <c r="W549" t="s">
        <v>10941</v>
      </c>
      <c r="X549" t="s">
        <v>10942</v>
      </c>
      <c r="Y549" t="s">
        <v>10943</v>
      </c>
      <c r="Z549" t="s">
        <v>10944</v>
      </c>
      <c r="AA549" t="s">
        <v>10945</v>
      </c>
      <c r="AB549" t="s">
        <v>10946</v>
      </c>
      <c r="AC549" t="s">
        <v>10947</v>
      </c>
      <c r="AD549" t="s">
        <v>10947</v>
      </c>
      <c r="AE549" t="s">
        <v>10948</v>
      </c>
      <c r="AF549" t="s">
        <v>74</v>
      </c>
      <c r="AG549">
        <v>92</v>
      </c>
      <c r="AH549">
        <v>13</v>
      </c>
      <c r="AI549">
        <v>15</v>
      </c>
      <c r="AJ549">
        <v>2</v>
      </c>
      <c r="AK549">
        <v>33</v>
      </c>
      <c r="AL549" t="s">
        <v>378</v>
      </c>
      <c r="AM549" t="s">
        <v>93</v>
      </c>
      <c r="AN549" t="s">
        <v>379</v>
      </c>
      <c r="AO549" t="s">
        <v>1842</v>
      </c>
      <c r="AP549" t="s">
        <v>1843</v>
      </c>
      <c r="AQ549" t="s">
        <v>74</v>
      </c>
      <c r="AR549" t="s">
        <v>1844</v>
      </c>
      <c r="AS549" t="s">
        <v>1845</v>
      </c>
      <c r="AT549" t="s">
        <v>8969</v>
      </c>
      <c r="AU549">
        <v>2019</v>
      </c>
      <c r="AV549">
        <v>248</v>
      </c>
      <c r="AW549" t="s">
        <v>74</v>
      </c>
      <c r="AX549" t="s">
        <v>74</v>
      </c>
      <c r="AY549" t="s">
        <v>74</v>
      </c>
      <c r="AZ549" t="s">
        <v>74</v>
      </c>
      <c r="BA549" t="s">
        <v>74</v>
      </c>
      <c r="BB549">
        <v>43</v>
      </c>
      <c r="BC549">
        <v>60</v>
      </c>
      <c r="BD549" t="s">
        <v>74</v>
      </c>
      <c r="BE549" t="s">
        <v>10949</v>
      </c>
      <c r="BF549" t="str">
        <f>HYPERLINK("http://dx.doi.org/10.1016/j.gca.2018.12.027","http://dx.doi.org/10.1016/j.gca.2018.12.027")</f>
        <v>http://dx.doi.org/10.1016/j.gca.2018.12.027</v>
      </c>
      <c r="BG549" t="s">
        <v>74</v>
      </c>
      <c r="BH549" t="s">
        <v>74</v>
      </c>
      <c r="BI549">
        <v>18</v>
      </c>
      <c r="BJ549" t="s">
        <v>643</v>
      </c>
      <c r="BK549" t="s">
        <v>102</v>
      </c>
      <c r="BL549" t="s">
        <v>643</v>
      </c>
      <c r="BM549" t="s">
        <v>10950</v>
      </c>
      <c r="BN549" t="s">
        <v>74</v>
      </c>
      <c r="BO549" t="s">
        <v>3785</v>
      </c>
      <c r="BP549" t="s">
        <v>74</v>
      </c>
      <c r="BQ549" t="s">
        <v>74</v>
      </c>
      <c r="BR549" t="s">
        <v>107</v>
      </c>
      <c r="BS549" t="s">
        <v>10951</v>
      </c>
      <c r="BT549" t="str">
        <f>HYPERLINK("https%3A%2F%2Fwww.webofscience.com%2Fwos%2Fwoscc%2Ffull-record%2FWOS:000457972800004","View Full Record in Web of Science")</f>
        <v>View Full Record in Web of Science</v>
      </c>
    </row>
    <row r="550" spans="1:72" x14ac:dyDescent="0.15">
      <c r="A550" t="s">
        <v>72</v>
      </c>
      <c r="B550" t="s">
        <v>10952</v>
      </c>
      <c r="C550" t="s">
        <v>74</v>
      </c>
      <c r="D550" t="s">
        <v>74</v>
      </c>
      <c r="E550" t="s">
        <v>74</v>
      </c>
      <c r="F550" t="s">
        <v>10953</v>
      </c>
      <c r="G550" t="s">
        <v>74</v>
      </c>
      <c r="H550" t="s">
        <v>74</v>
      </c>
      <c r="I550" t="s">
        <v>10954</v>
      </c>
      <c r="J550" t="s">
        <v>1829</v>
      </c>
      <c r="K550" t="s">
        <v>74</v>
      </c>
      <c r="L550" t="s">
        <v>74</v>
      </c>
      <c r="M550" t="s">
        <v>78</v>
      </c>
      <c r="N550" t="s">
        <v>79</v>
      </c>
      <c r="O550" t="s">
        <v>74</v>
      </c>
      <c r="P550" t="s">
        <v>74</v>
      </c>
      <c r="Q550" t="s">
        <v>74</v>
      </c>
      <c r="R550" t="s">
        <v>74</v>
      </c>
      <c r="S550" t="s">
        <v>74</v>
      </c>
      <c r="T550" t="s">
        <v>10955</v>
      </c>
      <c r="U550" t="s">
        <v>10956</v>
      </c>
      <c r="V550" t="s">
        <v>10957</v>
      </c>
      <c r="W550" t="s">
        <v>10958</v>
      </c>
      <c r="X550" t="s">
        <v>10959</v>
      </c>
      <c r="Y550" t="s">
        <v>10960</v>
      </c>
      <c r="Z550" t="s">
        <v>10961</v>
      </c>
      <c r="AA550" t="s">
        <v>10962</v>
      </c>
      <c r="AB550" t="s">
        <v>10963</v>
      </c>
      <c r="AC550" t="s">
        <v>10964</v>
      </c>
      <c r="AD550" t="s">
        <v>10965</v>
      </c>
      <c r="AE550" t="s">
        <v>10966</v>
      </c>
      <c r="AF550" t="s">
        <v>74</v>
      </c>
      <c r="AG550">
        <v>70</v>
      </c>
      <c r="AH550">
        <v>11</v>
      </c>
      <c r="AI550">
        <v>11</v>
      </c>
      <c r="AJ550">
        <v>0</v>
      </c>
      <c r="AK550">
        <v>68</v>
      </c>
      <c r="AL550" t="s">
        <v>378</v>
      </c>
      <c r="AM550" t="s">
        <v>93</v>
      </c>
      <c r="AN550" t="s">
        <v>379</v>
      </c>
      <c r="AO550" t="s">
        <v>1842</v>
      </c>
      <c r="AP550" t="s">
        <v>1843</v>
      </c>
      <c r="AQ550" t="s">
        <v>74</v>
      </c>
      <c r="AR550" t="s">
        <v>1844</v>
      </c>
      <c r="AS550" t="s">
        <v>1845</v>
      </c>
      <c r="AT550" t="s">
        <v>8969</v>
      </c>
      <c r="AU550">
        <v>2019</v>
      </c>
      <c r="AV550">
        <v>248</v>
      </c>
      <c r="AW550" t="s">
        <v>74</v>
      </c>
      <c r="AX550" t="s">
        <v>74</v>
      </c>
      <c r="AY550" t="s">
        <v>74</v>
      </c>
      <c r="AZ550" t="s">
        <v>74</v>
      </c>
      <c r="BA550" t="s">
        <v>74</v>
      </c>
      <c r="BB550">
        <v>109</v>
      </c>
      <c r="BC550">
        <v>122</v>
      </c>
      <c r="BD550" t="s">
        <v>74</v>
      </c>
      <c r="BE550" t="s">
        <v>10967</v>
      </c>
      <c r="BF550" t="str">
        <f>HYPERLINK("http://dx.doi.org/10.1016/j.gca.2019.01.009","http://dx.doi.org/10.1016/j.gca.2019.01.009")</f>
        <v>http://dx.doi.org/10.1016/j.gca.2019.01.009</v>
      </c>
      <c r="BG550" t="s">
        <v>74</v>
      </c>
      <c r="BH550" t="s">
        <v>74</v>
      </c>
      <c r="BI550">
        <v>14</v>
      </c>
      <c r="BJ550" t="s">
        <v>643</v>
      </c>
      <c r="BK550" t="s">
        <v>102</v>
      </c>
      <c r="BL550" t="s">
        <v>643</v>
      </c>
      <c r="BM550" t="s">
        <v>10950</v>
      </c>
      <c r="BN550" t="s">
        <v>74</v>
      </c>
      <c r="BO550" t="s">
        <v>74</v>
      </c>
      <c r="BP550" t="s">
        <v>74</v>
      </c>
      <c r="BQ550" t="s">
        <v>74</v>
      </c>
      <c r="BR550" t="s">
        <v>107</v>
      </c>
      <c r="BS550" t="s">
        <v>10968</v>
      </c>
      <c r="BT550" t="str">
        <f>HYPERLINK("https%3A%2F%2Fwww.webofscience.com%2Fwos%2Fwoscc%2Ffull-record%2FWOS:000457972800007","View Full Record in Web of Science")</f>
        <v>View Full Record in Web of Science</v>
      </c>
    </row>
    <row r="551" spans="1:72" x14ac:dyDescent="0.15">
      <c r="A551" t="s">
        <v>72</v>
      </c>
      <c r="B551" t="s">
        <v>10969</v>
      </c>
      <c r="C551" t="s">
        <v>74</v>
      </c>
      <c r="D551" t="s">
        <v>74</v>
      </c>
      <c r="E551" t="s">
        <v>74</v>
      </c>
      <c r="F551" t="s">
        <v>10970</v>
      </c>
      <c r="G551" t="s">
        <v>74</v>
      </c>
      <c r="H551" t="s">
        <v>10971</v>
      </c>
      <c r="I551" t="s">
        <v>10972</v>
      </c>
      <c r="J551" t="s">
        <v>1829</v>
      </c>
      <c r="K551" t="s">
        <v>74</v>
      </c>
      <c r="L551" t="s">
        <v>74</v>
      </c>
      <c r="M551" t="s">
        <v>78</v>
      </c>
      <c r="N551" t="s">
        <v>79</v>
      </c>
      <c r="O551" t="s">
        <v>74</v>
      </c>
      <c r="P551" t="s">
        <v>74</v>
      </c>
      <c r="Q551" t="s">
        <v>74</v>
      </c>
      <c r="R551" t="s">
        <v>74</v>
      </c>
      <c r="S551" t="s">
        <v>74</v>
      </c>
      <c r="T551" t="s">
        <v>10973</v>
      </c>
      <c r="U551" t="s">
        <v>10974</v>
      </c>
      <c r="V551" t="s">
        <v>10975</v>
      </c>
      <c r="W551" t="s">
        <v>10976</v>
      </c>
      <c r="X551" t="s">
        <v>10977</v>
      </c>
      <c r="Y551" t="s">
        <v>10978</v>
      </c>
      <c r="Z551" t="s">
        <v>10979</v>
      </c>
      <c r="AA551" t="s">
        <v>10980</v>
      </c>
      <c r="AB551" t="s">
        <v>10981</v>
      </c>
      <c r="AC551" t="s">
        <v>10982</v>
      </c>
      <c r="AD551" t="s">
        <v>10983</v>
      </c>
      <c r="AE551" t="s">
        <v>10984</v>
      </c>
      <c r="AF551" t="s">
        <v>74</v>
      </c>
      <c r="AG551">
        <v>121</v>
      </c>
      <c r="AH551">
        <v>18</v>
      </c>
      <c r="AI551">
        <v>18</v>
      </c>
      <c r="AJ551">
        <v>0</v>
      </c>
      <c r="AK551">
        <v>8</v>
      </c>
      <c r="AL551" t="s">
        <v>378</v>
      </c>
      <c r="AM551" t="s">
        <v>93</v>
      </c>
      <c r="AN551" t="s">
        <v>379</v>
      </c>
      <c r="AO551" t="s">
        <v>1842</v>
      </c>
      <c r="AP551" t="s">
        <v>1843</v>
      </c>
      <c r="AQ551" t="s">
        <v>74</v>
      </c>
      <c r="AR551" t="s">
        <v>1844</v>
      </c>
      <c r="AS551" t="s">
        <v>1845</v>
      </c>
      <c r="AT551" t="s">
        <v>8969</v>
      </c>
      <c r="AU551">
        <v>2019</v>
      </c>
      <c r="AV551">
        <v>248</v>
      </c>
      <c r="AW551" t="s">
        <v>74</v>
      </c>
      <c r="AX551" t="s">
        <v>74</v>
      </c>
      <c r="AY551" t="s">
        <v>74</v>
      </c>
      <c r="AZ551" t="s">
        <v>74</v>
      </c>
      <c r="BA551" t="s">
        <v>74</v>
      </c>
      <c r="BB551">
        <v>289</v>
      </c>
      <c r="BC551">
        <v>310</v>
      </c>
      <c r="BD551" t="s">
        <v>74</v>
      </c>
      <c r="BE551" t="s">
        <v>10985</v>
      </c>
      <c r="BF551" t="str">
        <f>HYPERLINK("http://dx.doi.org/10.1016/j.gca.2018.12.035","http://dx.doi.org/10.1016/j.gca.2018.12.035")</f>
        <v>http://dx.doi.org/10.1016/j.gca.2018.12.035</v>
      </c>
      <c r="BG551" t="s">
        <v>74</v>
      </c>
      <c r="BH551" t="s">
        <v>74</v>
      </c>
      <c r="BI551">
        <v>22</v>
      </c>
      <c r="BJ551" t="s">
        <v>643</v>
      </c>
      <c r="BK551" t="s">
        <v>102</v>
      </c>
      <c r="BL551" t="s">
        <v>643</v>
      </c>
      <c r="BM551" t="s">
        <v>10950</v>
      </c>
      <c r="BN551" t="s">
        <v>74</v>
      </c>
      <c r="BO551" t="s">
        <v>74</v>
      </c>
      <c r="BP551" t="s">
        <v>74</v>
      </c>
      <c r="BQ551" t="s">
        <v>74</v>
      </c>
      <c r="BR551" t="s">
        <v>107</v>
      </c>
      <c r="BS551" t="s">
        <v>10986</v>
      </c>
      <c r="BT551" t="str">
        <f>HYPERLINK("https%3A%2F%2Fwww.webofscience.com%2Fwos%2Fwoscc%2Ffull-record%2FWOS:000457972800018","View Full Record in Web of Science")</f>
        <v>View Full Record in Web of Science</v>
      </c>
    </row>
    <row r="552" spans="1:72" x14ac:dyDescent="0.15">
      <c r="A552" t="s">
        <v>72</v>
      </c>
      <c r="B552" t="s">
        <v>10987</v>
      </c>
      <c r="C552" t="s">
        <v>74</v>
      </c>
      <c r="D552" t="s">
        <v>74</v>
      </c>
      <c r="E552" t="s">
        <v>74</v>
      </c>
      <c r="F552" t="s">
        <v>10988</v>
      </c>
      <c r="G552" t="s">
        <v>74</v>
      </c>
      <c r="H552" t="s">
        <v>74</v>
      </c>
      <c r="I552" t="s">
        <v>10989</v>
      </c>
      <c r="J552" t="s">
        <v>621</v>
      </c>
      <c r="K552" t="s">
        <v>74</v>
      </c>
      <c r="L552" t="s">
        <v>74</v>
      </c>
      <c r="M552" t="s">
        <v>78</v>
      </c>
      <c r="N552" t="s">
        <v>79</v>
      </c>
      <c r="O552" t="s">
        <v>74</v>
      </c>
      <c r="P552" t="s">
        <v>74</v>
      </c>
      <c r="Q552" t="s">
        <v>74</v>
      </c>
      <c r="R552" t="s">
        <v>74</v>
      </c>
      <c r="S552" t="s">
        <v>74</v>
      </c>
      <c r="T552" t="s">
        <v>10990</v>
      </c>
      <c r="U552" t="s">
        <v>10991</v>
      </c>
      <c r="V552" t="s">
        <v>10992</v>
      </c>
      <c r="W552" t="s">
        <v>10993</v>
      </c>
      <c r="X552" t="s">
        <v>10994</v>
      </c>
      <c r="Y552" t="s">
        <v>10995</v>
      </c>
      <c r="Z552" t="s">
        <v>10996</v>
      </c>
      <c r="AA552" t="s">
        <v>10997</v>
      </c>
      <c r="AB552" t="s">
        <v>10998</v>
      </c>
      <c r="AC552" t="s">
        <v>10999</v>
      </c>
      <c r="AD552" t="s">
        <v>11000</v>
      </c>
      <c r="AE552" t="s">
        <v>11001</v>
      </c>
      <c r="AF552" t="s">
        <v>74</v>
      </c>
      <c r="AG552">
        <v>33</v>
      </c>
      <c r="AH552">
        <v>8</v>
      </c>
      <c r="AI552">
        <v>12</v>
      </c>
      <c r="AJ552">
        <v>0</v>
      </c>
      <c r="AK552">
        <v>25</v>
      </c>
      <c r="AL552" t="s">
        <v>662</v>
      </c>
      <c r="AM552" t="s">
        <v>635</v>
      </c>
      <c r="AN552" t="s">
        <v>663</v>
      </c>
      <c r="AO552" t="s">
        <v>637</v>
      </c>
      <c r="AP552" t="s">
        <v>638</v>
      </c>
      <c r="AQ552" t="s">
        <v>74</v>
      </c>
      <c r="AR552" t="s">
        <v>639</v>
      </c>
      <c r="AS552" t="s">
        <v>640</v>
      </c>
      <c r="AT552" t="s">
        <v>8969</v>
      </c>
      <c r="AU552">
        <v>2019</v>
      </c>
      <c r="AV552">
        <v>509</v>
      </c>
      <c r="AW552" t="s">
        <v>74</v>
      </c>
      <c r="AX552" t="s">
        <v>74</v>
      </c>
      <c r="AY552" t="s">
        <v>74</v>
      </c>
      <c r="AZ552" t="s">
        <v>74</v>
      </c>
      <c r="BA552" t="s">
        <v>74</v>
      </c>
      <c r="BB552">
        <v>47</v>
      </c>
      <c r="BC552">
        <v>54</v>
      </c>
      <c r="BD552" t="s">
        <v>74</v>
      </c>
      <c r="BE552" t="s">
        <v>11002</v>
      </c>
      <c r="BF552" t="str">
        <f>HYPERLINK("http://dx.doi.org/10.1016/j.epsl.2018.12.026","http://dx.doi.org/10.1016/j.epsl.2018.12.026")</f>
        <v>http://dx.doi.org/10.1016/j.epsl.2018.12.026</v>
      </c>
      <c r="BG552" t="s">
        <v>74</v>
      </c>
      <c r="BH552" t="s">
        <v>74</v>
      </c>
      <c r="BI552">
        <v>8</v>
      </c>
      <c r="BJ552" t="s">
        <v>643</v>
      </c>
      <c r="BK552" t="s">
        <v>102</v>
      </c>
      <c r="BL552" t="s">
        <v>643</v>
      </c>
      <c r="BM552" t="s">
        <v>11003</v>
      </c>
      <c r="BN552" t="s">
        <v>74</v>
      </c>
      <c r="BO552" t="s">
        <v>74</v>
      </c>
      <c r="BP552" t="s">
        <v>74</v>
      </c>
      <c r="BQ552" t="s">
        <v>74</v>
      </c>
      <c r="BR552" t="s">
        <v>107</v>
      </c>
      <c r="BS552" t="s">
        <v>11004</v>
      </c>
      <c r="BT552" t="str">
        <f>HYPERLINK("https%3A%2F%2Fwww.webofscience.com%2Fwos%2Fwoscc%2Ffull-record%2FWOS:000457661900006","View Full Record in Web of Science")</f>
        <v>View Full Record in Web of Science</v>
      </c>
    </row>
    <row r="553" spans="1:72" x14ac:dyDescent="0.15">
      <c r="A553" t="s">
        <v>72</v>
      </c>
      <c r="B553" t="s">
        <v>11005</v>
      </c>
      <c r="C553" t="s">
        <v>74</v>
      </c>
      <c r="D553" t="s">
        <v>74</v>
      </c>
      <c r="E553" t="s">
        <v>74</v>
      </c>
      <c r="F553" t="s">
        <v>11006</v>
      </c>
      <c r="G553" t="s">
        <v>74</v>
      </c>
      <c r="H553" t="s">
        <v>74</v>
      </c>
      <c r="I553" t="s">
        <v>11007</v>
      </c>
      <c r="J553" t="s">
        <v>11008</v>
      </c>
      <c r="K553" t="s">
        <v>74</v>
      </c>
      <c r="L553" t="s">
        <v>74</v>
      </c>
      <c r="M553" t="s">
        <v>78</v>
      </c>
      <c r="N553" t="s">
        <v>79</v>
      </c>
      <c r="O553" t="s">
        <v>74</v>
      </c>
      <c r="P553" t="s">
        <v>74</v>
      </c>
      <c r="Q553" t="s">
        <v>74</v>
      </c>
      <c r="R553" t="s">
        <v>74</v>
      </c>
      <c r="S553" t="s">
        <v>74</v>
      </c>
      <c r="T553" t="s">
        <v>11009</v>
      </c>
      <c r="U553" t="s">
        <v>11010</v>
      </c>
      <c r="V553" t="s">
        <v>11011</v>
      </c>
      <c r="W553" t="s">
        <v>11012</v>
      </c>
      <c r="X553" t="s">
        <v>11013</v>
      </c>
      <c r="Y553" t="s">
        <v>11014</v>
      </c>
      <c r="Z553" t="s">
        <v>11015</v>
      </c>
      <c r="AA553" t="s">
        <v>11016</v>
      </c>
      <c r="AB553" t="s">
        <v>11017</v>
      </c>
      <c r="AC553" t="s">
        <v>11018</v>
      </c>
      <c r="AD553" t="s">
        <v>11019</v>
      </c>
      <c r="AE553" t="s">
        <v>11020</v>
      </c>
      <c r="AF553" t="s">
        <v>74</v>
      </c>
      <c r="AG553">
        <v>39</v>
      </c>
      <c r="AH553">
        <v>7</v>
      </c>
      <c r="AI553">
        <v>7</v>
      </c>
      <c r="AJ553">
        <v>1</v>
      </c>
      <c r="AK553">
        <v>10</v>
      </c>
      <c r="AL553" t="s">
        <v>662</v>
      </c>
      <c r="AM553" t="s">
        <v>635</v>
      </c>
      <c r="AN553" t="s">
        <v>663</v>
      </c>
      <c r="AO553" t="s">
        <v>11021</v>
      </c>
      <c r="AP553" t="s">
        <v>11022</v>
      </c>
      <c r="AQ553" t="s">
        <v>74</v>
      </c>
      <c r="AR553" t="s">
        <v>11023</v>
      </c>
      <c r="AS553" t="s">
        <v>11024</v>
      </c>
      <c r="AT553" t="s">
        <v>7895</v>
      </c>
      <c r="AU553">
        <v>2019</v>
      </c>
      <c r="AV553">
        <v>512</v>
      </c>
      <c r="AW553" t="s">
        <v>74</v>
      </c>
      <c r="AX553" t="s">
        <v>74</v>
      </c>
      <c r="AY553" t="s">
        <v>74</v>
      </c>
      <c r="AZ553" t="s">
        <v>74</v>
      </c>
      <c r="BA553" t="s">
        <v>74</v>
      </c>
      <c r="BB553">
        <v>12</v>
      </c>
      <c r="BC553">
        <v>21</v>
      </c>
      <c r="BD553" t="s">
        <v>74</v>
      </c>
      <c r="BE553" t="s">
        <v>11025</v>
      </c>
      <c r="BF553" t="str">
        <f>HYPERLINK("http://dx.doi.org/10.1016/j.jembe.2018.12.007","http://dx.doi.org/10.1016/j.jembe.2018.12.007")</f>
        <v>http://dx.doi.org/10.1016/j.jembe.2018.12.007</v>
      </c>
      <c r="BG553" t="s">
        <v>74</v>
      </c>
      <c r="BH553" t="s">
        <v>74</v>
      </c>
      <c r="BI553">
        <v>10</v>
      </c>
      <c r="BJ553" t="s">
        <v>8634</v>
      </c>
      <c r="BK553" t="s">
        <v>102</v>
      </c>
      <c r="BL553" t="s">
        <v>830</v>
      </c>
      <c r="BM553" t="s">
        <v>11026</v>
      </c>
      <c r="BN553" t="s">
        <v>74</v>
      </c>
      <c r="BO553" t="s">
        <v>74</v>
      </c>
      <c r="BP553" t="s">
        <v>74</v>
      </c>
      <c r="BQ553" t="s">
        <v>74</v>
      </c>
      <c r="BR553" t="s">
        <v>107</v>
      </c>
      <c r="BS553" t="s">
        <v>11027</v>
      </c>
      <c r="BT553" t="str">
        <f>HYPERLINK("https%3A%2F%2Fwww.webofscience.com%2Fwos%2Fwoscc%2Ffull-record%2FWOS:000457819300002","View Full Record in Web of Science")</f>
        <v>View Full Record in Web of Science</v>
      </c>
    </row>
    <row r="554" spans="1:72" x14ac:dyDescent="0.15">
      <c r="A554" t="s">
        <v>72</v>
      </c>
      <c r="B554" t="s">
        <v>11028</v>
      </c>
      <c r="C554" t="s">
        <v>74</v>
      </c>
      <c r="D554" t="s">
        <v>74</v>
      </c>
      <c r="E554" t="s">
        <v>74</v>
      </c>
      <c r="F554" t="s">
        <v>11029</v>
      </c>
      <c r="G554" t="s">
        <v>74</v>
      </c>
      <c r="H554" t="s">
        <v>74</v>
      </c>
      <c r="I554" t="s">
        <v>11030</v>
      </c>
      <c r="J554" t="s">
        <v>11031</v>
      </c>
      <c r="K554" t="s">
        <v>74</v>
      </c>
      <c r="L554" t="s">
        <v>74</v>
      </c>
      <c r="M554" t="s">
        <v>78</v>
      </c>
      <c r="N554" t="s">
        <v>79</v>
      </c>
      <c r="O554" t="s">
        <v>74</v>
      </c>
      <c r="P554" t="s">
        <v>74</v>
      </c>
      <c r="Q554" t="s">
        <v>74</v>
      </c>
      <c r="R554" t="s">
        <v>74</v>
      </c>
      <c r="S554" t="s">
        <v>74</v>
      </c>
      <c r="T554" t="s">
        <v>11032</v>
      </c>
      <c r="U554" t="s">
        <v>11033</v>
      </c>
      <c r="V554" t="s">
        <v>11034</v>
      </c>
      <c r="W554" t="s">
        <v>11035</v>
      </c>
      <c r="X554" t="s">
        <v>11036</v>
      </c>
      <c r="Y554" t="s">
        <v>11037</v>
      </c>
      <c r="Z554" t="s">
        <v>11038</v>
      </c>
      <c r="AA554" t="s">
        <v>11039</v>
      </c>
      <c r="AB554" t="s">
        <v>11040</v>
      </c>
      <c r="AC554" t="s">
        <v>11041</v>
      </c>
      <c r="AD554" t="s">
        <v>11042</v>
      </c>
      <c r="AE554" t="s">
        <v>11043</v>
      </c>
      <c r="AF554" t="s">
        <v>74</v>
      </c>
      <c r="AG554">
        <v>28</v>
      </c>
      <c r="AH554">
        <v>5</v>
      </c>
      <c r="AI554">
        <v>5</v>
      </c>
      <c r="AJ554">
        <v>1</v>
      </c>
      <c r="AK554">
        <v>16</v>
      </c>
      <c r="AL554" t="s">
        <v>634</v>
      </c>
      <c r="AM554" t="s">
        <v>635</v>
      </c>
      <c r="AN554" t="s">
        <v>636</v>
      </c>
      <c r="AO554" t="s">
        <v>11044</v>
      </c>
      <c r="AP554" t="s">
        <v>11045</v>
      </c>
      <c r="AQ554" t="s">
        <v>74</v>
      </c>
      <c r="AR554" t="s">
        <v>11031</v>
      </c>
      <c r="AS554" t="s">
        <v>11046</v>
      </c>
      <c r="AT554" t="s">
        <v>8969</v>
      </c>
      <c r="AU554">
        <v>2019</v>
      </c>
      <c r="AV554">
        <v>337</v>
      </c>
      <c r="AW554" t="s">
        <v>74</v>
      </c>
      <c r="AX554" t="s">
        <v>74</v>
      </c>
      <c r="AY554" t="s">
        <v>74</v>
      </c>
      <c r="AZ554" t="s">
        <v>74</v>
      </c>
      <c r="BA554" t="s">
        <v>74</v>
      </c>
      <c r="BB554">
        <v>871</v>
      </c>
      <c r="BC554">
        <v>879</v>
      </c>
      <c r="BD554" t="s">
        <v>74</v>
      </c>
      <c r="BE554" t="s">
        <v>11047</v>
      </c>
      <c r="BF554" t="str">
        <f>HYPERLINK("http://dx.doi.org/10.1016/j.geoderma.2018.09.050","http://dx.doi.org/10.1016/j.geoderma.2018.09.050")</f>
        <v>http://dx.doi.org/10.1016/j.geoderma.2018.09.050</v>
      </c>
      <c r="BG554" t="s">
        <v>74</v>
      </c>
      <c r="BH554" t="s">
        <v>74</v>
      </c>
      <c r="BI554">
        <v>9</v>
      </c>
      <c r="BJ554" t="s">
        <v>11048</v>
      </c>
      <c r="BK554" t="s">
        <v>102</v>
      </c>
      <c r="BL554" t="s">
        <v>11049</v>
      </c>
      <c r="BM554" t="s">
        <v>11050</v>
      </c>
      <c r="BN554" t="s">
        <v>74</v>
      </c>
      <c r="BO554" t="s">
        <v>198</v>
      </c>
      <c r="BP554" t="s">
        <v>74</v>
      </c>
      <c r="BQ554" t="s">
        <v>74</v>
      </c>
      <c r="BR554" t="s">
        <v>107</v>
      </c>
      <c r="BS554" t="s">
        <v>11051</v>
      </c>
      <c r="BT554" t="str">
        <f>HYPERLINK("https%3A%2F%2Fwww.webofscience.com%2Fwos%2Fwoscc%2Ffull-record%2FWOS:000456761500086","View Full Record in Web of Science")</f>
        <v>View Full Record in Web of Science</v>
      </c>
    </row>
    <row r="555" spans="1:72" x14ac:dyDescent="0.15">
      <c r="A555" t="s">
        <v>72</v>
      </c>
      <c r="B555" t="s">
        <v>11052</v>
      </c>
      <c r="C555" t="s">
        <v>74</v>
      </c>
      <c r="D555" t="s">
        <v>74</v>
      </c>
      <c r="E555" t="s">
        <v>74</v>
      </c>
      <c r="F555" t="s">
        <v>11053</v>
      </c>
      <c r="G555" t="s">
        <v>74</v>
      </c>
      <c r="H555" t="s">
        <v>74</v>
      </c>
      <c r="I555" t="s">
        <v>11054</v>
      </c>
      <c r="J555" t="s">
        <v>496</v>
      </c>
      <c r="K555" t="s">
        <v>74</v>
      </c>
      <c r="L555" t="s">
        <v>74</v>
      </c>
      <c r="M555" t="s">
        <v>78</v>
      </c>
      <c r="N555" t="s">
        <v>79</v>
      </c>
      <c r="O555" t="s">
        <v>74</v>
      </c>
      <c r="P555" t="s">
        <v>74</v>
      </c>
      <c r="Q555" t="s">
        <v>74</v>
      </c>
      <c r="R555" t="s">
        <v>74</v>
      </c>
      <c r="S555" t="s">
        <v>74</v>
      </c>
      <c r="T555" t="s">
        <v>11055</v>
      </c>
      <c r="U555" t="s">
        <v>11056</v>
      </c>
      <c r="V555" t="s">
        <v>11057</v>
      </c>
      <c r="W555" t="s">
        <v>11058</v>
      </c>
      <c r="X555" t="s">
        <v>11059</v>
      </c>
      <c r="Y555" t="s">
        <v>11060</v>
      </c>
      <c r="Z555" t="s">
        <v>11061</v>
      </c>
      <c r="AA555" t="s">
        <v>11062</v>
      </c>
      <c r="AB555" t="s">
        <v>74</v>
      </c>
      <c r="AC555" t="s">
        <v>11063</v>
      </c>
      <c r="AD555" t="s">
        <v>11064</v>
      </c>
      <c r="AE555" t="s">
        <v>11065</v>
      </c>
      <c r="AF555" t="s">
        <v>74</v>
      </c>
      <c r="AG555">
        <v>41</v>
      </c>
      <c r="AH555">
        <v>3</v>
      </c>
      <c r="AI555">
        <v>3</v>
      </c>
      <c r="AJ555">
        <v>0</v>
      </c>
      <c r="AK555">
        <v>131</v>
      </c>
      <c r="AL555" t="s">
        <v>269</v>
      </c>
      <c r="AM555" t="s">
        <v>270</v>
      </c>
      <c r="AN555" t="s">
        <v>271</v>
      </c>
      <c r="AO555" t="s">
        <v>509</v>
      </c>
      <c r="AP555" t="s">
        <v>510</v>
      </c>
      <c r="AQ555" t="s">
        <v>74</v>
      </c>
      <c r="AR555" t="s">
        <v>511</v>
      </c>
      <c r="AS555" t="s">
        <v>512</v>
      </c>
      <c r="AT555" t="s">
        <v>7895</v>
      </c>
      <c r="AU555">
        <v>2019</v>
      </c>
      <c r="AV555">
        <v>32</v>
      </c>
      <c r="AW555">
        <v>5</v>
      </c>
      <c r="AX555" t="s">
        <v>74</v>
      </c>
      <c r="AY555" t="s">
        <v>74</v>
      </c>
      <c r="AZ555" t="s">
        <v>74</v>
      </c>
      <c r="BA555" t="s">
        <v>74</v>
      </c>
      <c r="BB555">
        <v>1411</v>
      </c>
      <c r="BC555">
        <v>1418</v>
      </c>
      <c r="BD555" t="s">
        <v>74</v>
      </c>
      <c r="BE555" t="s">
        <v>11066</v>
      </c>
      <c r="BF555" t="str">
        <f>HYPERLINK("http://dx.doi.org/10.1175/JCLI-D-17-0906.1","http://dx.doi.org/10.1175/JCLI-D-17-0906.1")</f>
        <v>http://dx.doi.org/10.1175/JCLI-D-17-0906.1</v>
      </c>
      <c r="BG555" t="s">
        <v>74</v>
      </c>
      <c r="BH555" t="s">
        <v>74</v>
      </c>
      <c r="BI555">
        <v>8</v>
      </c>
      <c r="BJ555" t="s">
        <v>133</v>
      </c>
      <c r="BK555" t="s">
        <v>102</v>
      </c>
      <c r="BL555" t="s">
        <v>133</v>
      </c>
      <c r="BM555" t="s">
        <v>11067</v>
      </c>
      <c r="BN555" t="s">
        <v>74</v>
      </c>
      <c r="BO555" t="s">
        <v>279</v>
      </c>
      <c r="BP555" t="s">
        <v>74</v>
      </c>
      <c r="BQ555" t="s">
        <v>74</v>
      </c>
      <c r="BR555" t="s">
        <v>107</v>
      </c>
      <c r="BS555" t="s">
        <v>11068</v>
      </c>
      <c r="BT555" t="str">
        <f>HYPERLINK("https%3A%2F%2Fwww.webofscience.com%2Fwos%2Fwoscc%2Ffull-record%2FWOS:000457452900001","View Full Record in Web of Science")</f>
        <v>View Full Record in Web of Science</v>
      </c>
    </row>
    <row r="556" spans="1:72" x14ac:dyDescent="0.15">
      <c r="A556" t="s">
        <v>72</v>
      </c>
      <c r="B556" t="s">
        <v>11069</v>
      </c>
      <c r="C556" t="s">
        <v>74</v>
      </c>
      <c r="D556" t="s">
        <v>74</v>
      </c>
      <c r="E556" t="s">
        <v>74</v>
      </c>
      <c r="F556" t="s">
        <v>11070</v>
      </c>
      <c r="G556" t="s">
        <v>74</v>
      </c>
      <c r="H556" t="s">
        <v>74</v>
      </c>
      <c r="I556" t="s">
        <v>11071</v>
      </c>
      <c r="J556" t="s">
        <v>11072</v>
      </c>
      <c r="K556" t="s">
        <v>74</v>
      </c>
      <c r="L556" t="s">
        <v>74</v>
      </c>
      <c r="M556" t="s">
        <v>78</v>
      </c>
      <c r="N556" t="s">
        <v>79</v>
      </c>
      <c r="O556" t="s">
        <v>74</v>
      </c>
      <c r="P556" t="s">
        <v>74</v>
      </c>
      <c r="Q556" t="s">
        <v>74</v>
      </c>
      <c r="R556" t="s">
        <v>74</v>
      </c>
      <c r="S556" t="s">
        <v>74</v>
      </c>
      <c r="T556" t="s">
        <v>11073</v>
      </c>
      <c r="U556" t="s">
        <v>11074</v>
      </c>
      <c r="V556" t="s">
        <v>11075</v>
      </c>
      <c r="W556" t="s">
        <v>11076</v>
      </c>
      <c r="X556" t="s">
        <v>11077</v>
      </c>
      <c r="Y556" t="s">
        <v>11078</v>
      </c>
      <c r="Z556" t="s">
        <v>11079</v>
      </c>
      <c r="AA556" t="s">
        <v>11080</v>
      </c>
      <c r="AB556" t="s">
        <v>11081</v>
      </c>
      <c r="AC556" t="s">
        <v>11082</v>
      </c>
      <c r="AD556" t="s">
        <v>11083</v>
      </c>
      <c r="AE556" t="s">
        <v>11084</v>
      </c>
      <c r="AF556" t="s">
        <v>74</v>
      </c>
      <c r="AG556">
        <v>105</v>
      </c>
      <c r="AH556">
        <v>12</v>
      </c>
      <c r="AI556">
        <v>12</v>
      </c>
      <c r="AJ556">
        <v>3</v>
      </c>
      <c r="AK556">
        <v>23</v>
      </c>
      <c r="AL556" t="s">
        <v>7222</v>
      </c>
      <c r="AM556" t="s">
        <v>7223</v>
      </c>
      <c r="AN556" t="s">
        <v>7224</v>
      </c>
      <c r="AO556" t="s">
        <v>11085</v>
      </c>
      <c r="AP556" t="s">
        <v>11086</v>
      </c>
      <c r="AQ556" t="s">
        <v>74</v>
      </c>
      <c r="AR556" t="s">
        <v>11087</v>
      </c>
      <c r="AS556" t="s">
        <v>11088</v>
      </c>
      <c r="AT556" t="s">
        <v>7895</v>
      </c>
      <c r="AU556">
        <v>2019</v>
      </c>
      <c r="AV556">
        <v>132</v>
      </c>
      <c r="AW556" t="s">
        <v>74</v>
      </c>
      <c r="AX556" t="s">
        <v>74</v>
      </c>
      <c r="AY556" t="s">
        <v>74</v>
      </c>
      <c r="AZ556" t="s">
        <v>74</v>
      </c>
      <c r="BA556" t="s">
        <v>74</v>
      </c>
      <c r="BB556">
        <v>1</v>
      </c>
      <c r="BC556">
        <v>13</v>
      </c>
      <c r="BD556" t="s">
        <v>74</v>
      </c>
      <c r="BE556" t="s">
        <v>11089</v>
      </c>
      <c r="BF556" t="str">
        <f>HYPERLINK("http://dx.doi.org/10.1016/j.ympev.2018.11.017","http://dx.doi.org/10.1016/j.ympev.2018.11.017")</f>
        <v>http://dx.doi.org/10.1016/j.ympev.2018.11.017</v>
      </c>
      <c r="BG556" t="s">
        <v>74</v>
      </c>
      <c r="BH556" t="s">
        <v>74</v>
      </c>
      <c r="BI556">
        <v>13</v>
      </c>
      <c r="BJ556" t="s">
        <v>2762</v>
      </c>
      <c r="BK556" t="s">
        <v>102</v>
      </c>
      <c r="BL556" t="s">
        <v>2762</v>
      </c>
      <c r="BM556" t="s">
        <v>11090</v>
      </c>
      <c r="BN556">
        <v>30502396</v>
      </c>
      <c r="BO556" t="s">
        <v>515</v>
      </c>
      <c r="BP556" t="s">
        <v>74</v>
      </c>
      <c r="BQ556" t="s">
        <v>74</v>
      </c>
      <c r="BR556" t="s">
        <v>107</v>
      </c>
      <c r="BS556" t="s">
        <v>11091</v>
      </c>
      <c r="BT556" t="str">
        <f>HYPERLINK("https%3A%2F%2Fwww.webofscience.com%2Fwos%2Fwoscc%2Ffull-record%2FWOS:000456566000001","View Full Record in Web of Science")</f>
        <v>View Full Record in Web of Science</v>
      </c>
    </row>
    <row r="557" spans="1:72" x14ac:dyDescent="0.15">
      <c r="A557" t="s">
        <v>72</v>
      </c>
      <c r="B557" t="s">
        <v>11092</v>
      </c>
      <c r="C557" t="s">
        <v>74</v>
      </c>
      <c r="D557" t="s">
        <v>74</v>
      </c>
      <c r="E557" t="s">
        <v>74</v>
      </c>
      <c r="F557" t="s">
        <v>11093</v>
      </c>
      <c r="G557" t="s">
        <v>74</v>
      </c>
      <c r="H557" t="s">
        <v>74</v>
      </c>
      <c r="I557" t="s">
        <v>11094</v>
      </c>
      <c r="J557" t="s">
        <v>11072</v>
      </c>
      <c r="K557" t="s">
        <v>74</v>
      </c>
      <c r="L557" t="s">
        <v>74</v>
      </c>
      <c r="M557" t="s">
        <v>78</v>
      </c>
      <c r="N557" t="s">
        <v>79</v>
      </c>
      <c r="O557" t="s">
        <v>74</v>
      </c>
      <c r="P557" t="s">
        <v>74</v>
      </c>
      <c r="Q557" t="s">
        <v>74</v>
      </c>
      <c r="R557" t="s">
        <v>74</v>
      </c>
      <c r="S557" t="s">
        <v>74</v>
      </c>
      <c r="T557" t="s">
        <v>11095</v>
      </c>
      <c r="U557" t="s">
        <v>11096</v>
      </c>
      <c r="V557" t="s">
        <v>11097</v>
      </c>
      <c r="W557" t="s">
        <v>11098</v>
      </c>
      <c r="X557" t="s">
        <v>11099</v>
      </c>
      <c r="Y557" t="s">
        <v>11100</v>
      </c>
      <c r="Z557" t="s">
        <v>11101</v>
      </c>
      <c r="AA557" t="s">
        <v>11102</v>
      </c>
      <c r="AB557" t="s">
        <v>11103</v>
      </c>
      <c r="AC557" t="s">
        <v>11104</v>
      </c>
      <c r="AD557" t="s">
        <v>11105</v>
      </c>
      <c r="AE557" t="s">
        <v>11106</v>
      </c>
      <c r="AF557" t="s">
        <v>74</v>
      </c>
      <c r="AG557">
        <v>86</v>
      </c>
      <c r="AH557">
        <v>10</v>
      </c>
      <c r="AI557">
        <v>10</v>
      </c>
      <c r="AJ557">
        <v>3</v>
      </c>
      <c r="AK557">
        <v>27</v>
      </c>
      <c r="AL557" t="s">
        <v>7222</v>
      </c>
      <c r="AM557" t="s">
        <v>7223</v>
      </c>
      <c r="AN557" t="s">
        <v>7224</v>
      </c>
      <c r="AO557" t="s">
        <v>11085</v>
      </c>
      <c r="AP557" t="s">
        <v>11086</v>
      </c>
      <c r="AQ557" t="s">
        <v>74</v>
      </c>
      <c r="AR557" t="s">
        <v>11087</v>
      </c>
      <c r="AS557" t="s">
        <v>11088</v>
      </c>
      <c r="AT557" t="s">
        <v>7895</v>
      </c>
      <c r="AU557">
        <v>2019</v>
      </c>
      <c r="AV557">
        <v>132</v>
      </c>
      <c r="AW557" t="s">
        <v>74</v>
      </c>
      <c r="AX557" t="s">
        <v>74</v>
      </c>
      <c r="AY557" t="s">
        <v>74</v>
      </c>
      <c r="AZ557" t="s">
        <v>74</v>
      </c>
      <c r="BA557" t="s">
        <v>74</v>
      </c>
      <c r="BB557">
        <v>138</v>
      </c>
      <c r="BC557">
        <v>150</v>
      </c>
      <c r="BD557" t="s">
        <v>74</v>
      </c>
      <c r="BE557" t="s">
        <v>11107</v>
      </c>
      <c r="BF557" t="str">
        <f>HYPERLINK("http://dx.doi.org/10.1016/j.ympev.2018.10.037","http://dx.doi.org/10.1016/j.ympev.2018.10.037")</f>
        <v>http://dx.doi.org/10.1016/j.ympev.2018.10.037</v>
      </c>
      <c r="BG557" t="s">
        <v>74</v>
      </c>
      <c r="BH557" t="s">
        <v>74</v>
      </c>
      <c r="BI557">
        <v>13</v>
      </c>
      <c r="BJ557" t="s">
        <v>2762</v>
      </c>
      <c r="BK557" t="s">
        <v>102</v>
      </c>
      <c r="BL557" t="s">
        <v>2762</v>
      </c>
      <c r="BM557" t="s">
        <v>11090</v>
      </c>
      <c r="BN557">
        <v>30423439</v>
      </c>
      <c r="BO557" t="s">
        <v>74</v>
      </c>
      <c r="BP557" t="s">
        <v>74</v>
      </c>
      <c r="BQ557" t="s">
        <v>74</v>
      </c>
      <c r="BR557" t="s">
        <v>107</v>
      </c>
      <c r="BS557" t="s">
        <v>11108</v>
      </c>
      <c r="BT557" t="str">
        <f>HYPERLINK("https%3A%2F%2Fwww.webofscience.com%2Fwos%2Fwoscc%2Ffull-record%2FWOS:000456566000011","View Full Record in Web of Science")</f>
        <v>View Full Record in Web of Science</v>
      </c>
    </row>
    <row r="558" spans="1:72" x14ac:dyDescent="0.15">
      <c r="A558" t="s">
        <v>72</v>
      </c>
      <c r="B558" t="s">
        <v>11109</v>
      </c>
      <c r="C558" t="s">
        <v>74</v>
      </c>
      <c r="D558" t="s">
        <v>74</v>
      </c>
      <c r="E558" t="s">
        <v>74</v>
      </c>
      <c r="F558" t="s">
        <v>11110</v>
      </c>
      <c r="G558" t="s">
        <v>74</v>
      </c>
      <c r="H558" t="s">
        <v>74</v>
      </c>
      <c r="I558" t="s">
        <v>11111</v>
      </c>
      <c r="J558" t="s">
        <v>11112</v>
      </c>
      <c r="K558" t="s">
        <v>74</v>
      </c>
      <c r="L558" t="s">
        <v>74</v>
      </c>
      <c r="M558" t="s">
        <v>78</v>
      </c>
      <c r="N558" t="s">
        <v>79</v>
      </c>
      <c r="O558" t="s">
        <v>74</v>
      </c>
      <c r="P558" t="s">
        <v>74</v>
      </c>
      <c r="Q558" t="s">
        <v>74</v>
      </c>
      <c r="R558" t="s">
        <v>74</v>
      </c>
      <c r="S558" t="s">
        <v>74</v>
      </c>
      <c r="T558" t="s">
        <v>11113</v>
      </c>
      <c r="U558" t="s">
        <v>11114</v>
      </c>
      <c r="V558" t="s">
        <v>11115</v>
      </c>
      <c r="W558" t="s">
        <v>11116</v>
      </c>
      <c r="X558" t="s">
        <v>11117</v>
      </c>
      <c r="Y558" t="s">
        <v>11118</v>
      </c>
      <c r="Z558" t="s">
        <v>11119</v>
      </c>
      <c r="AA558" t="s">
        <v>11120</v>
      </c>
      <c r="AB558" t="s">
        <v>11121</v>
      </c>
      <c r="AC558" t="s">
        <v>11122</v>
      </c>
      <c r="AD558" t="s">
        <v>11123</v>
      </c>
      <c r="AE558" t="s">
        <v>11124</v>
      </c>
      <c r="AF558" t="s">
        <v>74</v>
      </c>
      <c r="AG558">
        <v>68</v>
      </c>
      <c r="AH558">
        <v>15</v>
      </c>
      <c r="AI558">
        <v>17</v>
      </c>
      <c r="AJ558">
        <v>2</v>
      </c>
      <c r="AK558">
        <v>44</v>
      </c>
      <c r="AL558" t="s">
        <v>7222</v>
      </c>
      <c r="AM558" t="s">
        <v>7223</v>
      </c>
      <c r="AN558" t="s">
        <v>7224</v>
      </c>
      <c r="AO558" t="s">
        <v>11125</v>
      </c>
      <c r="AP558" t="s">
        <v>11126</v>
      </c>
      <c r="AQ558" t="s">
        <v>74</v>
      </c>
      <c r="AR558" t="s">
        <v>11127</v>
      </c>
      <c r="AS558" t="s">
        <v>11128</v>
      </c>
      <c r="AT558" t="s">
        <v>7895</v>
      </c>
      <c r="AU558">
        <v>2019</v>
      </c>
      <c r="AV558">
        <v>155</v>
      </c>
      <c r="AW558" t="s">
        <v>74</v>
      </c>
      <c r="AX558" t="s">
        <v>74</v>
      </c>
      <c r="AY558" t="s">
        <v>74</v>
      </c>
      <c r="AZ558" t="s">
        <v>74</v>
      </c>
      <c r="BA558" t="s">
        <v>74</v>
      </c>
      <c r="BB558">
        <v>78</v>
      </c>
      <c r="BC558">
        <v>85</v>
      </c>
      <c r="BD558" t="s">
        <v>74</v>
      </c>
      <c r="BE558" t="s">
        <v>11129</v>
      </c>
      <c r="BF558" t="str">
        <f>HYPERLINK("http://dx.doi.org/10.1016/j.pep.2018.11.009","http://dx.doi.org/10.1016/j.pep.2018.11.009")</f>
        <v>http://dx.doi.org/10.1016/j.pep.2018.11.009</v>
      </c>
      <c r="BG558" t="s">
        <v>74</v>
      </c>
      <c r="BH558" t="s">
        <v>74</v>
      </c>
      <c r="BI558">
        <v>8</v>
      </c>
      <c r="BJ558" t="s">
        <v>11130</v>
      </c>
      <c r="BK558" t="s">
        <v>102</v>
      </c>
      <c r="BL558" t="s">
        <v>10394</v>
      </c>
      <c r="BM558" t="s">
        <v>11131</v>
      </c>
      <c r="BN558">
        <v>30496815</v>
      </c>
      <c r="BO558" t="s">
        <v>74</v>
      </c>
      <c r="BP558" t="s">
        <v>74</v>
      </c>
      <c r="BQ558" t="s">
        <v>74</v>
      </c>
      <c r="BR558" t="s">
        <v>107</v>
      </c>
      <c r="BS558" t="s">
        <v>11132</v>
      </c>
      <c r="BT558" t="str">
        <f>HYPERLINK("https%3A%2F%2Fwww.webofscience.com%2Fwos%2Fwoscc%2Ffull-record%2FWOS:000456905400013","View Full Record in Web of Science")</f>
        <v>View Full Record in Web of Science</v>
      </c>
    </row>
    <row r="559" spans="1:72" x14ac:dyDescent="0.15">
      <c r="A559" t="s">
        <v>72</v>
      </c>
      <c r="B559" t="s">
        <v>11133</v>
      </c>
      <c r="C559" t="s">
        <v>74</v>
      </c>
      <c r="D559" t="s">
        <v>74</v>
      </c>
      <c r="E559" t="s">
        <v>74</v>
      </c>
      <c r="F559" t="s">
        <v>11134</v>
      </c>
      <c r="G559" t="s">
        <v>74</v>
      </c>
      <c r="H559" t="s">
        <v>74</v>
      </c>
      <c r="I559" t="s">
        <v>11135</v>
      </c>
      <c r="J559" t="s">
        <v>11136</v>
      </c>
      <c r="K559" t="s">
        <v>74</v>
      </c>
      <c r="L559" t="s">
        <v>74</v>
      </c>
      <c r="M559" t="s">
        <v>78</v>
      </c>
      <c r="N559" t="s">
        <v>79</v>
      </c>
      <c r="O559" t="s">
        <v>74</v>
      </c>
      <c r="P559" t="s">
        <v>74</v>
      </c>
      <c r="Q559" t="s">
        <v>74</v>
      </c>
      <c r="R559" t="s">
        <v>74</v>
      </c>
      <c r="S559" t="s">
        <v>74</v>
      </c>
      <c r="T559" t="s">
        <v>11137</v>
      </c>
      <c r="U559" t="s">
        <v>11138</v>
      </c>
      <c r="V559" t="s">
        <v>11139</v>
      </c>
      <c r="W559" t="s">
        <v>11140</v>
      </c>
      <c r="X559" t="s">
        <v>11141</v>
      </c>
      <c r="Y559" t="s">
        <v>11142</v>
      </c>
      <c r="Z559" t="s">
        <v>11143</v>
      </c>
      <c r="AA559" t="s">
        <v>11144</v>
      </c>
      <c r="AB559" t="s">
        <v>11145</v>
      </c>
      <c r="AC559" t="s">
        <v>11146</v>
      </c>
      <c r="AD559" t="s">
        <v>11147</v>
      </c>
      <c r="AE559" t="s">
        <v>11148</v>
      </c>
      <c r="AF559" t="s">
        <v>74</v>
      </c>
      <c r="AG559">
        <v>32</v>
      </c>
      <c r="AH559">
        <v>5</v>
      </c>
      <c r="AI559">
        <v>5</v>
      </c>
      <c r="AJ559">
        <v>1</v>
      </c>
      <c r="AK559">
        <v>34</v>
      </c>
      <c r="AL559" t="s">
        <v>634</v>
      </c>
      <c r="AM559" t="s">
        <v>635</v>
      </c>
      <c r="AN559" t="s">
        <v>636</v>
      </c>
      <c r="AO559" t="s">
        <v>11149</v>
      </c>
      <c r="AP559" t="s">
        <v>11150</v>
      </c>
      <c r="AQ559" t="s">
        <v>74</v>
      </c>
      <c r="AR559" t="s">
        <v>11136</v>
      </c>
      <c r="AS559" t="s">
        <v>11151</v>
      </c>
      <c r="AT559" t="s">
        <v>8969</v>
      </c>
      <c r="AU559">
        <v>2019</v>
      </c>
      <c r="AV559">
        <v>194</v>
      </c>
      <c r="AW559" t="s">
        <v>74</v>
      </c>
      <c r="AX559" t="s">
        <v>74</v>
      </c>
      <c r="AY559" t="s">
        <v>74</v>
      </c>
      <c r="AZ559" t="s">
        <v>74</v>
      </c>
      <c r="BA559" t="s">
        <v>74</v>
      </c>
      <c r="BB559">
        <v>233</v>
      </c>
      <c r="BC559">
        <v>242</v>
      </c>
      <c r="BD559" t="s">
        <v>74</v>
      </c>
      <c r="BE559" t="s">
        <v>11152</v>
      </c>
      <c r="BF559" t="str">
        <f>HYPERLINK("http://dx.doi.org/10.1016/j.talanta.2018.10.042","http://dx.doi.org/10.1016/j.talanta.2018.10.042")</f>
        <v>http://dx.doi.org/10.1016/j.talanta.2018.10.042</v>
      </c>
      <c r="BG559" t="s">
        <v>74</v>
      </c>
      <c r="BH559" t="s">
        <v>74</v>
      </c>
      <c r="BI559">
        <v>10</v>
      </c>
      <c r="BJ559" t="s">
        <v>1493</v>
      </c>
      <c r="BK559" t="s">
        <v>102</v>
      </c>
      <c r="BL559" t="s">
        <v>1494</v>
      </c>
      <c r="BM559" t="s">
        <v>11153</v>
      </c>
      <c r="BN559">
        <v>30609525</v>
      </c>
      <c r="BO559" t="s">
        <v>6520</v>
      </c>
      <c r="BP559" t="s">
        <v>74</v>
      </c>
      <c r="BQ559" t="s">
        <v>74</v>
      </c>
      <c r="BR559" t="s">
        <v>107</v>
      </c>
      <c r="BS559" t="s">
        <v>11154</v>
      </c>
      <c r="BT559" t="str">
        <f>HYPERLINK("https%3A%2F%2Fwww.webofscience.com%2Fwos%2Fwoscc%2Ffull-record%2FWOS:000456899700031","View Full Record in Web of Science")</f>
        <v>View Full Record in Web of Science</v>
      </c>
    </row>
    <row r="560" spans="1:72" x14ac:dyDescent="0.15">
      <c r="A560" t="s">
        <v>72</v>
      </c>
      <c r="B560" t="s">
        <v>11155</v>
      </c>
      <c r="C560" t="s">
        <v>74</v>
      </c>
      <c r="D560" t="s">
        <v>74</v>
      </c>
      <c r="E560" t="s">
        <v>74</v>
      </c>
      <c r="F560" t="s">
        <v>11156</v>
      </c>
      <c r="G560" t="s">
        <v>74</v>
      </c>
      <c r="H560" t="s">
        <v>74</v>
      </c>
      <c r="I560" t="s">
        <v>11157</v>
      </c>
      <c r="J560" t="s">
        <v>11158</v>
      </c>
      <c r="K560" t="s">
        <v>74</v>
      </c>
      <c r="L560" t="s">
        <v>74</v>
      </c>
      <c r="M560" t="s">
        <v>78</v>
      </c>
      <c r="N560" t="s">
        <v>79</v>
      </c>
      <c r="O560" t="s">
        <v>74</v>
      </c>
      <c r="P560" t="s">
        <v>74</v>
      </c>
      <c r="Q560" t="s">
        <v>74</v>
      </c>
      <c r="R560" t="s">
        <v>74</v>
      </c>
      <c r="S560" t="s">
        <v>74</v>
      </c>
      <c r="T560" t="s">
        <v>11159</v>
      </c>
      <c r="U560" t="s">
        <v>11160</v>
      </c>
      <c r="V560" t="s">
        <v>11161</v>
      </c>
      <c r="W560" t="s">
        <v>11162</v>
      </c>
      <c r="X560" t="s">
        <v>11163</v>
      </c>
      <c r="Y560" t="s">
        <v>11164</v>
      </c>
      <c r="Z560" t="s">
        <v>11165</v>
      </c>
      <c r="AA560" t="s">
        <v>11166</v>
      </c>
      <c r="AB560" t="s">
        <v>11167</v>
      </c>
      <c r="AC560" t="s">
        <v>11168</v>
      </c>
      <c r="AD560" t="s">
        <v>11169</v>
      </c>
      <c r="AE560" t="s">
        <v>11170</v>
      </c>
      <c r="AF560" t="s">
        <v>74</v>
      </c>
      <c r="AG560">
        <v>59</v>
      </c>
      <c r="AH560">
        <v>11</v>
      </c>
      <c r="AI560">
        <v>16</v>
      </c>
      <c r="AJ560">
        <v>2</v>
      </c>
      <c r="AK560">
        <v>93</v>
      </c>
      <c r="AL560" t="s">
        <v>240</v>
      </c>
      <c r="AM560" t="s">
        <v>241</v>
      </c>
      <c r="AN560" t="s">
        <v>5009</v>
      </c>
      <c r="AO560" t="s">
        <v>11171</v>
      </c>
      <c r="AP560" t="s">
        <v>11172</v>
      </c>
      <c r="AQ560" t="s">
        <v>74</v>
      </c>
      <c r="AR560" t="s">
        <v>11173</v>
      </c>
      <c r="AS560" t="s">
        <v>11174</v>
      </c>
      <c r="AT560" t="s">
        <v>7895</v>
      </c>
      <c r="AU560">
        <v>2019</v>
      </c>
      <c r="AV560">
        <v>36</v>
      </c>
      <c r="AW560">
        <v>3</v>
      </c>
      <c r="AX560" t="s">
        <v>74</v>
      </c>
      <c r="AY560" t="s">
        <v>74</v>
      </c>
      <c r="AZ560" t="s">
        <v>74</v>
      </c>
      <c r="BA560" t="s">
        <v>74</v>
      </c>
      <c r="BB560">
        <v>292</v>
      </c>
      <c r="BC560">
        <v>302</v>
      </c>
      <c r="BD560" t="s">
        <v>74</v>
      </c>
      <c r="BE560" t="s">
        <v>11175</v>
      </c>
      <c r="BF560" t="str">
        <f>HYPERLINK("http://dx.doi.org/10.1007/s00376-018-8106-6","http://dx.doi.org/10.1007/s00376-018-8106-6")</f>
        <v>http://dx.doi.org/10.1007/s00376-018-8106-6</v>
      </c>
      <c r="BG560" t="s">
        <v>74</v>
      </c>
      <c r="BH560" t="s">
        <v>74</v>
      </c>
      <c r="BI560">
        <v>11</v>
      </c>
      <c r="BJ560" t="s">
        <v>133</v>
      </c>
      <c r="BK560" t="s">
        <v>102</v>
      </c>
      <c r="BL560" t="s">
        <v>133</v>
      </c>
      <c r="BM560" t="s">
        <v>11176</v>
      </c>
      <c r="BN560" t="s">
        <v>74</v>
      </c>
      <c r="BO560" t="s">
        <v>74</v>
      </c>
      <c r="BP560" t="s">
        <v>74</v>
      </c>
      <c r="BQ560" t="s">
        <v>74</v>
      </c>
      <c r="BR560" t="s">
        <v>107</v>
      </c>
      <c r="BS560" t="s">
        <v>11177</v>
      </c>
      <c r="BT560" t="str">
        <f>HYPERLINK("https%3A%2F%2Fwww.webofscience.com%2Fwos%2Fwoscc%2Ffull-record%2FWOS:000455738900006","View Full Record in Web of Science")</f>
        <v>View Full Record in Web of Science</v>
      </c>
    </row>
    <row r="561" spans="1:72" x14ac:dyDescent="0.15">
      <c r="A561" t="s">
        <v>72</v>
      </c>
      <c r="B561" t="s">
        <v>11178</v>
      </c>
      <c r="C561" t="s">
        <v>74</v>
      </c>
      <c r="D561" t="s">
        <v>74</v>
      </c>
      <c r="E561" t="s">
        <v>74</v>
      </c>
      <c r="F561" t="s">
        <v>11179</v>
      </c>
      <c r="G561" t="s">
        <v>74</v>
      </c>
      <c r="H561" t="s">
        <v>74</v>
      </c>
      <c r="I561" t="s">
        <v>11180</v>
      </c>
      <c r="J561" t="s">
        <v>11181</v>
      </c>
      <c r="K561" t="s">
        <v>74</v>
      </c>
      <c r="L561" t="s">
        <v>74</v>
      </c>
      <c r="M561" t="s">
        <v>78</v>
      </c>
      <c r="N561" t="s">
        <v>79</v>
      </c>
      <c r="O561" t="s">
        <v>74</v>
      </c>
      <c r="P561" t="s">
        <v>74</v>
      </c>
      <c r="Q561" t="s">
        <v>74</v>
      </c>
      <c r="R561" t="s">
        <v>74</v>
      </c>
      <c r="S561" t="s">
        <v>74</v>
      </c>
      <c r="T561" t="s">
        <v>11182</v>
      </c>
      <c r="U561" t="s">
        <v>11183</v>
      </c>
      <c r="V561" t="s">
        <v>11184</v>
      </c>
      <c r="W561" t="s">
        <v>11185</v>
      </c>
      <c r="X561" t="s">
        <v>11186</v>
      </c>
      <c r="Y561" t="s">
        <v>11187</v>
      </c>
      <c r="Z561" t="s">
        <v>11188</v>
      </c>
      <c r="AA561" t="s">
        <v>11189</v>
      </c>
      <c r="AB561" t="s">
        <v>11190</v>
      </c>
      <c r="AC561" t="s">
        <v>11191</v>
      </c>
      <c r="AD561" t="s">
        <v>11192</v>
      </c>
      <c r="AE561" t="s">
        <v>11193</v>
      </c>
      <c r="AF561" t="s">
        <v>74</v>
      </c>
      <c r="AG561">
        <v>37</v>
      </c>
      <c r="AH561">
        <v>2</v>
      </c>
      <c r="AI561">
        <v>2</v>
      </c>
      <c r="AJ561">
        <v>2</v>
      </c>
      <c r="AK561">
        <v>36</v>
      </c>
      <c r="AL561" t="s">
        <v>606</v>
      </c>
      <c r="AM561" t="s">
        <v>607</v>
      </c>
      <c r="AN561" t="s">
        <v>608</v>
      </c>
      <c r="AO561" t="s">
        <v>11194</v>
      </c>
      <c r="AP561" t="s">
        <v>11195</v>
      </c>
      <c r="AQ561" t="s">
        <v>74</v>
      </c>
      <c r="AR561" t="s">
        <v>11196</v>
      </c>
      <c r="AS561" t="s">
        <v>11197</v>
      </c>
      <c r="AT561" t="s">
        <v>8969</v>
      </c>
      <c r="AU561">
        <v>2019</v>
      </c>
      <c r="AV561">
        <v>217</v>
      </c>
      <c r="AW561" t="s">
        <v>74</v>
      </c>
      <c r="AX561" t="s">
        <v>74</v>
      </c>
      <c r="AY561" t="s">
        <v>74</v>
      </c>
      <c r="AZ561" t="s">
        <v>74</v>
      </c>
      <c r="BA561" t="s">
        <v>74</v>
      </c>
      <c r="BB561">
        <v>1</v>
      </c>
      <c r="BC561">
        <v>9</v>
      </c>
      <c r="BD561" t="s">
        <v>74</v>
      </c>
      <c r="BE561" t="s">
        <v>11198</v>
      </c>
      <c r="BF561" t="str">
        <f>HYPERLINK("http://dx.doi.org/10.1016/j.atmosres.2018.10.015","http://dx.doi.org/10.1016/j.atmosres.2018.10.015")</f>
        <v>http://dx.doi.org/10.1016/j.atmosres.2018.10.015</v>
      </c>
      <c r="BG561" t="s">
        <v>74</v>
      </c>
      <c r="BH561" t="s">
        <v>74</v>
      </c>
      <c r="BI561">
        <v>9</v>
      </c>
      <c r="BJ561" t="s">
        <v>133</v>
      </c>
      <c r="BK561" t="s">
        <v>102</v>
      </c>
      <c r="BL561" t="s">
        <v>133</v>
      </c>
      <c r="BM561" t="s">
        <v>11199</v>
      </c>
      <c r="BN561" t="s">
        <v>74</v>
      </c>
      <c r="BO561" t="s">
        <v>3785</v>
      </c>
      <c r="BP561" t="s">
        <v>74</v>
      </c>
      <c r="BQ561" t="s">
        <v>74</v>
      </c>
      <c r="BR561" t="s">
        <v>107</v>
      </c>
      <c r="BS561" t="s">
        <v>11200</v>
      </c>
      <c r="BT561" t="str">
        <f>HYPERLINK("https%3A%2F%2Fwww.webofscience.com%2Fwos%2Fwoscc%2Ffull-record%2FWOS:000452931100001","View Full Record in Web of Science")</f>
        <v>View Full Record in Web of Science</v>
      </c>
    </row>
    <row r="562" spans="1:72" x14ac:dyDescent="0.15">
      <c r="A562" t="s">
        <v>72</v>
      </c>
      <c r="B562" t="s">
        <v>11201</v>
      </c>
      <c r="C562" t="s">
        <v>74</v>
      </c>
      <c r="D562" t="s">
        <v>74</v>
      </c>
      <c r="E562" t="s">
        <v>74</v>
      </c>
      <c r="F562" t="s">
        <v>11202</v>
      </c>
      <c r="G562" t="s">
        <v>74</v>
      </c>
      <c r="H562" t="s">
        <v>74</v>
      </c>
      <c r="I562" t="s">
        <v>11203</v>
      </c>
      <c r="J562" t="s">
        <v>907</v>
      </c>
      <c r="K562" t="s">
        <v>74</v>
      </c>
      <c r="L562" t="s">
        <v>74</v>
      </c>
      <c r="M562" t="s">
        <v>78</v>
      </c>
      <c r="N562" t="s">
        <v>79</v>
      </c>
      <c r="O562" t="s">
        <v>74</v>
      </c>
      <c r="P562" t="s">
        <v>74</v>
      </c>
      <c r="Q562" t="s">
        <v>74</v>
      </c>
      <c r="R562" t="s">
        <v>74</v>
      </c>
      <c r="S562" t="s">
        <v>74</v>
      </c>
      <c r="T562" t="s">
        <v>74</v>
      </c>
      <c r="U562" t="s">
        <v>11204</v>
      </c>
      <c r="V562" t="s">
        <v>11205</v>
      </c>
      <c r="W562" t="s">
        <v>11206</v>
      </c>
      <c r="X562" t="s">
        <v>11207</v>
      </c>
      <c r="Y562" t="s">
        <v>11208</v>
      </c>
      <c r="Z562" t="s">
        <v>11209</v>
      </c>
      <c r="AA562" t="s">
        <v>11210</v>
      </c>
      <c r="AB562" t="s">
        <v>11211</v>
      </c>
      <c r="AC562" t="s">
        <v>11212</v>
      </c>
      <c r="AD562" t="s">
        <v>11213</v>
      </c>
      <c r="AE562" t="s">
        <v>11214</v>
      </c>
      <c r="AF562" t="s">
        <v>74</v>
      </c>
      <c r="AG562">
        <v>54</v>
      </c>
      <c r="AH562">
        <v>9</v>
      </c>
      <c r="AI562">
        <v>9</v>
      </c>
      <c r="AJ562">
        <v>1</v>
      </c>
      <c r="AK562">
        <v>9</v>
      </c>
      <c r="AL562" t="s">
        <v>125</v>
      </c>
      <c r="AM562" t="s">
        <v>126</v>
      </c>
      <c r="AN562" t="s">
        <v>127</v>
      </c>
      <c r="AO562" t="s">
        <v>916</v>
      </c>
      <c r="AP562" t="s">
        <v>917</v>
      </c>
      <c r="AQ562" t="s">
        <v>74</v>
      </c>
      <c r="AR562" t="s">
        <v>918</v>
      </c>
      <c r="AS562" t="s">
        <v>919</v>
      </c>
      <c r="AT562" t="s">
        <v>11215</v>
      </c>
      <c r="AU562">
        <v>2019</v>
      </c>
      <c r="AV562">
        <v>46</v>
      </c>
      <c r="AW562">
        <v>4</v>
      </c>
      <c r="AX562" t="s">
        <v>74</v>
      </c>
      <c r="AY562" t="s">
        <v>74</v>
      </c>
      <c r="AZ562" t="s">
        <v>74</v>
      </c>
      <c r="BA562" t="s">
        <v>74</v>
      </c>
      <c r="BB562">
        <v>2178</v>
      </c>
      <c r="BC562">
        <v>2186</v>
      </c>
      <c r="BD562" t="s">
        <v>74</v>
      </c>
      <c r="BE562" t="s">
        <v>11216</v>
      </c>
      <c r="BF562" t="str">
        <f>HYPERLINK("http://dx.doi.org/10.1029/2018GL081328","http://dx.doi.org/10.1029/2018GL081328")</f>
        <v>http://dx.doi.org/10.1029/2018GL081328</v>
      </c>
      <c r="BG562" t="s">
        <v>74</v>
      </c>
      <c r="BH562" t="s">
        <v>74</v>
      </c>
      <c r="BI562">
        <v>9</v>
      </c>
      <c r="BJ562" t="s">
        <v>922</v>
      </c>
      <c r="BK562" t="s">
        <v>102</v>
      </c>
      <c r="BL562" t="s">
        <v>923</v>
      </c>
      <c r="BM562" t="s">
        <v>11217</v>
      </c>
      <c r="BN562" t="s">
        <v>74</v>
      </c>
      <c r="BO562" t="s">
        <v>942</v>
      </c>
      <c r="BP562" t="s">
        <v>74</v>
      </c>
      <c r="BQ562" t="s">
        <v>74</v>
      </c>
      <c r="BR562" t="s">
        <v>107</v>
      </c>
      <c r="BS562" t="s">
        <v>11218</v>
      </c>
      <c r="BT562" t="str">
        <f>HYPERLINK("https%3A%2F%2Fwww.webofscience.com%2Fwos%2Fwoscc%2Ffull-record%2FWOS:000461855600031","View Full Record in Web of Science")</f>
        <v>View Full Record in Web of Science</v>
      </c>
    </row>
    <row r="563" spans="1:72" x14ac:dyDescent="0.15">
      <c r="A563" t="s">
        <v>72</v>
      </c>
      <c r="B563" t="s">
        <v>11219</v>
      </c>
      <c r="C563" t="s">
        <v>74</v>
      </c>
      <c r="D563" t="s">
        <v>74</v>
      </c>
      <c r="E563" t="s">
        <v>74</v>
      </c>
      <c r="F563" t="s">
        <v>11220</v>
      </c>
      <c r="G563" t="s">
        <v>74</v>
      </c>
      <c r="H563" t="s">
        <v>74</v>
      </c>
      <c r="I563" t="s">
        <v>11221</v>
      </c>
      <c r="J563" t="s">
        <v>907</v>
      </c>
      <c r="K563" t="s">
        <v>74</v>
      </c>
      <c r="L563" t="s">
        <v>74</v>
      </c>
      <c r="M563" t="s">
        <v>78</v>
      </c>
      <c r="N563" t="s">
        <v>79</v>
      </c>
      <c r="O563" t="s">
        <v>74</v>
      </c>
      <c r="P563" t="s">
        <v>74</v>
      </c>
      <c r="Q563" t="s">
        <v>74</v>
      </c>
      <c r="R563" t="s">
        <v>74</v>
      </c>
      <c r="S563" t="s">
        <v>74</v>
      </c>
      <c r="T563" t="s">
        <v>74</v>
      </c>
      <c r="U563" t="s">
        <v>11222</v>
      </c>
      <c r="V563" t="s">
        <v>11223</v>
      </c>
      <c r="W563" t="s">
        <v>11224</v>
      </c>
      <c r="X563" t="s">
        <v>11225</v>
      </c>
      <c r="Y563" t="s">
        <v>11226</v>
      </c>
      <c r="Z563" t="s">
        <v>11227</v>
      </c>
      <c r="AA563" t="s">
        <v>11228</v>
      </c>
      <c r="AB563" t="s">
        <v>11229</v>
      </c>
      <c r="AC563" t="s">
        <v>11230</v>
      </c>
      <c r="AD563" t="s">
        <v>11231</v>
      </c>
      <c r="AE563" t="s">
        <v>11232</v>
      </c>
      <c r="AF563" t="s">
        <v>74</v>
      </c>
      <c r="AG563">
        <v>96</v>
      </c>
      <c r="AH563">
        <v>4</v>
      </c>
      <c r="AI563">
        <v>7</v>
      </c>
      <c r="AJ563">
        <v>1</v>
      </c>
      <c r="AK563">
        <v>22</v>
      </c>
      <c r="AL563" t="s">
        <v>125</v>
      </c>
      <c r="AM563" t="s">
        <v>126</v>
      </c>
      <c r="AN563" t="s">
        <v>127</v>
      </c>
      <c r="AO563" t="s">
        <v>916</v>
      </c>
      <c r="AP563" t="s">
        <v>917</v>
      </c>
      <c r="AQ563" t="s">
        <v>74</v>
      </c>
      <c r="AR563" t="s">
        <v>918</v>
      </c>
      <c r="AS563" t="s">
        <v>919</v>
      </c>
      <c r="AT563" t="s">
        <v>11215</v>
      </c>
      <c r="AU563">
        <v>2019</v>
      </c>
      <c r="AV563">
        <v>46</v>
      </c>
      <c r="AW563">
        <v>4</v>
      </c>
      <c r="AX563" t="s">
        <v>74</v>
      </c>
      <c r="AY563" t="s">
        <v>74</v>
      </c>
      <c r="AZ563" t="s">
        <v>74</v>
      </c>
      <c r="BA563" t="s">
        <v>74</v>
      </c>
      <c r="BB563">
        <v>2261</v>
      </c>
      <c r="BC563">
        <v>2270</v>
      </c>
      <c r="BD563" t="s">
        <v>74</v>
      </c>
      <c r="BE563" t="s">
        <v>11233</v>
      </c>
      <c r="BF563" t="str">
        <f>HYPERLINK("http://dx.doi.org/10.1029/2018GL081887","http://dx.doi.org/10.1029/2018GL081887")</f>
        <v>http://dx.doi.org/10.1029/2018GL081887</v>
      </c>
      <c r="BG563" t="s">
        <v>74</v>
      </c>
      <c r="BH563" t="s">
        <v>74</v>
      </c>
      <c r="BI563">
        <v>10</v>
      </c>
      <c r="BJ563" t="s">
        <v>922</v>
      </c>
      <c r="BK563" t="s">
        <v>102</v>
      </c>
      <c r="BL563" t="s">
        <v>923</v>
      </c>
      <c r="BM563" t="s">
        <v>11217</v>
      </c>
      <c r="BN563" t="s">
        <v>74</v>
      </c>
      <c r="BO563" t="s">
        <v>223</v>
      </c>
      <c r="BP563" t="s">
        <v>74</v>
      </c>
      <c r="BQ563" t="s">
        <v>74</v>
      </c>
      <c r="BR563" t="s">
        <v>107</v>
      </c>
      <c r="BS563" t="s">
        <v>11234</v>
      </c>
      <c r="BT563" t="str">
        <f>HYPERLINK("https%3A%2F%2Fwww.webofscience.com%2Fwos%2Fwoscc%2Ffull-record%2FWOS:000461855600040","View Full Record in Web of Science")</f>
        <v>View Full Record in Web of Science</v>
      </c>
    </row>
    <row r="564" spans="1:72" x14ac:dyDescent="0.15">
      <c r="A564" t="s">
        <v>72</v>
      </c>
      <c r="B564" t="s">
        <v>11235</v>
      </c>
      <c r="C564" t="s">
        <v>74</v>
      </c>
      <c r="D564" t="s">
        <v>74</v>
      </c>
      <c r="E564" t="s">
        <v>74</v>
      </c>
      <c r="F564" t="s">
        <v>11236</v>
      </c>
      <c r="G564" t="s">
        <v>74</v>
      </c>
      <c r="H564" t="s">
        <v>74</v>
      </c>
      <c r="I564" t="s">
        <v>11237</v>
      </c>
      <c r="J564" t="s">
        <v>907</v>
      </c>
      <c r="K564" t="s">
        <v>74</v>
      </c>
      <c r="L564" t="s">
        <v>74</v>
      </c>
      <c r="M564" t="s">
        <v>78</v>
      </c>
      <c r="N564" t="s">
        <v>79</v>
      </c>
      <c r="O564" t="s">
        <v>74</v>
      </c>
      <c r="P564" t="s">
        <v>74</v>
      </c>
      <c r="Q564" t="s">
        <v>74</v>
      </c>
      <c r="R564" t="s">
        <v>74</v>
      </c>
      <c r="S564" t="s">
        <v>74</v>
      </c>
      <c r="T564" t="s">
        <v>11238</v>
      </c>
      <c r="U564" t="s">
        <v>11239</v>
      </c>
      <c r="V564" t="s">
        <v>11240</v>
      </c>
      <c r="W564" t="s">
        <v>11241</v>
      </c>
      <c r="X564" t="s">
        <v>11242</v>
      </c>
      <c r="Y564" t="s">
        <v>11243</v>
      </c>
      <c r="Z564" t="s">
        <v>11244</v>
      </c>
      <c r="AA564" t="s">
        <v>11245</v>
      </c>
      <c r="AB564" t="s">
        <v>11246</v>
      </c>
      <c r="AC564" t="s">
        <v>11247</v>
      </c>
      <c r="AD564" t="s">
        <v>11248</v>
      </c>
      <c r="AE564" t="s">
        <v>11249</v>
      </c>
      <c r="AF564" t="s">
        <v>74</v>
      </c>
      <c r="AG564">
        <v>48</v>
      </c>
      <c r="AH564">
        <v>24</v>
      </c>
      <c r="AI564">
        <v>26</v>
      </c>
      <c r="AJ564">
        <v>1</v>
      </c>
      <c r="AK564">
        <v>18</v>
      </c>
      <c r="AL564" t="s">
        <v>125</v>
      </c>
      <c r="AM564" t="s">
        <v>126</v>
      </c>
      <c r="AN564" t="s">
        <v>127</v>
      </c>
      <c r="AO564" t="s">
        <v>916</v>
      </c>
      <c r="AP564" t="s">
        <v>917</v>
      </c>
      <c r="AQ564" t="s">
        <v>74</v>
      </c>
      <c r="AR564" t="s">
        <v>918</v>
      </c>
      <c r="AS564" t="s">
        <v>919</v>
      </c>
      <c r="AT564" t="s">
        <v>11215</v>
      </c>
      <c r="AU564">
        <v>2019</v>
      </c>
      <c r="AV564">
        <v>46</v>
      </c>
      <c r="AW564">
        <v>4</v>
      </c>
      <c r="AX564" t="s">
        <v>74</v>
      </c>
      <c r="AY564" t="s">
        <v>74</v>
      </c>
      <c r="AZ564" t="s">
        <v>74</v>
      </c>
      <c r="BA564" t="s">
        <v>74</v>
      </c>
      <c r="BB564">
        <v>2312</v>
      </c>
      <c r="BC564">
        <v>2321</v>
      </c>
      <c r="BD564" t="s">
        <v>74</v>
      </c>
      <c r="BE564" t="s">
        <v>11250</v>
      </c>
      <c r="BF564" t="str">
        <f>HYPERLINK("http://dx.doi.org/10.1029/2018GL080551","http://dx.doi.org/10.1029/2018GL080551")</f>
        <v>http://dx.doi.org/10.1029/2018GL080551</v>
      </c>
      <c r="BG564" t="s">
        <v>74</v>
      </c>
      <c r="BH564" t="s">
        <v>74</v>
      </c>
      <c r="BI564">
        <v>10</v>
      </c>
      <c r="BJ564" t="s">
        <v>922</v>
      </c>
      <c r="BK564" t="s">
        <v>102</v>
      </c>
      <c r="BL564" t="s">
        <v>923</v>
      </c>
      <c r="BM564" t="s">
        <v>11217</v>
      </c>
      <c r="BN564" t="s">
        <v>74</v>
      </c>
      <c r="BO564" t="s">
        <v>5377</v>
      </c>
      <c r="BP564" t="s">
        <v>74</v>
      </c>
      <c r="BQ564" t="s">
        <v>74</v>
      </c>
      <c r="BR564" t="s">
        <v>107</v>
      </c>
      <c r="BS564" t="s">
        <v>11251</v>
      </c>
      <c r="BT564" t="str">
        <f>HYPERLINK("https%3A%2F%2Fwww.webofscience.com%2Fwos%2Fwoscc%2Ffull-record%2FWOS:000461855600045","View Full Record in Web of Science")</f>
        <v>View Full Record in Web of Science</v>
      </c>
    </row>
    <row r="565" spans="1:72" x14ac:dyDescent="0.15">
      <c r="A565" t="s">
        <v>72</v>
      </c>
      <c r="B565" t="s">
        <v>11252</v>
      </c>
      <c r="C565" t="s">
        <v>74</v>
      </c>
      <c r="D565" t="s">
        <v>74</v>
      </c>
      <c r="E565" t="s">
        <v>74</v>
      </c>
      <c r="F565" t="s">
        <v>11253</v>
      </c>
      <c r="G565" t="s">
        <v>74</v>
      </c>
      <c r="H565" t="s">
        <v>74</v>
      </c>
      <c r="I565" t="s">
        <v>11254</v>
      </c>
      <c r="J565" t="s">
        <v>808</v>
      </c>
      <c r="K565" t="s">
        <v>74</v>
      </c>
      <c r="L565" t="s">
        <v>74</v>
      </c>
      <c r="M565" t="s">
        <v>78</v>
      </c>
      <c r="N565" t="s">
        <v>79</v>
      </c>
      <c r="O565" t="s">
        <v>74</v>
      </c>
      <c r="P565" t="s">
        <v>74</v>
      </c>
      <c r="Q565" t="s">
        <v>74</v>
      </c>
      <c r="R565" t="s">
        <v>74</v>
      </c>
      <c r="S565" t="s">
        <v>74</v>
      </c>
      <c r="T565" t="s">
        <v>11255</v>
      </c>
      <c r="U565" t="s">
        <v>11256</v>
      </c>
      <c r="V565" t="s">
        <v>11257</v>
      </c>
      <c r="W565" t="s">
        <v>11258</v>
      </c>
      <c r="X565" t="s">
        <v>11259</v>
      </c>
      <c r="Y565" t="s">
        <v>11260</v>
      </c>
      <c r="Z565" t="s">
        <v>11261</v>
      </c>
      <c r="AA565" t="s">
        <v>11262</v>
      </c>
      <c r="AB565" t="s">
        <v>11263</v>
      </c>
      <c r="AC565" t="s">
        <v>11264</v>
      </c>
      <c r="AD565" t="s">
        <v>11265</v>
      </c>
      <c r="AE565" t="s">
        <v>11266</v>
      </c>
      <c r="AF565" t="s">
        <v>74</v>
      </c>
      <c r="AG565">
        <v>34</v>
      </c>
      <c r="AH565">
        <v>6</v>
      </c>
      <c r="AI565">
        <v>6</v>
      </c>
      <c r="AJ565">
        <v>2</v>
      </c>
      <c r="AK565">
        <v>21</v>
      </c>
      <c r="AL565" t="s">
        <v>821</v>
      </c>
      <c r="AM565" t="s">
        <v>822</v>
      </c>
      <c r="AN565" t="s">
        <v>823</v>
      </c>
      <c r="AO565" t="s">
        <v>74</v>
      </c>
      <c r="AP565" t="s">
        <v>824</v>
      </c>
      <c r="AQ565" t="s">
        <v>74</v>
      </c>
      <c r="AR565" t="s">
        <v>825</v>
      </c>
      <c r="AS565" t="s">
        <v>826</v>
      </c>
      <c r="AT565" t="s">
        <v>11267</v>
      </c>
      <c r="AU565">
        <v>2019</v>
      </c>
      <c r="AV565">
        <v>6</v>
      </c>
      <c r="AW565" t="s">
        <v>74</v>
      </c>
      <c r="AX565" t="s">
        <v>74</v>
      </c>
      <c r="AY565" t="s">
        <v>74</v>
      </c>
      <c r="AZ565" t="s">
        <v>74</v>
      </c>
      <c r="BA565" t="s">
        <v>74</v>
      </c>
      <c r="BB565" t="s">
        <v>74</v>
      </c>
      <c r="BC565" t="s">
        <v>74</v>
      </c>
      <c r="BD565">
        <v>82</v>
      </c>
      <c r="BE565" t="s">
        <v>11268</v>
      </c>
      <c r="BF565" t="str">
        <f>HYPERLINK("http://dx.doi.org/10.3389/fmars.2019.00082","http://dx.doi.org/10.3389/fmars.2019.00082")</f>
        <v>http://dx.doi.org/10.3389/fmars.2019.00082</v>
      </c>
      <c r="BG565" t="s">
        <v>74</v>
      </c>
      <c r="BH565" t="s">
        <v>74</v>
      </c>
      <c r="BI565">
        <v>6</v>
      </c>
      <c r="BJ565" t="s">
        <v>829</v>
      </c>
      <c r="BK565" t="s">
        <v>102</v>
      </c>
      <c r="BL565" t="s">
        <v>830</v>
      </c>
      <c r="BM565" t="s">
        <v>11269</v>
      </c>
      <c r="BN565" t="s">
        <v>74</v>
      </c>
      <c r="BO565" t="s">
        <v>463</v>
      </c>
      <c r="BP565" t="s">
        <v>74</v>
      </c>
      <c r="BQ565" t="s">
        <v>74</v>
      </c>
      <c r="BR565" t="s">
        <v>107</v>
      </c>
      <c r="BS565" t="s">
        <v>11270</v>
      </c>
      <c r="BT565" t="str">
        <f>HYPERLINK("https%3A%2F%2Fwww.webofscience.com%2Fwos%2Fwoscc%2Ffull-record%2FWOS:000462684300001","View Full Record in Web of Science")</f>
        <v>View Full Record in Web of Science</v>
      </c>
    </row>
    <row r="566" spans="1:72" x14ac:dyDescent="0.15">
      <c r="A566" t="s">
        <v>72</v>
      </c>
      <c r="B566" t="s">
        <v>11271</v>
      </c>
      <c r="C566" t="s">
        <v>74</v>
      </c>
      <c r="D566" t="s">
        <v>74</v>
      </c>
      <c r="E566" t="s">
        <v>74</v>
      </c>
      <c r="F566" t="s">
        <v>11272</v>
      </c>
      <c r="G566" t="s">
        <v>74</v>
      </c>
      <c r="H566" t="s">
        <v>74</v>
      </c>
      <c r="I566" t="s">
        <v>11273</v>
      </c>
      <c r="J566" t="s">
        <v>2511</v>
      </c>
      <c r="K566" t="s">
        <v>74</v>
      </c>
      <c r="L566" t="s">
        <v>74</v>
      </c>
      <c r="M566" t="s">
        <v>78</v>
      </c>
      <c r="N566" t="s">
        <v>79</v>
      </c>
      <c r="O566" t="s">
        <v>74</v>
      </c>
      <c r="P566" t="s">
        <v>74</v>
      </c>
      <c r="Q566" t="s">
        <v>74</v>
      </c>
      <c r="R566" t="s">
        <v>74</v>
      </c>
      <c r="S566" t="s">
        <v>74</v>
      </c>
      <c r="T566" t="s">
        <v>74</v>
      </c>
      <c r="U566" t="s">
        <v>11274</v>
      </c>
      <c r="V566" t="s">
        <v>11275</v>
      </c>
      <c r="W566" t="s">
        <v>11276</v>
      </c>
      <c r="X566" t="s">
        <v>11277</v>
      </c>
      <c r="Y566" t="s">
        <v>11278</v>
      </c>
      <c r="Z566" t="s">
        <v>11279</v>
      </c>
      <c r="AA566" t="s">
        <v>11280</v>
      </c>
      <c r="AB566" t="s">
        <v>11281</v>
      </c>
      <c r="AC566" t="s">
        <v>11282</v>
      </c>
      <c r="AD566" t="s">
        <v>11283</v>
      </c>
      <c r="AE566" t="s">
        <v>11284</v>
      </c>
      <c r="AF566" t="s">
        <v>74</v>
      </c>
      <c r="AG566">
        <v>85</v>
      </c>
      <c r="AH566">
        <v>19</v>
      </c>
      <c r="AI566">
        <v>21</v>
      </c>
      <c r="AJ566">
        <v>1</v>
      </c>
      <c r="AK566">
        <v>17</v>
      </c>
      <c r="AL566" t="s">
        <v>2523</v>
      </c>
      <c r="AM566" t="s">
        <v>2524</v>
      </c>
      <c r="AN566" t="s">
        <v>2525</v>
      </c>
      <c r="AO566" t="s">
        <v>2526</v>
      </c>
      <c r="AP566" t="s">
        <v>74</v>
      </c>
      <c r="AQ566" t="s">
        <v>74</v>
      </c>
      <c r="AR566" t="s">
        <v>2511</v>
      </c>
      <c r="AS566" t="s">
        <v>2527</v>
      </c>
      <c r="AT566" t="s">
        <v>11267</v>
      </c>
      <c r="AU566">
        <v>2019</v>
      </c>
      <c r="AV566">
        <v>14</v>
      </c>
      <c r="AW566">
        <v>2</v>
      </c>
      <c r="AX566" t="s">
        <v>74</v>
      </c>
      <c r="AY566" t="s">
        <v>74</v>
      </c>
      <c r="AZ566" t="s">
        <v>74</v>
      </c>
      <c r="BA566" t="s">
        <v>74</v>
      </c>
      <c r="BB566" t="s">
        <v>74</v>
      </c>
      <c r="BC566" t="s">
        <v>74</v>
      </c>
      <c r="BD566" t="s">
        <v>11285</v>
      </c>
      <c r="BE566" t="s">
        <v>11286</v>
      </c>
      <c r="BF566" t="str">
        <f>HYPERLINK("http://dx.doi.org/10.1371/journal.pone.0212515","http://dx.doi.org/10.1371/journal.pone.0212515")</f>
        <v>http://dx.doi.org/10.1371/journal.pone.0212515</v>
      </c>
      <c r="BG566" t="s">
        <v>74</v>
      </c>
      <c r="BH566" t="s">
        <v>74</v>
      </c>
      <c r="BI566">
        <v>23</v>
      </c>
      <c r="BJ566" t="s">
        <v>460</v>
      </c>
      <c r="BK566" t="s">
        <v>102</v>
      </c>
      <c r="BL566" t="s">
        <v>461</v>
      </c>
      <c r="BM566" t="s">
        <v>11287</v>
      </c>
      <c r="BN566">
        <v>30807595</v>
      </c>
      <c r="BO566" t="s">
        <v>6155</v>
      </c>
      <c r="BP566" t="s">
        <v>74</v>
      </c>
      <c r="BQ566" t="s">
        <v>74</v>
      </c>
      <c r="BR566" t="s">
        <v>107</v>
      </c>
      <c r="BS566" t="s">
        <v>11288</v>
      </c>
      <c r="BT566" t="str">
        <f>HYPERLINK("https%3A%2F%2Fwww.webofscience.com%2Fwos%2Fwoscc%2Ffull-record%2FWOS:000459712100016","View Full Record in Web of Science")</f>
        <v>View Full Record in Web of Science</v>
      </c>
    </row>
    <row r="567" spans="1:72" x14ac:dyDescent="0.15">
      <c r="A567" t="s">
        <v>72</v>
      </c>
      <c r="B567" t="s">
        <v>11289</v>
      </c>
      <c r="C567" t="s">
        <v>74</v>
      </c>
      <c r="D567" t="s">
        <v>74</v>
      </c>
      <c r="E567" t="s">
        <v>74</v>
      </c>
      <c r="F567" t="s">
        <v>11290</v>
      </c>
      <c r="G567" t="s">
        <v>74</v>
      </c>
      <c r="H567" t="s">
        <v>74</v>
      </c>
      <c r="I567" t="s">
        <v>11291</v>
      </c>
      <c r="J567" t="s">
        <v>1720</v>
      </c>
      <c r="K567" t="s">
        <v>74</v>
      </c>
      <c r="L567" t="s">
        <v>74</v>
      </c>
      <c r="M567" t="s">
        <v>78</v>
      </c>
      <c r="N567" t="s">
        <v>79</v>
      </c>
      <c r="O567" t="s">
        <v>74</v>
      </c>
      <c r="P567" t="s">
        <v>74</v>
      </c>
      <c r="Q567" t="s">
        <v>74</v>
      </c>
      <c r="R567" t="s">
        <v>74</v>
      </c>
      <c r="S567" t="s">
        <v>74</v>
      </c>
      <c r="T567" t="s">
        <v>74</v>
      </c>
      <c r="U567" t="s">
        <v>11292</v>
      </c>
      <c r="V567" t="s">
        <v>11293</v>
      </c>
      <c r="W567" t="s">
        <v>11294</v>
      </c>
      <c r="X567" t="s">
        <v>11295</v>
      </c>
      <c r="Y567" t="s">
        <v>11296</v>
      </c>
      <c r="Z567" t="s">
        <v>11297</v>
      </c>
      <c r="AA567" t="s">
        <v>11298</v>
      </c>
      <c r="AB567" t="s">
        <v>11299</v>
      </c>
      <c r="AC567" t="s">
        <v>11300</v>
      </c>
      <c r="AD567" t="s">
        <v>11301</v>
      </c>
      <c r="AE567" t="s">
        <v>11302</v>
      </c>
      <c r="AF567" t="s">
        <v>74</v>
      </c>
      <c r="AG567">
        <v>36</v>
      </c>
      <c r="AH567">
        <v>0</v>
      </c>
      <c r="AI567">
        <v>0</v>
      </c>
      <c r="AJ567">
        <v>0</v>
      </c>
      <c r="AK567">
        <v>5</v>
      </c>
      <c r="AL567" t="s">
        <v>1370</v>
      </c>
      <c r="AM567" t="s">
        <v>1371</v>
      </c>
      <c r="AN567" t="s">
        <v>1372</v>
      </c>
      <c r="AO567" t="s">
        <v>1731</v>
      </c>
      <c r="AP567" t="s">
        <v>74</v>
      </c>
      <c r="AQ567" t="s">
        <v>74</v>
      </c>
      <c r="AR567" t="s">
        <v>1732</v>
      </c>
      <c r="AS567" t="s">
        <v>1733</v>
      </c>
      <c r="AT567" t="s">
        <v>11267</v>
      </c>
      <c r="AU567">
        <v>2019</v>
      </c>
      <c r="AV567">
        <v>9</v>
      </c>
      <c r="AW567" t="s">
        <v>74</v>
      </c>
      <c r="AX567" t="s">
        <v>74</v>
      </c>
      <c r="AY567" t="s">
        <v>74</v>
      </c>
      <c r="AZ567" t="s">
        <v>74</v>
      </c>
      <c r="BA567" t="s">
        <v>74</v>
      </c>
      <c r="BB567" t="s">
        <v>74</v>
      </c>
      <c r="BC567" t="s">
        <v>74</v>
      </c>
      <c r="BD567">
        <v>2847</v>
      </c>
      <c r="BE567" t="s">
        <v>11303</v>
      </c>
      <c r="BF567" t="str">
        <f>HYPERLINK("http://dx.doi.org/10.1038/s41598-019-39173-7","http://dx.doi.org/10.1038/s41598-019-39173-7")</f>
        <v>http://dx.doi.org/10.1038/s41598-019-39173-7</v>
      </c>
      <c r="BG567" t="s">
        <v>74</v>
      </c>
      <c r="BH567" t="s">
        <v>74</v>
      </c>
      <c r="BI567">
        <v>10</v>
      </c>
      <c r="BJ567" t="s">
        <v>460</v>
      </c>
      <c r="BK567" t="s">
        <v>102</v>
      </c>
      <c r="BL567" t="s">
        <v>461</v>
      </c>
      <c r="BM567" t="s">
        <v>11304</v>
      </c>
      <c r="BN567">
        <v>30808935</v>
      </c>
      <c r="BO567" t="s">
        <v>851</v>
      </c>
      <c r="BP567" t="s">
        <v>74</v>
      </c>
      <c r="BQ567" t="s">
        <v>74</v>
      </c>
      <c r="BR567" t="s">
        <v>107</v>
      </c>
      <c r="BS567" t="s">
        <v>11305</v>
      </c>
      <c r="BT567" t="str">
        <f>HYPERLINK("https%3A%2F%2Fwww.webofscience.com%2Fwos%2Fwoscc%2Ffull-record%2FWOS:000459702900016","View Full Record in Web of Science")</f>
        <v>View Full Record in Web of Science</v>
      </c>
    </row>
    <row r="568" spans="1:72" x14ac:dyDescent="0.15">
      <c r="A568" t="s">
        <v>72</v>
      </c>
      <c r="B568" t="s">
        <v>11306</v>
      </c>
      <c r="C568" t="s">
        <v>74</v>
      </c>
      <c r="D568" t="s">
        <v>74</v>
      </c>
      <c r="E568" t="s">
        <v>74</v>
      </c>
      <c r="F568" t="s">
        <v>11307</v>
      </c>
      <c r="G568" t="s">
        <v>74</v>
      </c>
      <c r="H568" t="s">
        <v>74</v>
      </c>
      <c r="I568" t="s">
        <v>11308</v>
      </c>
      <c r="J568" t="s">
        <v>1125</v>
      </c>
      <c r="K568" t="s">
        <v>74</v>
      </c>
      <c r="L568" t="s">
        <v>74</v>
      </c>
      <c r="M568" t="s">
        <v>78</v>
      </c>
      <c r="N568" t="s">
        <v>79</v>
      </c>
      <c r="O568" t="s">
        <v>74</v>
      </c>
      <c r="P568" t="s">
        <v>74</v>
      </c>
      <c r="Q568" t="s">
        <v>74</v>
      </c>
      <c r="R568" t="s">
        <v>74</v>
      </c>
      <c r="S568" t="s">
        <v>74</v>
      </c>
      <c r="T568" t="s">
        <v>74</v>
      </c>
      <c r="U568" t="s">
        <v>11309</v>
      </c>
      <c r="V568" t="s">
        <v>11310</v>
      </c>
      <c r="W568" t="s">
        <v>11311</v>
      </c>
      <c r="X568" t="s">
        <v>11312</v>
      </c>
      <c r="Y568" t="s">
        <v>11313</v>
      </c>
      <c r="Z568" t="s">
        <v>11314</v>
      </c>
      <c r="AA568" t="s">
        <v>11315</v>
      </c>
      <c r="AB568" t="s">
        <v>74</v>
      </c>
      <c r="AC568" t="s">
        <v>11316</v>
      </c>
      <c r="AD568" t="s">
        <v>11317</v>
      </c>
      <c r="AE568" t="s">
        <v>11318</v>
      </c>
      <c r="AF568" t="s">
        <v>74</v>
      </c>
      <c r="AG568">
        <v>20</v>
      </c>
      <c r="AH568">
        <v>346</v>
      </c>
      <c r="AI568">
        <v>386</v>
      </c>
      <c r="AJ568">
        <v>3</v>
      </c>
      <c r="AK568">
        <v>32</v>
      </c>
      <c r="AL568" t="s">
        <v>868</v>
      </c>
      <c r="AM568" t="s">
        <v>869</v>
      </c>
      <c r="AN568" t="s">
        <v>870</v>
      </c>
      <c r="AO568" t="s">
        <v>1137</v>
      </c>
      <c r="AP568" t="s">
        <v>1138</v>
      </c>
      <c r="AQ568" t="s">
        <v>74</v>
      </c>
      <c r="AR568" t="s">
        <v>1125</v>
      </c>
      <c r="AS568" t="s">
        <v>1139</v>
      </c>
      <c r="AT568" t="s">
        <v>11267</v>
      </c>
      <c r="AU568">
        <v>2019</v>
      </c>
      <c r="AV568">
        <v>13</v>
      </c>
      <c r="AW568">
        <v>2</v>
      </c>
      <c r="AX568" t="s">
        <v>74</v>
      </c>
      <c r="AY568" t="s">
        <v>74</v>
      </c>
      <c r="AZ568" t="s">
        <v>74</v>
      </c>
      <c r="BA568" t="s">
        <v>74</v>
      </c>
      <c r="BB568">
        <v>665</v>
      </c>
      <c r="BC568">
        <v>674</v>
      </c>
      <c r="BD568" t="s">
        <v>74</v>
      </c>
      <c r="BE568" t="s">
        <v>11319</v>
      </c>
      <c r="BF568" t="str">
        <f>HYPERLINK("http://dx.doi.org/10.5194/tc-13-665-2019","http://dx.doi.org/10.5194/tc-13-665-2019")</f>
        <v>http://dx.doi.org/10.5194/tc-13-665-2019</v>
      </c>
      <c r="BG568" t="s">
        <v>74</v>
      </c>
      <c r="BH568" t="s">
        <v>74</v>
      </c>
      <c r="BI568">
        <v>10</v>
      </c>
      <c r="BJ568" t="s">
        <v>1142</v>
      </c>
      <c r="BK568" t="s">
        <v>102</v>
      </c>
      <c r="BL568" t="s">
        <v>1143</v>
      </c>
      <c r="BM568" t="s">
        <v>11320</v>
      </c>
      <c r="BN568" t="s">
        <v>74</v>
      </c>
      <c r="BO568" t="s">
        <v>3093</v>
      </c>
      <c r="BP568" t="s">
        <v>105</v>
      </c>
      <c r="BQ568" t="s">
        <v>106</v>
      </c>
      <c r="BR568" t="s">
        <v>107</v>
      </c>
      <c r="BS568" t="s">
        <v>11321</v>
      </c>
      <c r="BT568" t="str">
        <f>HYPERLINK("https%3A%2F%2Fwww.webofscience.com%2Fwos%2Fwoscc%2Ffull-record%2FWOS:000459736400001","View Full Record in Web of Science")</f>
        <v>View Full Record in Web of Science</v>
      </c>
    </row>
    <row r="569" spans="1:72" x14ac:dyDescent="0.15">
      <c r="A569" t="s">
        <v>72</v>
      </c>
      <c r="B569" t="s">
        <v>11322</v>
      </c>
      <c r="C569" t="s">
        <v>74</v>
      </c>
      <c r="D569" t="s">
        <v>74</v>
      </c>
      <c r="E569" t="s">
        <v>74</v>
      </c>
      <c r="F569" t="s">
        <v>11323</v>
      </c>
      <c r="G569" t="s">
        <v>74</v>
      </c>
      <c r="H569" t="s">
        <v>74</v>
      </c>
      <c r="I569" t="s">
        <v>11324</v>
      </c>
      <c r="J569" t="s">
        <v>808</v>
      </c>
      <c r="K569" t="s">
        <v>74</v>
      </c>
      <c r="L569" t="s">
        <v>74</v>
      </c>
      <c r="M569" t="s">
        <v>78</v>
      </c>
      <c r="N569" t="s">
        <v>469</v>
      </c>
      <c r="O569" t="s">
        <v>74</v>
      </c>
      <c r="P569" t="s">
        <v>74</v>
      </c>
      <c r="Q569" t="s">
        <v>74</v>
      </c>
      <c r="R569" t="s">
        <v>74</v>
      </c>
      <c r="S569" t="s">
        <v>74</v>
      </c>
      <c r="T569" t="s">
        <v>11325</v>
      </c>
      <c r="U569" t="s">
        <v>11326</v>
      </c>
      <c r="V569" t="s">
        <v>11327</v>
      </c>
      <c r="W569" t="s">
        <v>11328</v>
      </c>
      <c r="X569" t="s">
        <v>11329</v>
      </c>
      <c r="Y569" t="s">
        <v>11330</v>
      </c>
      <c r="Z569" t="s">
        <v>11331</v>
      </c>
      <c r="AA569" t="s">
        <v>11332</v>
      </c>
      <c r="AB569" t="s">
        <v>11333</v>
      </c>
      <c r="AC569" t="s">
        <v>11334</v>
      </c>
      <c r="AD569" t="s">
        <v>11335</v>
      </c>
      <c r="AE569" t="s">
        <v>11336</v>
      </c>
      <c r="AF569" t="s">
        <v>74</v>
      </c>
      <c r="AG569">
        <v>482</v>
      </c>
      <c r="AH569">
        <v>128</v>
      </c>
      <c r="AI569">
        <v>135</v>
      </c>
      <c r="AJ569">
        <v>27</v>
      </c>
      <c r="AK569">
        <v>126</v>
      </c>
      <c r="AL569" t="s">
        <v>821</v>
      </c>
      <c r="AM569" t="s">
        <v>822</v>
      </c>
      <c r="AN569" t="s">
        <v>823</v>
      </c>
      <c r="AO569" t="s">
        <v>74</v>
      </c>
      <c r="AP569" t="s">
        <v>824</v>
      </c>
      <c r="AQ569" t="s">
        <v>74</v>
      </c>
      <c r="AR569" t="s">
        <v>825</v>
      </c>
      <c r="AS569" t="s">
        <v>826</v>
      </c>
      <c r="AT569" t="s">
        <v>11267</v>
      </c>
      <c r="AU569">
        <v>2019</v>
      </c>
      <c r="AV569">
        <v>6</v>
      </c>
      <c r="AW569" t="s">
        <v>74</v>
      </c>
      <c r="AX569" t="s">
        <v>74</v>
      </c>
      <c r="AY569" t="s">
        <v>74</v>
      </c>
      <c r="AZ569" t="s">
        <v>74</v>
      </c>
      <c r="BA569" t="s">
        <v>74</v>
      </c>
      <c r="BB569" t="s">
        <v>74</v>
      </c>
      <c r="BC569" t="s">
        <v>74</v>
      </c>
      <c r="BD569">
        <v>65</v>
      </c>
      <c r="BE569" t="s">
        <v>11337</v>
      </c>
      <c r="BF569" t="str">
        <f>HYPERLINK("http://dx.doi.org/10.3389/fmars.2019.00065","http://dx.doi.org/10.3389/fmars.2019.00065")</f>
        <v>http://dx.doi.org/10.3389/fmars.2019.00065</v>
      </c>
      <c r="BG569" t="s">
        <v>74</v>
      </c>
      <c r="BH569" t="s">
        <v>74</v>
      </c>
      <c r="BI569">
        <v>29</v>
      </c>
      <c r="BJ569" t="s">
        <v>829</v>
      </c>
      <c r="BK569" t="s">
        <v>102</v>
      </c>
      <c r="BL569" t="s">
        <v>830</v>
      </c>
      <c r="BM569" t="s">
        <v>11338</v>
      </c>
      <c r="BN569" t="s">
        <v>74</v>
      </c>
      <c r="BO569" t="s">
        <v>11339</v>
      </c>
      <c r="BP569" t="s">
        <v>105</v>
      </c>
      <c r="BQ569" t="s">
        <v>106</v>
      </c>
      <c r="BR569" t="s">
        <v>107</v>
      </c>
      <c r="BS569" t="s">
        <v>11340</v>
      </c>
      <c r="BT569" t="str">
        <f>HYPERLINK("https%3A%2F%2Fwww.webofscience.com%2Fwos%2Fwoscc%2Ffull-record%2FWOS:000462682800001","View Full Record in Web of Science")</f>
        <v>View Full Record in Web of Science</v>
      </c>
    </row>
    <row r="570" spans="1:72" x14ac:dyDescent="0.15">
      <c r="A570" t="s">
        <v>72</v>
      </c>
      <c r="B570" t="s">
        <v>11341</v>
      </c>
      <c r="C570" t="s">
        <v>74</v>
      </c>
      <c r="D570" t="s">
        <v>74</v>
      </c>
      <c r="E570" t="s">
        <v>74</v>
      </c>
      <c r="F570" t="s">
        <v>11342</v>
      </c>
      <c r="G570" t="s">
        <v>74</v>
      </c>
      <c r="H570" t="s">
        <v>74</v>
      </c>
      <c r="I570" t="s">
        <v>11343</v>
      </c>
      <c r="J570" t="s">
        <v>1938</v>
      </c>
      <c r="K570" t="s">
        <v>74</v>
      </c>
      <c r="L570" t="s">
        <v>74</v>
      </c>
      <c r="M570" t="s">
        <v>78</v>
      </c>
      <c r="N570" t="s">
        <v>79</v>
      </c>
      <c r="O570" t="s">
        <v>74</v>
      </c>
      <c r="P570" t="s">
        <v>74</v>
      </c>
      <c r="Q570" t="s">
        <v>74</v>
      </c>
      <c r="R570" t="s">
        <v>74</v>
      </c>
      <c r="S570" t="s">
        <v>74</v>
      </c>
      <c r="T570" t="s">
        <v>74</v>
      </c>
      <c r="U570" t="s">
        <v>11344</v>
      </c>
      <c r="V570" t="s">
        <v>11345</v>
      </c>
      <c r="W570" t="s">
        <v>11346</v>
      </c>
      <c r="X570" t="s">
        <v>11347</v>
      </c>
      <c r="Y570" t="s">
        <v>11348</v>
      </c>
      <c r="Z570" t="s">
        <v>11349</v>
      </c>
      <c r="AA570" t="s">
        <v>11350</v>
      </c>
      <c r="AB570" t="s">
        <v>11351</v>
      </c>
      <c r="AC570" t="s">
        <v>11352</v>
      </c>
      <c r="AD570" t="s">
        <v>11353</v>
      </c>
      <c r="AE570" t="s">
        <v>11354</v>
      </c>
      <c r="AF570" t="s">
        <v>74</v>
      </c>
      <c r="AG570">
        <v>31</v>
      </c>
      <c r="AH570">
        <v>37</v>
      </c>
      <c r="AI570">
        <v>38</v>
      </c>
      <c r="AJ570">
        <v>4</v>
      </c>
      <c r="AK570">
        <v>40</v>
      </c>
      <c r="AL570" t="s">
        <v>328</v>
      </c>
      <c r="AM570" t="s">
        <v>329</v>
      </c>
      <c r="AN570" t="s">
        <v>330</v>
      </c>
      <c r="AO570" t="s">
        <v>1950</v>
      </c>
      <c r="AP570" t="s">
        <v>74</v>
      </c>
      <c r="AQ570" t="s">
        <v>74</v>
      </c>
      <c r="AR570" t="s">
        <v>1951</v>
      </c>
      <c r="AS570" t="s">
        <v>1952</v>
      </c>
      <c r="AT570" t="s">
        <v>11267</v>
      </c>
      <c r="AU570">
        <v>2019</v>
      </c>
      <c r="AV570">
        <v>10</v>
      </c>
      <c r="AW570" t="s">
        <v>74</v>
      </c>
      <c r="AX570" t="s">
        <v>74</v>
      </c>
      <c r="AY570" t="s">
        <v>74</v>
      </c>
      <c r="AZ570" t="s">
        <v>74</v>
      </c>
      <c r="BA570" t="s">
        <v>74</v>
      </c>
      <c r="BB570" t="s">
        <v>74</v>
      </c>
      <c r="BC570" t="s">
        <v>74</v>
      </c>
      <c r="BD570">
        <v>946</v>
      </c>
      <c r="BE570" t="s">
        <v>11355</v>
      </c>
      <c r="BF570" t="str">
        <f>HYPERLINK("http://dx.doi.org/10.1038/s41467-019-08915-6","http://dx.doi.org/10.1038/s41467-019-08915-6")</f>
        <v>http://dx.doi.org/10.1038/s41467-019-08915-6</v>
      </c>
      <c r="BG570" t="s">
        <v>74</v>
      </c>
      <c r="BH570" t="s">
        <v>74</v>
      </c>
      <c r="BI570">
        <v>6</v>
      </c>
      <c r="BJ570" t="s">
        <v>460</v>
      </c>
      <c r="BK570" t="s">
        <v>102</v>
      </c>
      <c r="BL570" t="s">
        <v>461</v>
      </c>
      <c r="BM570" t="s">
        <v>11356</v>
      </c>
      <c r="BN570">
        <v>30808907</v>
      </c>
      <c r="BO570" t="s">
        <v>851</v>
      </c>
      <c r="BP570" t="s">
        <v>74</v>
      </c>
      <c r="BQ570" t="s">
        <v>74</v>
      </c>
      <c r="BR570" t="s">
        <v>107</v>
      </c>
      <c r="BS570" t="s">
        <v>11357</v>
      </c>
      <c r="BT570" t="str">
        <f>HYPERLINK("https%3A%2F%2Fwww.webofscience.com%2Fwos%2Fwoscc%2Ffull-record%2FWOS:000459704600010","View Full Record in Web of Science")</f>
        <v>View Full Record in Web of Science</v>
      </c>
    </row>
    <row r="571" spans="1:72" x14ac:dyDescent="0.15">
      <c r="A571" t="s">
        <v>72</v>
      </c>
      <c r="B571" t="s">
        <v>11358</v>
      </c>
      <c r="C571" t="s">
        <v>74</v>
      </c>
      <c r="D571" t="s">
        <v>74</v>
      </c>
      <c r="E571" t="s">
        <v>74</v>
      </c>
      <c r="F571" t="s">
        <v>11359</v>
      </c>
      <c r="G571" t="s">
        <v>74</v>
      </c>
      <c r="H571" t="s">
        <v>74</v>
      </c>
      <c r="I571" t="s">
        <v>11360</v>
      </c>
      <c r="J571" t="s">
        <v>7697</v>
      </c>
      <c r="K571" t="s">
        <v>74</v>
      </c>
      <c r="L571" t="s">
        <v>74</v>
      </c>
      <c r="M571" t="s">
        <v>78</v>
      </c>
      <c r="N571" t="s">
        <v>79</v>
      </c>
      <c r="O571" t="s">
        <v>74</v>
      </c>
      <c r="P571" t="s">
        <v>74</v>
      </c>
      <c r="Q571" t="s">
        <v>74</v>
      </c>
      <c r="R571" t="s">
        <v>74</v>
      </c>
      <c r="S571" t="s">
        <v>74</v>
      </c>
      <c r="T571" t="s">
        <v>11361</v>
      </c>
      <c r="U571" t="s">
        <v>11362</v>
      </c>
      <c r="V571" t="s">
        <v>11363</v>
      </c>
      <c r="W571" t="s">
        <v>11364</v>
      </c>
      <c r="X571" t="s">
        <v>11365</v>
      </c>
      <c r="Y571" t="s">
        <v>11366</v>
      </c>
      <c r="Z571" t="s">
        <v>11367</v>
      </c>
      <c r="AA571" t="s">
        <v>11368</v>
      </c>
      <c r="AB571" t="s">
        <v>74</v>
      </c>
      <c r="AC571" t="s">
        <v>11369</v>
      </c>
      <c r="AD571" t="s">
        <v>11370</v>
      </c>
      <c r="AE571" t="s">
        <v>11371</v>
      </c>
      <c r="AF571" t="s">
        <v>74</v>
      </c>
      <c r="AG571">
        <v>32</v>
      </c>
      <c r="AH571">
        <v>2</v>
      </c>
      <c r="AI571">
        <v>2</v>
      </c>
      <c r="AJ571">
        <v>0</v>
      </c>
      <c r="AK571">
        <v>8</v>
      </c>
      <c r="AL571" t="s">
        <v>1667</v>
      </c>
      <c r="AM571" t="s">
        <v>1668</v>
      </c>
      <c r="AN571" t="s">
        <v>4946</v>
      </c>
      <c r="AO571" t="s">
        <v>7710</v>
      </c>
      <c r="AP571" t="s">
        <v>7711</v>
      </c>
      <c r="AQ571" t="s">
        <v>74</v>
      </c>
      <c r="AR571" t="s">
        <v>7697</v>
      </c>
      <c r="AS571" t="s">
        <v>7712</v>
      </c>
      <c r="AT571" t="s">
        <v>11372</v>
      </c>
      <c r="AU571">
        <v>2019</v>
      </c>
      <c r="AV571">
        <v>394</v>
      </c>
      <c r="AW571">
        <v>1</v>
      </c>
      <c r="AX571" t="s">
        <v>74</v>
      </c>
      <c r="AY571" t="s">
        <v>74</v>
      </c>
      <c r="AZ571" t="s">
        <v>74</v>
      </c>
      <c r="BA571" t="s">
        <v>74</v>
      </c>
      <c r="BB571">
        <v>50</v>
      </c>
      <c r="BC571">
        <v>58</v>
      </c>
      <c r="BD571" t="s">
        <v>74</v>
      </c>
      <c r="BE571" t="s">
        <v>11373</v>
      </c>
      <c r="BF571" t="str">
        <f>HYPERLINK("http://dx.doi.org/10.11646/phytotaxa.394.1.2","http://dx.doi.org/10.11646/phytotaxa.394.1.2")</f>
        <v>http://dx.doi.org/10.11646/phytotaxa.394.1.2</v>
      </c>
      <c r="BG571" t="s">
        <v>74</v>
      </c>
      <c r="BH571" t="s">
        <v>74</v>
      </c>
      <c r="BI571">
        <v>9</v>
      </c>
      <c r="BJ571" t="s">
        <v>362</v>
      </c>
      <c r="BK571" t="s">
        <v>102</v>
      </c>
      <c r="BL571" t="s">
        <v>362</v>
      </c>
      <c r="BM571" t="s">
        <v>11374</v>
      </c>
      <c r="BN571" t="s">
        <v>74</v>
      </c>
      <c r="BO571" t="s">
        <v>74</v>
      </c>
      <c r="BP571" t="s">
        <v>74</v>
      </c>
      <c r="BQ571" t="s">
        <v>74</v>
      </c>
      <c r="BR571" t="s">
        <v>107</v>
      </c>
      <c r="BS571" t="s">
        <v>11375</v>
      </c>
      <c r="BT571" t="str">
        <f>HYPERLINK("https%3A%2F%2Fwww.webofscience.com%2Fwos%2Fwoscc%2Ffull-record%2FWOS:000459470000002","View Full Record in Web of Science")</f>
        <v>View Full Record in Web of Science</v>
      </c>
    </row>
    <row r="572" spans="1:72" x14ac:dyDescent="0.15">
      <c r="A572" t="s">
        <v>72</v>
      </c>
      <c r="B572" t="s">
        <v>11376</v>
      </c>
      <c r="C572" t="s">
        <v>74</v>
      </c>
      <c r="D572" t="s">
        <v>74</v>
      </c>
      <c r="E572" t="s">
        <v>74</v>
      </c>
      <c r="F572" t="s">
        <v>11377</v>
      </c>
      <c r="G572" t="s">
        <v>74</v>
      </c>
      <c r="H572" t="s">
        <v>74</v>
      </c>
      <c r="I572" t="s">
        <v>11378</v>
      </c>
      <c r="J572" t="s">
        <v>5999</v>
      </c>
      <c r="K572" t="s">
        <v>74</v>
      </c>
      <c r="L572" t="s">
        <v>74</v>
      </c>
      <c r="M572" t="s">
        <v>78</v>
      </c>
      <c r="N572" t="s">
        <v>79</v>
      </c>
      <c r="O572" t="s">
        <v>74</v>
      </c>
      <c r="P572" t="s">
        <v>74</v>
      </c>
      <c r="Q572" t="s">
        <v>74</v>
      </c>
      <c r="R572" t="s">
        <v>74</v>
      </c>
      <c r="S572" t="s">
        <v>74</v>
      </c>
      <c r="T572" t="s">
        <v>11379</v>
      </c>
      <c r="U572" t="s">
        <v>11380</v>
      </c>
      <c r="V572" t="s">
        <v>11381</v>
      </c>
      <c r="W572" t="s">
        <v>11382</v>
      </c>
      <c r="X572" t="s">
        <v>11383</v>
      </c>
      <c r="Y572" t="s">
        <v>11384</v>
      </c>
      <c r="Z572" t="s">
        <v>11385</v>
      </c>
      <c r="AA572" t="s">
        <v>74</v>
      </c>
      <c r="AB572" t="s">
        <v>74</v>
      </c>
      <c r="AC572" t="s">
        <v>11386</v>
      </c>
      <c r="AD572" t="s">
        <v>11387</v>
      </c>
      <c r="AE572" t="s">
        <v>11388</v>
      </c>
      <c r="AF572" t="s">
        <v>74</v>
      </c>
      <c r="AG572">
        <v>65</v>
      </c>
      <c r="AH572">
        <v>44</v>
      </c>
      <c r="AI572">
        <v>47</v>
      </c>
      <c r="AJ572">
        <v>17</v>
      </c>
      <c r="AK572">
        <v>191</v>
      </c>
      <c r="AL572" t="s">
        <v>634</v>
      </c>
      <c r="AM572" t="s">
        <v>635</v>
      </c>
      <c r="AN572" t="s">
        <v>636</v>
      </c>
      <c r="AO572" t="s">
        <v>6012</v>
      </c>
      <c r="AP572" t="s">
        <v>6013</v>
      </c>
      <c r="AQ572" t="s">
        <v>74</v>
      </c>
      <c r="AR572" t="s">
        <v>6014</v>
      </c>
      <c r="AS572" t="s">
        <v>6015</v>
      </c>
      <c r="AT572" t="s">
        <v>11372</v>
      </c>
      <c r="AU572">
        <v>2019</v>
      </c>
      <c r="AV572">
        <v>653</v>
      </c>
      <c r="AW572" t="s">
        <v>74</v>
      </c>
      <c r="AX572" t="s">
        <v>74</v>
      </c>
      <c r="AY572" t="s">
        <v>74</v>
      </c>
      <c r="AZ572" t="s">
        <v>74</v>
      </c>
      <c r="BA572" t="s">
        <v>74</v>
      </c>
      <c r="BB572">
        <v>1513</v>
      </c>
      <c r="BC572">
        <v>1521</v>
      </c>
      <c r="BD572" t="s">
        <v>74</v>
      </c>
      <c r="BE572" t="s">
        <v>11389</v>
      </c>
      <c r="BF572" t="str">
        <f>HYPERLINK("http://dx.doi.org/10.1016/j.scitotenv.2018.11.052","http://dx.doi.org/10.1016/j.scitotenv.2018.11.052")</f>
        <v>http://dx.doi.org/10.1016/j.scitotenv.2018.11.052</v>
      </c>
      <c r="BG572" t="s">
        <v>74</v>
      </c>
      <c r="BH572" t="s">
        <v>74</v>
      </c>
      <c r="BI572">
        <v>9</v>
      </c>
      <c r="BJ572" t="s">
        <v>2296</v>
      </c>
      <c r="BK572" t="s">
        <v>102</v>
      </c>
      <c r="BL572" t="s">
        <v>2297</v>
      </c>
      <c r="BM572" t="s">
        <v>11390</v>
      </c>
      <c r="BN572">
        <v>30759585</v>
      </c>
      <c r="BO572" t="s">
        <v>74</v>
      </c>
      <c r="BP572" t="s">
        <v>74</v>
      </c>
      <c r="BQ572" t="s">
        <v>74</v>
      </c>
      <c r="BR572" t="s">
        <v>107</v>
      </c>
      <c r="BS572" t="s">
        <v>11391</v>
      </c>
      <c r="BT572" t="str">
        <f>HYPERLINK("https%3A%2F%2Fwww.webofscience.com%2Fwos%2Fwoscc%2Ffull-record%2FWOS:000458626800142","View Full Record in Web of Science")</f>
        <v>View Full Record in Web of Science</v>
      </c>
    </row>
    <row r="573" spans="1:72" x14ac:dyDescent="0.15">
      <c r="A573" t="s">
        <v>72</v>
      </c>
      <c r="B573" t="s">
        <v>11392</v>
      </c>
      <c r="C573" t="s">
        <v>74</v>
      </c>
      <c r="D573" t="s">
        <v>74</v>
      </c>
      <c r="E573" t="s">
        <v>74</v>
      </c>
      <c r="F573" t="s">
        <v>11393</v>
      </c>
      <c r="G573" t="s">
        <v>74</v>
      </c>
      <c r="H573" t="s">
        <v>74</v>
      </c>
      <c r="I573" t="s">
        <v>11394</v>
      </c>
      <c r="J573" t="s">
        <v>1720</v>
      </c>
      <c r="K573" t="s">
        <v>74</v>
      </c>
      <c r="L573" t="s">
        <v>74</v>
      </c>
      <c r="M573" t="s">
        <v>78</v>
      </c>
      <c r="N573" t="s">
        <v>79</v>
      </c>
      <c r="O573" t="s">
        <v>74</v>
      </c>
      <c r="P573" t="s">
        <v>74</v>
      </c>
      <c r="Q573" t="s">
        <v>74</v>
      </c>
      <c r="R573" t="s">
        <v>74</v>
      </c>
      <c r="S573" t="s">
        <v>74</v>
      </c>
      <c r="T573" t="s">
        <v>74</v>
      </c>
      <c r="U573" t="s">
        <v>11395</v>
      </c>
      <c r="V573" t="s">
        <v>11396</v>
      </c>
      <c r="W573" t="s">
        <v>11397</v>
      </c>
      <c r="X573" t="s">
        <v>11398</v>
      </c>
      <c r="Y573" t="s">
        <v>11399</v>
      </c>
      <c r="Z573" t="s">
        <v>11400</v>
      </c>
      <c r="AA573" t="s">
        <v>11401</v>
      </c>
      <c r="AB573" t="s">
        <v>11402</v>
      </c>
      <c r="AC573" t="s">
        <v>11403</v>
      </c>
      <c r="AD573" t="s">
        <v>11404</v>
      </c>
      <c r="AE573" t="s">
        <v>11405</v>
      </c>
      <c r="AF573" t="s">
        <v>74</v>
      </c>
      <c r="AG573">
        <v>63</v>
      </c>
      <c r="AH573">
        <v>30</v>
      </c>
      <c r="AI573">
        <v>32</v>
      </c>
      <c r="AJ573">
        <v>2</v>
      </c>
      <c r="AK573">
        <v>24</v>
      </c>
      <c r="AL573" t="s">
        <v>1393</v>
      </c>
      <c r="AM573" t="s">
        <v>1371</v>
      </c>
      <c r="AN573" t="s">
        <v>1372</v>
      </c>
      <c r="AO573" t="s">
        <v>1731</v>
      </c>
      <c r="AP573" t="s">
        <v>74</v>
      </c>
      <c r="AQ573" t="s">
        <v>74</v>
      </c>
      <c r="AR573" t="s">
        <v>1732</v>
      </c>
      <c r="AS573" t="s">
        <v>1733</v>
      </c>
      <c r="AT573" t="s">
        <v>11372</v>
      </c>
      <c r="AU573">
        <v>2019</v>
      </c>
      <c r="AV573">
        <v>9</v>
      </c>
      <c r="AW573" t="s">
        <v>74</v>
      </c>
      <c r="AX573" t="s">
        <v>74</v>
      </c>
      <c r="AY573" t="s">
        <v>74</v>
      </c>
      <c r="AZ573" t="s">
        <v>74</v>
      </c>
      <c r="BA573" t="s">
        <v>74</v>
      </c>
      <c r="BB573" t="s">
        <v>74</v>
      </c>
      <c r="BC573" t="s">
        <v>74</v>
      </c>
      <c r="BD573">
        <v>2686</v>
      </c>
      <c r="BE573" t="s">
        <v>11406</v>
      </c>
      <c r="BF573" t="str">
        <f>HYPERLINK("http://dx.doi.org/10.1038/s41598-019-39521-7","http://dx.doi.org/10.1038/s41598-019-39521-7")</f>
        <v>http://dx.doi.org/10.1038/s41598-019-39521-7</v>
      </c>
      <c r="BG573" t="s">
        <v>74</v>
      </c>
      <c r="BH573" t="s">
        <v>74</v>
      </c>
      <c r="BI573">
        <v>11</v>
      </c>
      <c r="BJ573" t="s">
        <v>460</v>
      </c>
      <c r="BK573" t="s">
        <v>102</v>
      </c>
      <c r="BL573" t="s">
        <v>461</v>
      </c>
      <c r="BM573" t="s">
        <v>11407</v>
      </c>
      <c r="BN573">
        <v>30804443</v>
      </c>
      <c r="BO573" t="s">
        <v>6876</v>
      </c>
      <c r="BP573" t="s">
        <v>74</v>
      </c>
      <c r="BQ573" t="s">
        <v>74</v>
      </c>
      <c r="BR573" t="s">
        <v>107</v>
      </c>
      <c r="BS573" t="s">
        <v>11408</v>
      </c>
      <c r="BT573" t="str">
        <f>HYPERLINK("https%3A%2F%2Fwww.webofscience.com%2Fwos%2Fwoscc%2Ffull-record%2FWOS:000459571100050","View Full Record in Web of Science")</f>
        <v>View Full Record in Web of Science</v>
      </c>
    </row>
    <row r="574" spans="1:72" x14ac:dyDescent="0.15">
      <c r="A574" t="s">
        <v>72</v>
      </c>
      <c r="B574" t="s">
        <v>11409</v>
      </c>
      <c r="C574" t="s">
        <v>74</v>
      </c>
      <c r="D574" t="s">
        <v>74</v>
      </c>
      <c r="E574" t="s">
        <v>74</v>
      </c>
      <c r="F574" t="s">
        <v>11410</v>
      </c>
      <c r="G574" t="s">
        <v>74</v>
      </c>
      <c r="H574" t="s">
        <v>74</v>
      </c>
      <c r="I574" t="s">
        <v>11411</v>
      </c>
      <c r="J574" t="s">
        <v>2511</v>
      </c>
      <c r="K574" t="s">
        <v>74</v>
      </c>
      <c r="L574" t="s">
        <v>74</v>
      </c>
      <c r="M574" t="s">
        <v>78</v>
      </c>
      <c r="N574" t="s">
        <v>79</v>
      </c>
      <c r="O574" t="s">
        <v>74</v>
      </c>
      <c r="P574" t="s">
        <v>74</v>
      </c>
      <c r="Q574" t="s">
        <v>74</v>
      </c>
      <c r="R574" t="s">
        <v>74</v>
      </c>
      <c r="S574" t="s">
        <v>74</v>
      </c>
      <c r="T574" t="s">
        <v>74</v>
      </c>
      <c r="U574" t="s">
        <v>11412</v>
      </c>
      <c r="V574" t="s">
        <v>11413</v>
      </c>
      <c r="W574" t="s">
        <v>11414</v>
      </c>
      <c r="X574" t="s">
        <v>11415</v>
      </c>
      <c r="Y574" t="s">
        <v>11416</v>
      </c>
      <c r="Z574" t="s">
        <v>11417</v>
      </c>
      <c r="AA574" t="s">
        <v>11418</v>
      </c>
      <c r="AB574" t="s">
        <v>11419</v>
      </c>
      <c r="AC574" t="s">
        <v>11420</v>
      </c>
      <c r="AD574" t="s">
        <v>11420</v>
      </c>
      <c r="AE574" t="s">
        <v>11421</v>
      </c>
      <c r="AF574" t="s">
        <v>74</v>
      </c>
      <c r="AG574">
        <v>97</v>
      </c>
      <c r="AH574">
        <v>11</v>
      </c>
      <c r="AI574">
        <v>13</v>
      </c>
      <c r="AJ574">
        <v>1</v>
      </c>
      <c r="AK574">
        <v>11</v>
      </c>
      <c r="AL574" t="s">
        <v>2523</v>
      </c>
      <c r="AM574" t="s">
        <v>2524</v>
      </c>
      <c r="AN574" t="s">
        <v>2525</v>
      </c>
      <c r="AO574" t="s">
        <v>2526</v>
      </c>
      <c r="AP574" t="s">
        <v>74</v>
      </c>
      <c r="AQ574" t="s">
        <v>74</v>
      </c>
      <c r="AR574" t="s">
        <v>2511</v>
      </c>
      <c r="AS574" t="s">
        <v>2527</v>
      </c>
      <c r="AT574" t="s">
        <v>11422</v>
      </c>
      <c r="AU574">
        <v>2019</v>
      </c>
      <c r="AV574">
        <v>14</v>
      </c>
      <c r="AW574">
        <v>2</v>
      </c>
      <c r="AX574" t="s">
        <v>74</v>
      </c>
      <c r="AY574" t="s">
        <v>74</v>
      </c>
      <c r="AZ574" t="s">
        <v>74</v>
      </c>
      <c r="BA574" t="s">
        <v>74</v>
      </c>
      <c r="BB574" t="s">
        <v>74</v>
      </c>
      <c r="BC574" t="s">
        <v>74</v>
      </c>
      <c r="BD574" t="s">
        <v>11423</v>
      </c>
      <c r="BE574" t="s">
        <v>11424</v>
      </c>
      <c r="BF574" t="str">
        <f>HYPERLINK("http://dx.doi.org/10.1371/journal.pone.0212485","http://dx.doi.org/10.1371/journal.pone.0212485")</f>
        <v>http://dx.doi.org/10.1371/journal.pone.0212485</v>
      </c>
      <c r="BG574" t="s">
        <v>74</v>
      </c>
      <c r="BH574" t="s">
        <v>74</v>
      </c>
      <c r="BI574">
        <v>32</v>
      </c>
      <c r="BJ574" t="s">
        <v>460</v>
      </c>
      <c r="BK574" t="s">
        <v>102</v>
      </c>
      <c r="BL574" t="s">
        <v>461</v>
      </c>
      <c r="BM574" t="s">
        <v>11425</v>
      </c>
      <c r="BN574">
        <v>30794609</v>
      </c>
      <c r="BO574" t="s">
        <v>2020</v>
      </c>
      <c r="BP574" t="s">
        <v>74</v>
      </c>
      <c r="BQ574" t="s">
        <v>74</v>
      </c>
      <c r="BR574" t="s">
        <v>107</v>
      </c>
      <c r="BS574" t="s">
        <v>11426</v>
      </c>
      <c r="BT574" t="str">
        <f>HYPERLINK("https%3A%2F%2Fwww.webofscience.com%2Fwos%2Fwoscc%2Ffull-record%2FWOS:000459709100076","View Full Record in Web of Science")</f>
        <v>View Full Record in Web of Science</v>
      </c>
    </row>
    <row r="575" spans="1:72" x14ac:dyDescent="0.15">
      <c r="A575" t="s">
        <v>72</v>
      </c>
      <c r="B575" t="s">
        <v>11427</v>
      </c>
      <c r="C575" t="s">
        <v>74</v>
      </c>
      <c r="D575" t="s">
        <v>74</v>
      </c>
      <c r="E575" t="s">
        <v>74</v>
      </c>
      <c r="F575" t="s">
        <v>11428</v>
      </c>
      <c r="G575" t="s">
        <v>74</v>
      </c>
      <c r="H575" t="s">
        <v>74</v>
      </c>
      <c r="I575" t="s">
        <v>11429</v>
      </c>
      <c r="J575" t="s">
        <v>1960</v>
      </c>
      <c r="K575" t="s">
        <v>74</v>
      </c>
      <c r="L575" t="s">
        <v>74</v>
      </c>
      <c r="M575" t="s">
        <v>78</v>
      </c>
      <c r="N575" t="s">
        <v>79</v>
      </c>
      <c r="O575" t="s">
        <v>74</v>
      </c>
      <c r="P575" t="s">
        <v>74</v>
      </c>
      <c r="Q575" t="s">
        <v>74</v>
      </c>
      <c r="R575" t="s">
        <v>74</v>
      </c>
      <c r="S575" t="s">
        <v>74</v>
      </c>
      <c r="T575" t="s">
        <v>74</v>
      </c>
      <c r="U575" t="s">
        <v>11430</v>
      </c>
      <c r="V575" t="s">
        <v>11431</v>
      </c>
      <c r="W575" t="s">
        <v>11432</v>
      </c>
      <c r="X575" t="s">
        <v>11433</v>
      </c>
      <c r="Y575" t="s">
        <v>11434</v>
      </c>
      <c r="Z575" t="s">
        <v>11435</v>
      </c>
      <c r="AA575" t="s">
        <v>11436</v>
      </c>
      <c r="AB575" t="s">
        <v>11437</v>
      </c>
      <c r="AC575" t="s">
        <v>11438</v>
      </c>
      <c r="AD575" t="s">
        <v>11438</v>
      </c>
      <c r="AE575" t="s">
        <v>11439</v>
      </c>
      <c r="AF575" t="s">
        <v>74</v>
      </c>
      <c r="AG575">
        <v>78</v>
      </c>
      <c r="AH575">
        <v>65</v>
      </c>
      <c r="AI575">
        <v>70</v>
      </c>
      <c r="AJ575">
        <v>3</v>
      </c>
      <c r="AK575">
        <v>50</v>
      </c>
      <c r="AL575" t="s">
        <v>868</v>
      </c>
      <c r="AM575" t="s">
        <v>869</v>
      </c>
      <c r="AN575" t="s">
        <v>870</v>
      </c>
      <c r="AO575" t="s">
        <v>1969</v>
      </c>
      <c r="AP575" t="s">
        <v>1970</v>
      </c>
      <c r="AQ575" t="s">
        <v>74</v>
      </c>
      <c r="AR575" t="s">
        <v>1971</v>
      </c>
      <c r="AS575" t="s">
        <v>1972</v>
      </c>
      <c r="AT575" t="s">
        <v>11422</v>
      </c>
      <c r="AU575">
        <v>2019</v>
      </c>
      <c r="AV575">
        <v>11</v>
      </c>
      <c r="AW575">
        <v>1</v>
      </c>
      <c r="AX575" t="s">
        <v>74</v>
      </c>
      <c r="AY575" t="s">
        <v>74</v>
      </c>
      <c r="AZ575" t="s">
        <v>74</v>
      </c>
      <c r="BA575" t="s">
        <v>74</v>
      </c>
      <c r="BB575">
        <v>261</v>
      </c>
      <c r="BC575">
        <v>299</v>
      </c>
      <c r="BD575" t="s">
        <v>74</v>
      </c>
      <c r="BE575" t="s">
        <v>11440</v>
      </c>
      <c r="BF575" t="str">
        <f>HYPERLINK("http://dx.doi.org/10.5194/essd-11-261-2019","http://dx.doi.org/10.5194/essd-11-261-2019")</f>
        <v>http://dx.doi.org/10.5194/essd-11-261-2019</v>
      </c>
      <c r="BG575" t="s">
        <v>74</v>
      </c>
      <c r="BH575" t="s">
        <v>74</v>
      </c>
      <c r="BI575">
        <v>39</v>
      </c>
      <c r="BJ575" t="s">
        <v>876</v>
      </c>
      <c r="BK575" t="s">
        <v>102</v>
      </c>
      <c r="BL575" t="s">
        <v>877</v>
      </c>
      <c r="BM575" t="s">
        <v>11441</v>
      </c>
      <c r="BN575" t="s">
        <v>74</v>
      </c>
      <c r="BO575" t="s">
        <v>879</v>
      </c>
      <c r="BP575" t="s">
        <v>74</v>
      </c>
      <c r="BQ575" t="s">
        <v>74</v>
      </c>
      <c r="BR575" t="s">
        <v>107</v>
      </c>
      <c r="BS575" t="s">
        <v>11442</v>
      </c>
      <c r="BT575" t="str">
        <f>HYPERLINK("https%3A%2F%2Fwww.webofscience.com%2Fwos%2Fwoscc%2Ffull-record%2FWOS:000459423100001","View Full Record in Web of Science")</f>
        <v>View Full Record in Web of Science</v>
      </c>
    </row>
    <row r="576" spans="1:72" x14ac:dyDescent="0.15">
      <c r="A576" t="s">
        <v>72</v>
      </c>
      <c r="B576" t="s">
        <v>11443</v>
      </c>
      <c r="C576" t="s">
        <v>74</v>
      </c>
      <c r="D576" t="s">
        <v>74</v>
      </c>
      <c r="E576" t="s">
        <v>74</v>
      </c>
      <c r="F576" t="s">
        <v>11444</v>
      </c>
      <c r="G576" t="s">
        <v>74</v>
      </c>
      <c r="H576" t="s">
        <v>74</v>
      </c>
      <c r="I576" t="s">
        <v>11445</v>
      </c>
      <c r="J576" t="s">
        <v>808</v>
      </c>
      <c r="K576" t="s">
        <v>74</v>
      </c>
      <c r="L576" t="s">
        <v>74</v>
      </c>
      <c r="M576" t="s">
        <v>78</v>
      </c>
      <c r="N576" t="s">
        <v>469</v>
      </c>
      <c r="O576" t="s">
        <v>74</v>
      </c>
      <c r="P576" t="s">
        <v>74</v>
      </c>
      <c r="Q576" t="s">
        <v>74</v>
      </c>
      <c r="R576" t="s">
        <v>74</v>
      </c>
      <c r="S576" t="s">
        <v>74</v>
      </c>
      <c r="T576" t="s">
        <v>11446</v>
      </c>
      <c r="U576" t="s">
        <v>11447</v>
      </c>
      <c r="V576" t="s">
        <v>11448</v>
      </c>
      <c r="W576" t="s">
        <v>11449</v>
      </c>
      <c r="X576" t="s">
        <v>11450</v>
      </c>
      <c r="Y576" t="s">
        <v>11451</v>
      </c>
      <c r="Z576" t="s">
        <v>11452</v>
      </c>
      <c r="AA576" t="s">
        <v>11453</v>
      </c>
      <c r="AB576" t="s">
        <v>11454</v>
      </c>
      <c r="AC576" t="s">
        <v>11455</v>
      </c>
      <c r="AD576" t="s">
        <v>11456</v>
      </c>
      <c r="AE576" t="s">
        <v>11457</v>
      </c>
      <c r="AF576" t="s">
        <v>74</v>
      </c>
      <c r="AG576">
        <v>110</v>
      </c>
      <c r="AH576">
        <v>18</v>
      </c>
      <c r="AI576">
        <v>19</v>
      </c>
      <c r="AJ576">
        <v>4</v>
      </c>
      <c r="AK576">
        <v>53</v>
      </c>
      <c r="AL576" t="s">
        <v>821</v>
      </c>
      <c r="AM576" t="s">
        <v>822</v>
      </c>
      <c r="AN576" t="s">
        <v>823</v>
      </c>
      <c r="AO576" t="s">
        <v>74</v>
      </c>
      <c r="AP576" t="s">
        <v>824</v>
      </c>
      <c r="AQ576" t="s">
        <v>74</v>
      </c>
      <c r="AR576" t="s">
        <v>825</v>
      </c>
      <c r="AS576" t="s">
        <v>826</v>
      </c>
      <c r="AT576" t="s">
        <v>11458</v>
      </c>
      <c r="AU576">
        <v>2019</v>
      </c>
      <c r="AV576">
        <v>6</v>
      </c>
      <c r="AW576" t="s">
        <v>74</v>
      </c>
      <c r="AX576" t="s">
        <v>74</v>
      </c>
      <c r="AY576" t="s">
        <v>74</v>
      </c>
      <c r="AZ576" t="s">
        <v>74</v>
      </c>
      <c r="BA576" t="s">
        <v>74</v>
      </c>
      <c r="BB576" t="s">
        <v>74</v>
      </c>
      <c r="BC576" t="s">
        <v>74</v>
      </c>
      <c r="BD576">
        <v>35</v>
      </c>
      <c r="BE576" t="s">
        <v>11459</v>
      </c>
      <c r="BF576" t="str">
        <f>HYPERLINK("http://dx.doi.org/10.3389/fmars.2019.00035","http://dx.doi.org/10.3389/fmars.2019.00035")</f>
        <v>http://dx.doi.org/10.3389/fmars.2019.00035</v>
      </c>
      <c r="BG576" t="s">
        <v>74</v>
      </c>
      <c r="BH576" t="s">
        <v>74</v>
      </c>
      <c r="BI576">
        <v>17</v>
      </c>
      <c r="BJ576" t="s">
        <v>829</v>
      </c>
      <c r="BK576" t="s">
        <v>102</v>
      </c>
      <c r="BL576" t="s">
        <v>830</v>
      </c>
      <c r="BM576" t="s">
        <v>11460</v>
      </c>
      <c r="BN576" t="s">
        <v>74</v>
      </c>
      <c r="BO576" t="s">
        <v>851</v>
      </c>
      <c r="BP576" t="s">
        <v>74</v>
      </c>
      <c r="BQ576" t="s">
        <v>74</v>
      </c>
      <c r="BR576" t="s">
        <v>107</v>
      </c>
      <c r="BS576" t="s">
        <v>11461</v>
      </c>
      <c r="BT576" t="str">
        <f>HYPERLINK("https%3A%2F%2Fwww.webofscience.com%2Fwos%2Fwoscc%2Ffull-record%2FWOS:000462672400001","View Full Record in Web of Science")</f>
        <v>View Full Record in Web of Science</v>
      </c>
    </row>
    <row r="577" spans="1:72" x14ac:dyDescent="0.15">
      <c r="A577" t="s">
        <v>72</v>
      </c>
      <c r="B577" t="s">
        <v>11462</v>
      </c>
      <c r="C577" t="s">
        <v>74</v>
      </c>
      <c r="D577" t="s">
        <v>74</v>
      </c>
      <c r="E577" t="s">
        <v>74</v>
      </c>
      <c r="F577" t="s">
        <v>11463</v>
      </c>
      <c r="G577" t="s">
        <v>74</v>
      </c>
      <c r="H577" t="s">
        <v>74</v>
      </c>
      <c r="I577" t="s">
        <v>11464</v>
      </c>
      <c r="J577" t="s">
        <v>1938</v>
      </c>
      <c r="K577" t="s">
        <v>74</v>
      </c>
      <c r="L577" t="s">
        <v>74</v>
      </c>
      <c r="M577" t="s">
        <v>78</v>
      </c>
      <c r="N577" t="s">
        <v>79</v>
      </c>
      <c r="O577" t="s">
        <v>74</v>
      </c>
      <c r="P577" t="s">
        <v>74</v>
      </c>
      <c r="Q577" t="s">
        <v>74</v>
      </c>
      <c r="R577" t="s">
        <v>74</v>
      </c>
      <c r="S577" t="s">
        <v>74</v>
      </c>
      <c r="T577" t="s">
        <v>74</v>
      </c>
      <c r="U577" t="s">
        <v>11465</v>
      </c>
      <c r="V577" t="s">
        <v>11466</v>
      </c>
      <c r="W577" t="s">
        <v>11467</v>
      </c>
      <c r="X577" t="s">
        <v>11468</v>
      </c>
      <c r="Y577" t="s">
        <v>11469</v>
      </c>
      <c r="Z577" t="s">
        <v>11470</v>
      </c>
      <c r="AA577" t="s">
        <v>11471</v>
      </c>
      <c r="AB577" t="s">
        <v>11472</v>
      </c>
      <c r="AC577" t="s">
        <v>11473</v>
      </c>
      <c r="AD577" t="s">
        <v>11474</v>
      </c>
      <c r="AE577" t="s">
        <v>11475</v>
      </c>
      <c r="AF577" t="s">
        <v>74</v>
      </c>
      <c r="AG577">
        <v>58</v>
      </c>
      <c r="AH577">
        <v>40</v>
      </c>
      <c r="AI577">
        <v>41</v>
      </c>
      <c r="AJ577">
        <v>6</v>
      </c>
      <c r="AK577">
        <v>27</v>
      </c>
      <c r="AL577" t="s">
        <v>328</v>
      </c>
      <c r="AM577" t="s">
        <v>329</v>
      </c>
      <c r="AN577" t="s">
        <v>330</v>
      </c>
      <c r="AO577" t="s">
        <v>1950</v>
      </c>
      <c r="AP577" t="s">
        <v>74</v>
      </c>
      <c r="AQ577" t="s">
        <v>74</v>
      </c>
      <c r="AR577" t="s">
        <v>1951</v>
      </c>
      <c r="AS577" t="s">
        <v>1952</v>
      </c>
      <c r="AT577" t="s">
        <v>11458</v>
      </c>
      <c r="AU577">
        <v>2019</v>
      </c>
      <c r="AV577">
        <v>10</v>
      </c>
      <c r="AW577" t="s">
        <v>74</v>
      </c>
      <c r="AX577" t="s">
        <v>74</v>
      </c>
      <c r="AY577" t="s">
        <v>74</v>
      </c>
      <c r="AZ577" t="s">
        <v>74</v>
      </c>
      <c r="BA577" t="s">
        <v>74</v>
      </c>
      <c r="BB577" t="s">
        <v>74</v>
      </c>
      <c r="BC577" t="s">
        <v>74</v>
      </c>
      <c r="BD577">
        <v>889</v>
      </c>
      <c r="BE577" t="s">
        <v>11476</v>
      </c>
      <c r="BF577" t="str">
        <f>HYPERLINK("http://dx.doi.org/10.1038/s41467-019-08847-1","http://dx.doi.org/10.1038/s41467-019-08847-1")</f>
        <v>http://dx.doi.org/10.1038/s41467-019-08847-1</v>
      </c>
      <c r="BG577" t="s">
        <v>74</v>
      </c>
      <c r="BH577" t="s">
        <v>74</v>
      </c>
      <c r="BI577">
        <v>8</v>
      </c>
      <c r="BJ577" t="s">
        <v>460</v>
      </c>
      <c r="BK577" t="s">
        <v>102</v>
      </c>
      <c r="BL577" t="s">
        <v>461</v>
      </c>
      <c r="BM577" t="s">
        <v>11477</v>
      </c>
      <c r="BN577">
        <v>30792498</v>
      </c>
      <c r="BO577" t="s">
        <v>1100</v>
      </c>
      <c r="BP577" t="s">
        <v>74</v>
      </c>
      <c r="BQ577" t="s">
        <v>74</v>
      </c>
      <c r="BR577" t="s">
        <v>107</v>
      </c>
      <c r="BS577" t="s">
        <v>11478</v>
      </c>
      <c r="BT577" t="str">
        <f>HYPERLINK("https%3A%2F%2Fwww.webofscience.com%2Fwos%2Fwoscc%2Ffull-record%2FWOS:000459284600006","View Full Record in Web of Science")</f>
        <v>View Full Record in Web of Science</v>
      </c>
    </row>
    <row r="578" spans="1:72" x14ac:dyDescent="0.15">
      <c r="A578" t="s">
        <v>72</v>
      </c>
      <c r="B578" t="s">
        <v>6224</v>
      </c>
      <c r="C578" t="s">
        <v>74</v>
      </c>
      <c r="D578" t="s">
        <v>74</v>
      </c>
      <c r="E578" t="s">
        <v>74</v>
      </c>
      <c r="F578" t="s">
        <v>6225</v>
      </c>
      <c r="G578" t="s">
        <v>74</v>
      </c>
      <c r="H578" t="s">
        <v>74</v>
      </c>
      <c r="I578" t="s">
        <v>11479</v>
      </c>
      <c r="J578" t="s">
        <v>1358</v>
      </c>
      <c r="K578" t="s">
        <v>74</v>
      </c>
      <c r="L578" t="s">
        <v>74</v>
      </c>
      <c r="M578" t="s">
        <v>78</v>
      </c>
      <c r="N578" t="s">
        <v>1301</v>
      </c>
      <c r="O578" t="s">
        <v>74</v>
      </c>
      <c r="P578" t="s">
        <v>74</v>
      </c>
      <c r="Q578" t="s">
        <v>74</v>
      </c>
      <c r="R578" t="s">
        <v>74</v>
      </c>
      <c r="S578" t="s">
        <v>74</v>
      </c>
      <c r="T578" t="s">
        <v>74</v>
      </c>
      <c r="U578" t="s">
        <v>74</v>
      </c>
      <c r="V578" t="s">
        <v>74</v>
      </c>
      <c r="W578" t="s">
        <v>74</v>
      </c>
      <c r="X578" t="s">
        <v>74</v>
      </c>
      <c r="Y578" t="s">
        <v>74</v>
      </c>
      <c r="Z578" t="s">
        <v>74</v>
      </c>
      <c r="AA578" t="s">
        <v>74</v>
      </c>
      <c r="AB578" t="s">
        <v>74</v>
      </c>
      <c r="AC578" t="s">
        <v>74</v>
      </c>
      <c r="AD578" t="s">
        <v>74</v>
      </c>
      <c r="AE578" t="s">
        <v>74</v>
      </c>
      <c r="AF578" t="s">
        <v>74</v>
      </c>
      <c r="AG578">
        <v>0</v>
      </c>
      <c r="AH578">
        <v>1</v>
      </c>
      <c r="AI578">
        <v>1</v>
      </c>
      <c r="AJ578">
        <v>0</v>
      </c>
      <c r="AK578">
        <v>5</v>
      </c>
      <c r="AL578" t="s">
        <v>328</v>
      </c>
      <c r="AM578" t="s">
        <v>329</v>
      </c>
      <c r="AN578" t="s">
        <v>330</v>
      </c>
      <c r="AO578" t="s">
        <v>1373</v>
      </c>
      <c r="AP578" t="s">
        <v>1374</v>
      </c>
      <c r="AQ578" t="s">
        <v>74</v>
      </c>
      <c r="AR578" t="s">
        <v>1358</v>
      </c>
      <c r="AS578" t="s">
        <v>1375</v>
      </c>
      <c r="AT578" t="s">
        <v>11458</v>
      </c>
      <c r="AU578">
        <v>2019</v>
      </c>
      <c r="AV578">
        <v>566</v>
      </c>
      <c r="AW578">
        <v>7744</v>
      </c>
      <c r="AX578" t="s">
        <v>74</v>
      </c>
      <c r="AY578" t="s">
        <v>74</v>
      </c>
      <c r="AZ578" t="s">
        <v>74</v>
      </c>
      <c r="BA578" t="s">
        <v>74</v>
      </c>
      <c r="BB578">
        <v>304</v>
      </c>
      <c r="BC578">
        <v>305</v>
      </c>
      <c r="BD578" t="s">
        <v>74</v>
      </c>
      <c r="BE578" t="s">
        <v>11480</v>
      </c>
      <c r="BF578" t="str">
        <f>HYPERLINK("http://dx.doi.org/10.1038/d41586-019-00588-x","http://dx.doi.org/10.1038/d41586-019-00588-x")</f>
        <v>http://dx.doi.org/10.1038/d41586-019-00588-x</v>
      </c>
      <c r="BG578" t="s">
        <v>74</v>
      </c>
      <c r="BH578" t="s">
        <v>74</v>
      </c>
      <c r="BI578">
        <v>2</v>
      </c>
      <c r="BJ578" t="s">
        <v>460</v>
      </c>
      <c r="BK578" t="s">
        <v>102</v>
      </c>
      <c r="BL578" t="s">
        <v>461</v>
      </c>
      <c r="BM578" t="s">
        <v>11481</v>
      </c>
      <c r="BN578">
        <v>30783280</v>
      </c>
      <c r="BO578" t="s">
        <v>279</v>
      </c>
      <c r="BP578" t="s">
        <v>74</v>
      </c>
      <c r="BQ578" t="s">
        <v>74</v>
      </c>
      <c r="BR578" t="s">
        <v>107</v>
      </c>
      <c r="BS578" t="s">
        <v>11482</v>
      </c>
      <c r="BT578" t="str">
        <f>HYPERLINK("https%3A%2F%2Fwww.webofscience.com%2Fwos%2Fwoscc%2Ffull-record%2FWOS:000459119200015","View Full Record in Web of Science")</f>
        <v>View Full Record in Web of Science</v>
      </c>
    </row>
    <row r="579" spans="1:72" x14ac:dyDescent="0.15">
      <c r="A579" t="s">
        <v>72</v>
      </c>
      <c r="B579" t="s">
        <v>11483</v>
      </c>
      <c r="C579" t="s">
        <v>74</v>
      </c>
      <c r="D579" t="s">
        <v>74</v>
      </c>
      <c r="E579" t="s">
        <v>74</v>
      </c>
      <c r="F579" t="s">
        <v>11484</v>
      </c>
      <c r="G579" t="s">
        <v>74</v>
      </c>
      <c r="H579" t="s">
        <v>74</v>
      </c>
      <c r="I579" t="s">
        <v>11485</v>
      </c>
      <c r="J579" t="s">
        <v>10167</v>
      </c>
      <c r="K579" t="s">
        <v>74</v>
      </c>
      <c r="L579" t="s">
        <v>74</v>
      </c>
      <c r="M579" t="s">
        <v>78</v>
      </c>
      <c r="N579" t="s">
        <v>79</v>
      </c>
      <c r="O579" t="s">
        <v>74</v>
      </c>
      <c r="P579" t="s">
        <v>74</v>
      </c>
      <c r="Q579" t="s">
        <v>74</v>
      </c>
      <c r="R579" t="s">
        <v>74</v>
      </c>
      <c r="S579" t="s">
        <v>74</v>
      </c>
      <c r="T579" t="s">
        <v>74</v>
      </c>
      <c r="U579" t="s">
        <v>11486</v>
      </c>
      <c r="V579" t="s">
        <v>11487</v>
      </c>
      <c r="W579" t="s">
        <v>11488</v>
      </c>
      <c r="X579" t="s">
        <v>11489</v>
      </c>
      <c r="Y579" t="s">
        <v>11490</v>
      </c>
      <c r="Z579" t="s">
        <v>11491</v>
      </c>
      <c r="AA579" t="s">
        <v>11492</v>
      </c>
      <c r="AB579" t="s">
        <v>11493</v>
      </c>
      <c r="AC579" t="s">
        <v>11494</v>
      </c>
      <c r="AD579" t="s">
        <v>11495</v>
      </c>
      <c r="AE579" t="s">
        <v>11496</v>
      </c>
      <c r="AF579" t="s">
        <v>74</v>
      </c>
      <c r="AG579">
        <v>33</v>
      </c>
      <c r="AH579">
        <v>5</v>
      </c>
      <c r="AI579">
        <v>7</v>
      </c>
      <c r="AJ579">
        <v>1</v>
      </c>
      <c r="AK579">
        <v>2</v>
      </c>
      <c r="AL579" t="s">
        <v>868</v>
      </c>
      <c r="AM579" t="s">
        <v>869</v>
      </c>
      <c r="AN579" t="s">
        <v>870</v>
      </c>
      <c r="AO579" t="s">
        <v>10179</v>
      </c>
      <c r="AP579" t="s">
        <v>10180</v>
      </c>
      <c r="AQ579" t="s">
        <v>74</v>
      </c>
      <c r="AR579" t="s">
        <v>10181</v>
      </c>
      <c r="AS579" t="s">
        <v>10182</v>
      </c>
      <c r="AT579" t="s">
        <v>11458</v>
      </c>
      <c r="AU579">
        <v>2019</v>
      </c>
      <c r="AV579">
        <v>12</v>
      </c>
      <c r="AW579">
        <v>2</v>
      </c>
      <c r="AX579" t="s">
        <v>74</v>
      </c>
      <c r="AY579" t="s">
        <v>74</v>
      </c>
      <c r="AZ579" t="s">
        <v>74</v>
      </c>
      <c r="BA579" t="s">
        <v>74</v>
      </c>
      <c r="BB579">
        <v>1103</v>
      </c>
      <c r="BC579">
        <v>1121</v>
      </c>
      <c r="BD579" t="s">
        <v>74</v>
      </c>
      <c r="BE579" t="s">
        <v>11497</v>
      </c>
      <c r="BF579" t="str">
        <f>HYPERLINK("http://dx.doi.org/10.5194/amt-12-1103-2019","http://dx.doi.org/10.5194/amt-12-1103-2019")</f>
        <v>http://dx.doi.org/10.5194/amt-12-1103-2019</v>
      </c>
      <c r="BG579" t="s">
        <v>74</v>
      </c>
      <c r="BH579" t="s">
        <v>74</v>
      </c>
      <c r="BI579">
        <v>19</v>
      </c>
      <c r="BJ579" t="s">
        <v>133</v>
      </c>
      <c r="BK579" t="s">
        <v>102</v>
      </c>
      <c r="BL579" t="s">
        <v>133</v>
      </c>
      <c r="BM579" t="s">
        <v>11498</v>
      </c>
      <c r="BN579" t="s">
        <v>74</v>
      </c>
      <c r="BO579" t="s">
        <v>135</v>
      </c>
      <c r="BP579" t="s">
        <v>74</v>
      </c>
      <c r="BQ579" t="s">
        <v>74</v>
      </c>
      <c r="BR579" t="s">
        <v>107</v>
      </c>
      <c r="BS579" t="s">
        <v>11499</v>
      </c>
      <c r="BT579" t="str">
        <f>HYPERLINK("https%3A%2F%2Fwww.webofscience.com%2Fwos%2Fwoscc%2Ffull-record%2FWOS:000459317900001","View Full Record in Web of Science")</f>
        <v>View Full Record in Web of Science</v>
      </c>
    </row>
    <row r="580" spans="1:72" x14ac:dyDescent="0.15">
      <c r="A580" t="s">
        <v>72</v>
      </c>
      <c r="B580" t="s">
        <v>11500</v>
      </c>
      <c r="C580" t="s">
        <v>74</v>
      </c>
      <c r="D580" t="s">
        <v>74</v>
      </c>
      <c r="E580" t="s">
        <v>74</v>
      </c>
      <c r="F580" t="s">
        <v>11501</v>
      </c>
      <c r="G580" t="s">
        <v>74</v>
      </c>
      <c r="H580" t="s">
        <v>74</v>
      </c>
      <c r="I580" t="s">
        <v>11502</v>
      </c>
      <c r="J580" t="s">
        <v>11503</v>
      </c>
      <c r="K580" t="s">
        <v>74</v>
      </c>
      <c r="L580" t="s">
        <v>74</v>
      </c>
      <c r="M580" t="s">
        <v>78</v>
      </c>
      <c r="N580" t="s">
        <v>79</v>
      </c>
      <c r="O580" t="s">
        <v>74</v>
      </c>
      <c r="P580" t="s">
        <v>74</v>
      </c>
      <c r="Q580" t="s">
        <v>74</v>
      </c>
      <c r="R580" t="s">
        <v>74</v>
      </c>
      <c r="S580" t="s">
        <v>74</v>
      </c>
      <c r="T580" t="s">
        <v>11504</v>
      </c>
      <c r="U580" t="s">
        <v>74</v>
      </c>
      <c r="V580" t="s">
        <v>11505</v>
      </c>
      <c r="W580" t="s">
        <v>11506</v>
      </c>
      <c r="X580" t="s">
        <v>11507</v>
      </c>
      <c r="Y580" t="s">
        <v>11508</v>
      </c>
      <c r="Z580" t="s">
        <v>11509</v>
      </c>
      <c r="AA580" t="s">
        <v>11510</v>
      </c>
      <c r="AB580" t="s">
        <v>11511</v>
      </c>
      <c r="AC580" t="s">
        <v>11512</v>
      </c>
      <c r="AD580" t="s">
        <v>11513</v>
      </c>
      <c r="AE580" t="s">
        <v>11514</v>
      </c>
      <c r="AF580" t="s">
        <v>74</v>
      </c>
      <c r="AG580">
        <v>10</v>
      </c>
      <c r="AH580">
        <v>13</v>
      </c>
      <c r="AI580">
        <v>16</v>
      </c>
      <c r="AJ580">
        <v>0</v>
      </c>
      <c r="AK580">
        <v>3</v>
      </c>
      <c r="AL580" t="s">
        <v>662</v>
      </c>
      <c r="AM580" t="s">
        <v>635</v>
      </c>
      <c r="AN580" t="s">
        <v>663</v>
      </c>
      <c r="AO580" t="s">
        <v>11515</v>
      </c>
      <c r="AP580" t="s">
        <v>11516</v>
      </c>
      <c r="AQ580" t="s">
        <v>74</v>
      </c>
      <c r="AR580" t="s">
        <v>11517</v>
      </c>
      <c r="AS580" t="s">
        <v>11518</v>
      </c>
      <c r="AT580" t="s">
        <v>11458</v>
      </c>
      <c r="AU580">
        <v>2019</v>
      </c>
      <c r="AV580">
        <v>918</v>
      </c>
      <c r="AW580" t="s">
        <v>74</v>
      </c>
      <c r="AX580" t="s">
        <v>74</v>
      </c>
      <c r="AY580" t="s">
        <v>74</v>
      </c>
      <c r="AZ580" t="s">
        <v>74</v>
      </c>
      <c r="BA580" t="s">
        <v>74</v>
      </c>
      <c r="BB580">
        <v>60</v>
      </c>
      <c r="BC580">
        <v>66</v>
      </c>
      <c r="BD580" t="s">
        <v>74</v>
      </c>
      <c r="BE580" t="s">
        <v>11519</v>
      </c>
      <c r="BF580" t="str">
        <f>HYPERLINK("http://dx.doi.org/10.1016/j.nima.2018.11.092","http://dx.doi.org/10.1016/j.nima.2018.11.092")</f>
        <v>http://dx.doi.org/10.1016/j.nima.2018.11.092</v>
      </c>
      <c r="BG580" t="s">
        <v>74</v>
      </c>
      <c r="BH580" t="s">
        <v>74</v>
      </c>
      <c r="BI580">
        <v>7</v>
      </c>
      <c r="BJ580" t="s">
        <v>11520</v>
      </c>
      <c r="BK580" t="s">
        <v>102</v>
      </c>
      <c r="BL580" t="s">
        <v>11521</v>
      </c>
      <c r="BM580" t="s">
        <v>11522</v>
      </c>
      <c r="BN580" t="s">
        <v>74</v>
      </c>
      <c r="BO580" t="s">
        <v>11523</v>
      </c>
      <c r="BP580" t="s">
        <v>74</v>
      </c>
      <c r="BQ580" t="s">
        <v>74</v>
      </c>
      <c r="BR580" t="s">
        <v>107</v>
      </c>
      <c r="BS580" t="s">
        <v>11524</v>
      </c>
      <c r="BT580" t="str">
        <f>HYPERLINK("https%3A%2F%2Fwww.webofscience.com%2Fwos%2Fwoscc%2Ffull-record%2FWOS:000456538600007","View Full Record in Web of Science")</f>
        <v>View Full Record in Web of Science</v>
      </c>
    </row>
    <row r="581" spans="1:72" x14ac:dyDescent="0.15">
      <c r="A581" t="s">
        <v>72</v>
      </c>
      <c r="B581" t="s">
        <v>7531</v>
      </c>
      <c r="C581" t="s">
        <v>74</v>
      </c>
      <c r="D581" t="s">
        <v>74</v>
      </c>
      <c r="E581" t="s">
        <v>74</v>
      </c>
      <c r="F581" t="s">
        <v>7532</v>
      </c>
      <c r="G581" t="s">
        <v>74</v>
      </c>
      <c r="H581" t="s">
        <v>74</v>
      </c>
      <c r="I581" t="s">
        <v>11525</v>
      </c>
      <c r="J581" t="s">
        <v>7534</v>
      </c>
      <c r="K581" t="s">
        <v>74</v>
      </c>
      <c r="L581" t="s">
        <v>74</v>
      </c>
      <c r="M581" t="s">
        <v>78</v>
      </c>
      <c r="N581" t="s">
        <v>79</v>
      </c>
      <c r="O581" t="s">
        <v>74</v>
      </c>
      <c r="P581" t="s">
        <v>74</v>
      </c>
      <c r="Q581" t="s">
        <v>74</v>
      </c>
      <c r="R581" t="s">
        <v>74</v>
      </c>
      <c r="S581" t="s">
        <v>74</v>
      </c>
      <c r="T581" t="s">
        <v>7535</v>
      </c>
      <c r="U581" t="s">
        <v>11526</v>
      </c>
      <c r="V581" t="s">
        <v>11527</v>
      </c>
      <c r="W581" t="s">
        <v>11528</v>
      </c>
      <c r="X581" t="s">
        <v>7537</v>
      </c>
      <c r="Y581" t="s">
        <v>7538</v>
      </c>
      <c r="Z581" t="s">
        <v>7539</v>
      </c>
      <c r="AA581" t="s">
        <v>11529</v>
      </c>
      <c r="AB581" t="s">
        <v>11530</v>
      </c>
      <c r="AC581" t="s">
        <v>11531</v>
      </c>
      <c r="AD581" t="s">
        <v>11532</v>
      </c>
      <c r="AE581" t="s">
        <v>11533</v>
      </c>
      <c r="AF581" t="s">
        <v>74</v>
      </c>
      <c r="AG581">
        <v>82</v>
      </c>
      <c r="AH581">
        <v>10</v>
      </c>
      <c r="AI581">
        <v>10</v>
      </c>
      <c r="AJ581">
        <v>2</v>
      </c>
      <c r="AK581">
        <v>21</v>
      </c>
      <c r="AL581" t="s">
        <v>1514</v>
      </c>
      <c r="AM581" t="s">
        <v>329</v>
      </c>
      <c r="AN581" t="s">
        <v>1515</v>
      </c>
      <c r="AO581" t="s">
        <v>7542</v>
      </c>
      <c r="AP581" t="s">
        <v>74</v>
      </c>
      <c r="AQ581" t="s">
        <v>74</v>
      </c>
      <c r="AR581" t="s">
        <v>7534</v>
      </c>
      <c r="AS581" t="s">
        <v>7543</v>
      </c>
      <c r="AT581" t="s">
        <v>11534</v>
      </c>
      <c r="AU581">
        <v>2019</v>
      </c>
      <c r="AV581">
        <v>7</v>
      </c>
      <c r="AW581" t="s">
        <v>74</v>
      </c>
      <c r="AX581" t="s">
        <v>74</v>
      </c>
      <c r="AY581" t="s">
        <v>74</v>
      </c>
      <c r="AZ581" t="s">
        <v>74</v>
      </c>
      <c r="BA581" t="s">
        <v>74</v>
      </c>
      <c r="BB581" t="s">
        <v>74</v>
      </c>
      <c r="BC581" t="s">
        <v>74</v>
      </c>
      <c r="BD581">
        <v>29</v>
      </c>
      <c r="BE581" t="s">
        <v>11535</v>
      </c>
      <c r="BF581" t="str">
        <f>HYPERLINK("http://dx.doi.org/10.1186/s40168-019-0643-4","http://dx.doi.org/10.1186/s40168-019-0643-4")</f>
        <v>http://dx.doi.org/10.1186/s40168-019-0643-4</v>
      </c>
      <c r="BG581" t="s">
        <v>74</v>
      </c>
      <c r="BH581" t="s">
        <v>74</v>
      </c>
      <c r="BI581">
        <v>15</v>
      </c>
      <c r="BJ581" t="s">
        <v>901</v>
      </c>
      <c r="BK581" t="s">
        <v>102</v>
      </c>
      <c r="BL581" t="s">
        <v>901</v>
      </c>
      <c r="BM581" t="s">
        <v>11536</v>
      </c>
      <c r="BN581">
        <v>30786927</v>
      </c>
      <c r="BO581" t="s">
        <v>851</v>
      </c>
      <c r="BP581" t="s">
        <v>74</v>
      </c>
      <c r="BQ581" t="s">
        <v>74</v>
      </c>
      <c r="BR581" t="s">
        <v>107</v>
      </c>
      <c r="BS581" t="s">
        <v>11537</v>
      </c>
      <c r="BT581" t="str">
        <f>HYPERLINK("https%3A%2F%2Fwww.webofscience.com%2Fwos%2Fwoscc%2Ffull-record%2FWOS:000459563300001","View Full Record in Web of Science")</f>
        <v>View Full Record in Web of Science</v>
      </c>
    </row>
    <row r="582" spans="1:72" x14ac:dyDescent="0.15">
      <c r="A582" t="s">
        <v>72</v>
      </c>
      <c r="B582" t="s">
        <v>11538</v>
      </c>
      <c r="C582" t="s">
        <v>74</v>
      </c>
      <c r="D582" t="s">
        <v>74</v>
      </c>
      <c r="E582" t="s">
        <v>74</v>
      </c>
      <c r="F582" t="s">
        <v>11539</v>
      </c>
      <c r="G582" t="s">
        <v>74</v>
      </c>
      <c r="H582" t="s">
        <v>74</v>
      </c>
      <c r="I582" t="s">
        <v>11540</v>
      </c>
      <c r="J582" t="s">
        <v>5999</v>
      </c>
      <c r="K582" t="s">
        <v>74</v>
      </c>
      <c r="L582" t="s">
        <v>74</v>
      </c>
      <c r="M582" t="s">
        <v>78</v>
      </c>
      <c r="N582" t="s">
        <v>79</v>
      </c>
      <c r="O582" t="s">
        <v>74</v>
      </c>
      <c r="P582" t="s">
        <v>74</v>
      </c>
      <c r="Q582" t="s">
        <v>74</v>
      </c>
      <c r="R582" t="s">
        <v>74</v>
      </c>
      <c r="S582" t="s">
        <v>74</v>
      </c>
      <c r="T582" t="s">
        <v>11541</v>
      </c>
      <c r="U582" t="s">
        <v>11542</v>
      </c>
      <c r="V582" t="s">
        <v>11543</v>
      </c>
      <c r="W582" t="s">
        <v>11544</v>
      </c>
      <c r="X582" t="s">
        <v>11545</v>
      </c>
      <c r="Y582" t="s">
        <v>11546</v>
      </c>
      <c r="Z582" t="s">
        <v>11547</v>
      </c>
      <c r="AA582" t="s">
        <v>11548</v>
      </c>
      <c r="AB582" t="s">
        <v>11549</v>
      </c>
      <c r="AC582" t="s">
        <v>11550</v>
      </c>
      <c r="AD582" t="s">
        <v>11551</v>
      </c>
      <c r="AE582" t="s">
        <v>11552</v>
      </c>
      <c r="AF582" t="s">
        <v>74</v>
      </c>
      <c r="AG582">
        <v>41</v>
      </c>
      <c r="AH582">
        <v>17</v>
      </c>
      <c r="AI582">
        <v>17</v>
      </c>
      <c r="AJ582">
        <v>3</v>
      </c>
      <c r="AK582">
        <v>51</v>
      </c>
      <c r="AL582" t="s">
        <v>634</v>
      </c>
      <c r="AM582" t="s">
        <v>635</v>
      </c>
      <c r="AN582" t="s">
        <v>636</v>
      </c>
      <c r="AO582" t="s">
        <v>6012</v>
      </c>
      <c r="AP582" t="s">
        <v>6013</v>
      </c>
      <c r="AQ582" t="s">
        <v>74</v>
      </c>
      <c r="AR582" t="s">
        <v>6014</v>
      </c>
      <c r="AS582" t="s">
        <v>6015</v>
      </c>
      <c r="AT582" t="s">
        <v>11534</v>
      </c>
      <c r="AU582">
        <v>2019</v>
      </c>
      <c r="AV582">
        <v>652</v>
      </c>
      <c r="AW582" t="s">
        <v>74</v>
      </c>
      <c r="AX582" t="s">
        <v>74</v>
      </c>
      <c r="AY582" t="s">
        <v>74</v>
      </c>
      <c r="AZ582" t="s">
        <v>74</v>
      </c>
      <c r="BA582" t="s">
        <v>74</v>
      </c>
      <c r="BB582">
        <v>907</v>
      </c>
      <c r="BC582">
        <v>914</v>
      </c>
      <c r="BD582" t="s">
        <v>74</v>
      </c>
      <c r="BE582" t="s">
        <v>11553</v>
      </c>
      <c r="BF582" t="str">
        <f>HYPERLINK("http://dx.doi.org/10.1016/j.scitotenv.2018.10.315","http://dx.doi.org/10.1016/j.scitotenv.2018.10.315")</f>
        <v>http://dx.doi.org/10.1016/j.scitotenv.2018.10.315</v>
      </c>
      <c r="BG582" t="s">
        <v>74</v>
      </c>
      <c r="BH582" t="s">
        <v>74</v>
      </c>
      <c r="BI582">
        <v>8</v>
      </c>
      <c r="BJ582" t="s">
        <v>2296</v>
      </c>
      <c r="BK582" t="s">
        <v>102</v>
      </c>
      <c r="BL582" t="s">
        <v>2297</v>
      </c>
      <c r="BM582" t="s">
        <v>11554</v>
      </c>
      <c r="BN582">
        <v>30380497</v>
      </c>
      <c r="BO582" t="s">
        <v>74</v>
      </c>
      <c r="BP582" t="s">
        <v>74</v>
      </c>
      <c r="BQ582" t="s">
        <v>74</v>
      </c>
      <c r="BR582" t="s">
        <v>107</v>
      </c>
      <c r="BS582" t="s">
        <v>11555</v>
      </c>
      <c r="BT582" t="str">
        <f>HYPERLINK("https%3A%2F%2Fwww.webofscience.com%2Fwos%2Fwoscc%2Ffull-record%2FWOS:000454418500084","View Full Record in Web of Science")</f>
        <v>View Full Record in Web of Science</v>
      </c>
    </row>
    <row r="583" spans="1:72" x14ac:dyDescent="0.15">
      <c r="A583" t="s">
        <v>72</v>
      </c>
      <c r="B583" t="s">
        <v>11556</v>
      </c>
      <c r="C583" t="s">
        <v>74</v>
      </c>
      <c r="D583" t="s">
        <v>74</v>
      </c>
      <c r="E583" t="s">
        <v>74</v>
      </c>
      <c r="F583" t="s">
        <v>11557</v>
      </c>
      <c r="G583" t="s">
        <v>74</v>
      </c>
      <c r="H583" t="s">
        <v>74</v>
      </c>
      <c r="I583" t="s">
        <v>11558</v>
      </c>
      <c r="J583" t="s">
        <v>1720</v>
      </c>
      <c r="K583" t="s">
        <v>74</v>
      </c>
      <c r="L583" t="s">
        <v>74</v>
      </c>
      <c r="M583" t="s">
        <v>78</v>
      </c>
      <c r="N583" t="s">
        <v>79</v>
      </c>
      <c r="O583" t="s">
        <v>74</v>
      </c>
      <c r="P583" t="s">
        <v>74</v>
      </c>
      <c r="Q583" t="s">
        <v>74</v>
      </c>
      <c r="R583" t="s">
        <v>74</v>
      </c>
      <c r="S583" t="s">
        <v>74</v>
      </c>
      <c r="T583" t="s">
        <v>74</v>
      </c>
      <c r="U583" t="s">
        <v>11559</v>
      </c>
      <c r="V583" t="s">
        <v>11560</v>
      </c>
      <c r="W583" t="s">
        <v>11561</v>
      </c>
      <c r="X583" t="s">
        <v>11562</v>
      </c>
      <c r="Y583" t="s">
        <v>11563</v>
      </c>
      <c r="Z583" t="s">
        <v>11564</v>
      </c>
      <c r="AA583" t="s">
        <v>74</v>
      </c>
      <c r="AB583" t="s">
        <v>11565</v>
      </c>
      <c r="AC583" t="s">
        <v>11566</v>
      </c>
      <c r="AD583" t="s">
        <v>11567</v>
      </c>
      <c r="AE583" t="s">
        <v>11568</v>
      </c>
      <c r="AF583" t="s">
        <v>74</v>
      </c>
      <c r="AG583">
        <v>74</v>
      </c>
      <c r="AH583">
        <v>29</v>
      </c>
      <c r="AI583">
        <v>33</v>
      </c>
      <c r="AJ583">
        <v>2</v>
      </c>
      <c r="AK583">
        <v>24</v>
      </c>
      <c r="AL583" t="s">
        <v>328</v>
      </c>
      <c r="AM583" t="s">
        <v>329</v>
      </c>
      <c r="AN583" t="s">
        <v>330</v>
      </c>
      <c r="AO583" t="s">
        <v>1731</v>
      </c>
      <c r="AP583" t="s">
        <v>74</v>
      </c>
      <c r="AQ583" t="s">
        <v>74</v>
      </c>
      <c r="AR583" t="s">
        <v>1732</v>
      </c>
      <c r="AS583" t="s">
        <v>1733</v>
      </c>
      <c r="AT583" t="s">
        <v>11569</v>
      </c>
      <c r="AU583">
        <v>2019</v>
      </c>
      <c r="AV583">
        <v>9</v>
      </c>
      <c r="AW583" t="s">
        <v>74</v>
      </c>
      <c r="AX583" t="s">
        <v>74</v>
      </c>
      <c r="AY583" t="s">
        <v>74</v>
      </c>
      <c r="AZ583" t="s">
        <v>74</v>
      </c>
      <c r="BA583" t="s">
        <v>74</v>
      </c>
      <c r="BB583" t="s">
        <v>74</v>
      </c>
      <c r="BC583" t="s">
        <v>74</v>
      </c>
      <c r="BD583">
        <v>2233</v>
      </c>
      <c r="BE583" t="s">
        <v>11570</v>
      </c>
      <c r="BF583" t="str">
        <f>HYPERLINK("http://dx.doi.org/10.1038/s41598-019-38714-4","http://dx.doi.org/10.1038/s41598-019-38714-4")</f>
        <v>http://dx.doi.org/10.1038/s41598-019-38714-4</v>
      </c>
      <c r="BG583" t="s">
        <v>74</v>
      </c>
      <c r="BH583" t="s">
        <v>74</v>
      </c>
      <c r="BI583">
        <v>11</v>
      </c>
      <c r="BJ583" t="s">
        <v>460</v>
      </c>
      <c r="BK583" t="s">
        <v>102</v>
      </c>
      <c r="BL583" t="s">
        <v>461</v>
      </c>
      <c r="BM583" t="s">
        <v>11571</v>
      </c>
      <c r="BN583">
        <v>30783182</v>
      </c>
      <c r="BO583" t="s">
        <v>6876</v>
      </c>
      <c r="BP583" t="s">
        <v>74</v>
      </c>
      <c r="BQ583" t="s">
        <v>74</v>
      </c>
      <c r="BR583" t="s">
        <v>107</v>
      </c>
      <c r="BS583" t="s">
        <v>11572</v>
      </c>
      <c r="BT583" t="str">
        <f>HYPERLINK("https%3A%2F%2Fwww.webofscience.com%2Fwos%2Fwoscc%2Ffull-record%2FWOS:000459092800003","View Full Record in Web of Science")</f>
        <v>View Full Record in Web of Science</v>
      </c>
    </row>
    <row r="584" spans="1:72" x14ac:dyDescent="0.15">
      <c r="A584" t="s">
        <v>72</v>
      </c>
      <c r="B584" t="s">
        <v>11573</v>
      </c>
      <c r="C584" t="s">
        <v>74</v>
      </c>
      <c r="D584" t="s">
        <v>74</v>
      </c>
      <c r="E584" t="s">
        <v>74</v>
      </c>
      <c r="F584" t="s">
        <v>11574</v>
      </c>
      <c r="G584" t="s">
        <v>74</v>
      </c>
      <c r="H584" t="s">
        <v>74</v>
      </c>
      <c r="I584" t="s">
        <v>11575</v>
      </c>
      <c r="J584" t="s">
        <v>7658</v>
      </c>
      <c r="K584" t="s">
        <v>74</v>
      </c>
      <c r="L584" t="s">
        <v>74</v>
      </c>
      <c r="M584" t="s">
        <v>78</v>
      </c>
      <c r="N584" t="s">
        <v>79</v>
      </c>
      <c r="O584" t="s">
        <v>74</v>
      </c>
      <c r="P584" t="s">
        <v>74</v>
      </c>
      <c r="Q584" t="s">
        <v>74</v>
      </c>
      <c r="R584" t="s">
        <v>74</v>
      </c>
      <c r="S584" t="s">
        <v>74</v>
      </c>
      <c r="T584" t="s">
        <v>11576</v>
      </c>
      <c r="U584" t="s">
        <v>11577</v>
      </c>
      <c r="V584" t="s">
        <v>11578</v>
      </c>
      <c r="W584" t="s">
        <v>11579</v>
      </c>
      <c r="X584" t="s">
        <v>11580</v>
      </c>
      <c r="Y584" t="s">
        <v>11581</v>
      </c>
      <c r="Z584" t="s">
        <v>11582</v>
      </c>
      <c r="AA584" t="s">
        <v>74</v>
      </c>
      <c r="AB584" t="s">
        <v>11583</v>
      </c>
      <c r="AC584" t="s">
        <v>11584</v>
      </c>
      <c r="AD584" t="s">
        <v>11585</v>
      </c>
      <c r="AE584" t="s">
        <v>11586</v>
      </c>
      <c r="AF584" t="s">
        <v>74</v>
      </c>
      <c r="AG584">
        <v>98</v>
      </c>
      <c r="AH584">
        <v>32</v>
      </c>
      <c r="AI584">
        <v>34</v>
      </c>
      <c r="AJ584">
        <v>3</v>
      </c>
      <c r="AK584">
        <v>36</v>
      </c>
      <c r="AL584" t="s">
        <v>821</v>
      </c>
      <c r="AM584" t="s">
        <v>822</v>
      </c>
      <c r="AN584" t="s">
        <v>823</v>
      </c>
      <c r="AO584" t="s">
        <v>7671</v>
      </c>
      <c r="AP584" t="s">
        <v>74</v>
      </c>
      <c r="AQ584" t="s">
        <v>74</v>
      </c>
      <c r="AR584" t="s">
        <v>7672</v>
      </c>
      <c r="AS584" t="s">
        <v>7673</v>
      </c>
      <c r="AT584" t="s">
        <v>11569</v>
      </c>
      <c r="AU584">
        <v>2019</v>
      </c>
      <c r="AV584">
        <v>7</v>
      </c>
      <c r="AW584" t="s">
        <v>74</v>
      </c>
      <c r="AX584" t="s">
        <v>74</v>
      </c>
      <c r="AY584" t="s">
        <v>74</v>
      </c>
      <c r="AZ584" t="s">
        <v>74</v>
      </c>
      <c r="BA584" t="s">
        <v>74</v>
      </c>
      <c r="BB584" t="s">
        <v>74</v>
      </c>
      <c r="BC584" t="s">
        <v>74</v>
      </c>
      <c r="BD584">
        <v>22</v>
      </c>
      <c r="BE584" t="s">
        <v>11587</v>
      </c>
      <c r="BF584" t="str">
        <f>HYPERLINK("http://dx.doi.org/10.3389/fbioe.2019.00022","http://dx.doi.org/10.3389/fbioe.2019.00022")</f>
        <v>http://dx.doi.org/10.3389/fbioe.2019.00022</v>
      </c>
      <c r="BG584" t="s">
        <v>74</v>
      </c>
      <c r="BH584" t="s">
        <v>74</v>
      </c>
      <c r="BI584">
        <v>13</v>
      </c>
      <c r="BJ584" t="s">
        <v>7675</v>
      </c>
      <c r="BK584" t="s">
        <v>102</v>
      </c>
      <c r="BL584" t="s">
        <v>7676</v>
      </c>
      <c r="BM584" t="s">
        <v>11588</v>
      </c>
      <c r="BN584">
        <v>30838204</v>
      </c>
      <c r="BO584" t="s">
        <v>463</v>
      </c>
      <c r="BP584" t="s">
        <v>74</v>
      </c>
      <c r="BQ584" t="s">
        <v>74</v>
      </c>
      <c r="BR584" t="s">
        <v>107</v>
      </c>
      <c r="BS584" t="s">
        <v>11589</v>
      </c>
      <c r="BT584" t="str">
        <f>HYPERLINK("https%3A%2F%2Fwww.webofscience.com%2Fwos%2Fwoscc%2Ffull-record%2FWOS:000459195400001","View Full Record in Web of Science")</f>
        <v>View Full Record in Web of Science</v>
      </c>
    </row>
    <row r="585" spans="1:72" x14ac:dyDescent="0.15">
      <c r="A585" t="s">
        <v>72</v>
      </c>
      <c r="B585" t="s">
        <v>11590</v>
      </c>
      <c r="C585" t="s">
        <v>74</v>
      </c>
      <c r="D585" t="s">
        <v>74</v>
      </c>
      <c r="E585" t="s">
        <v>74</v>
      </c>
      <c r="F585" t="s">
        <v>11591</v>
      </c>
      <c r="G585" t="s">
        <v>74</v>
      </c>
      <c r="H585" t="s">
        <v>74</v>
      </c>
      <c r="I585" t="s">
        <v>11592</v>
      </c>
      <c r="J585" t="s">
        <v>808</v>
      </c>
      <c r="K585" t="s">
        <v>74</v>
      </c>
      <c r="L585" t="s">
        <v>74</v>
      </c>
      <c r="M585" t="s">
        <v>78</v>
      </c>
      <c r="N585" t="s">
        <v>469</v>
      </c>
      <c r="O585" t="s">
        <v>74</v>
      </c>
      <c r="P585" t="s">
        <v>74</v>
      </c>
      <c r="Q585" t="s">
        <v>74</v>
      </c>
      <c r="R585" t="s">
        <v>74</v>
      </c>
      <c r="S585" t="s">
        <v>74</v>
      </c>
      <c r="T585" t="s">
        <v>11593</v>
      </c>
      <c r="U585" t="s">
        <v>11594</v>
      </c>
      <c r="V585" t="s">
        <v>11595</v>
      </c>
      <c r="W585" t="s">
        <v>11596</v>
      </c>
      <c r="X585" t="s">
        <v>11597</v>
      </c>
      <c r="Y585" t="s">
        <v>11598</v>
      </c>
      <c r="Z585" t="s">
        <v>11599</v>
      </c>
      <c r="AA585" t="s">
        <v>11600</v>
      </c>
      <c r="AB585" t="s">
        <v>11601</v>
      </c>
      <c r="AC585" t="s">
        <v>11602</v>
      </c>
      <c r="AD585" t="s">
        <v>11603</v>
      </c>
      <c r="AE585" t="s">
        <v>11604</v>
      </c>
      <c r="AF585" t="s">
        <v>74</v>
      </c>
      <c r="AG585">
        <v>131</v>
      </c>
      <c r="AH585">
        <v>44</v>
      </c>
      <c r="AI585">
        <v>48</v>
      </c>
      <c r="AJ585">
        <v>2</v>
      </c>
      <c r="AK585">
        <v>48</v>
      </c>
      <c r="AL585" t="s">
        <v>821</v>
      </c>
      <c r="AM585" t="s">
        <v>822</v>
      </c>
      <c r="AN585" t="s">
        <v>823</v>
      </c>
      <c r="AO585" t="s">
        <v>74</v>
      </c>
      <c r="AP585" t="s">
        <v>824</v>
      </c>
      <c r="AQ585" t="s">
        <v>74</v>
      </c>
      <c r="AR585" t="s">
        <v>825</v>
      </c>
      <c r="AS585" t="s">
        <v>826</v>
      </c>
      <c r="AT585" t="s">
        <v>11605</v>
      </c>
      <c r="AU585">
        <v>2019</v>
      </c>
      <c r="AV585">
        <v>6</v>
      </c>
      <c r="AW585" t="s">
        <v>74</v>
      </c>
      <c r="AX585" t="s">
        <v>74</v>
      </c>
      <c r="AY585" t="s">
        <v>74</v>
      </c>
      <c r="AZ585" t="s">
        <v>74</v>
      </c>
      <c r="BA585" t="s">
        <v>74</v>
      </c>
      <c r="BB585" t="s">
        <v>74</v>
      </c>
      <c r="BC585" t="s">
        <v>74</v>
      </c>
      <c r="BD585">
        <v>31</v>
      </c>
      <c r="BE585" t="s">
        <v>11606</v>
      </c>
      <c r="BF585" t="str">
        <f>HYPERLINK("http://dx.doi.org/10.3389/fmars.2019.00031","http://dx.doi.org/10.3389/fmars.2019.00031")</f>
        <v>http://dx.doi.org/10.3389/fmars.2019.00031</v>
      </c>
      <c r="BG585" t="s">
        <v>74</v>
      </c>
      <c r="BH585" t="s">
        <v>74</v>
      </c>
      <c r="BI585">
        <v>26</v>
      </c>
      <c r="BJ585" t="s">
        <v>829</v>
      </c>
      <c r="BK585" t="s">
        <v>102</v>
      </c>
      <c r="BL585" t="s">
        <v>830</v>
      </c>
      <c r="BM585" t="s">
        <v>11607</v>
      </c>
      <c r="BN585" t="s">
        <v>74</v>
      </c>
      <c r="BO585" t="s">
        <v>2739</v>
      </c>
      <c r="BP585" t="s">
        <v>74</v>
      </c>
      <c r="BQ585" t="s">
        <v>74</v>
      </c>
      <c r="BR585" t="s">
        <v>107</v>
      </c>
      <c r="BS585" t="s">
        <v>11608</v>
      </c>
      <c r="BT585" t="str">
        <f>HYPERLINK("https%3A%2F%2Fwww.webofscience.com%2Fwos%2Fwoscc%2Ffull-record%2FWOS:000462668400001","View Full Record in Web of Science")</f>
        <v>View Full Record in Web of Science</v>
      </c>
    </row>
    <row r="586" spans="1:72" x14ac:dyDescent="0.15">
      <c r="A586" t="s">
        <v>72</v>
      </c>
      <c r="B586" t="s">
        <v>11609</v>
      </c>
      <c r="C586" t="s">
        <v>74</v>
      </c>
      <c r="D586" t="s">
        <v>74</v>
      </c>
      <c r="E586" t="s">
        <v>74</v>
      </c>
      <c r="F586" t="s">
        <v>11610</v>
      </c>
      <c r="G586" t="s">
        <v>74</v>
      </c>
      <c r="H586" t="s">
        <v>74</v>
      </c>
      <c r="I586" t="s">
        <v>11611</v>
      </c>
      <c r="J586" t="s">
        <v>1960</v>
      </c>
      <c r="K586" t="s">
        <v>74</v>
      </c>
      <c r="L586" t="s">
        <v>74</v>
      </c>
      <c r="M586" t="s">
        <v>78</v>
      </c>
      <c r="N586" t="s">
        <v>79</v>
      </c>
      <c r="O586" t="s">
        <v>74</v>
      </c>
      <c r="P586" t="s">
        <v>74</v>
      </c>
      <c r="Q586" t="s">
        <v>74</v>
      </c>
      <c r="R586" t="s">
        <v>74</v>
      </c>
      <c r="S586" t="s">
        <v>74</v>
      </c>
      <c r="T586" t="s">
        <v>74</v>
      </c>
      <c r="U586" t="s">
        <v>11612</v>
      </c>
      <c r="V586" t="s">
        <v>11613</v>
      </c>
      <c r="W586" t="s">
        <v>11614</v>
      </c>
      <c r="X586" t="s">
        <v>11615</v>
      </c>
      <c r="Y586" t="s">
        <v>11616</v>
      </c>
      <c r="Z586" t="s">
        <v>11617</v>
      </c>
      <c r="AA586" t="s">
        <v>11618</v>
      </c>
      <c r="AB586" t="s">
        <v>11619</v>
      </c>
      <c r="AC586" t="s">
        <v>11620</v>
      </c>
      <c r="AD586" t="s">
        <v>11621</v>
      </c>
      <c r="AE586" t="s">
        <v>11622</v>
      </c>
      <c r="AF586" t="s">
        <v>74</v>
      </c>
      <c r="AG586">
        <v>93</v>
      </c>
      <c r="AH586">
        <v>22</v>
      </c>
      <c r="AI586">
        <v>24</v>
      </c>
      <c r="AJ586">
        <v>3</v>
      </c>
      <c r="AK586">
        <v>29</v>
      </c>
      <c r="AL586" t="s">
        <v>868</v>
      </c>
      <c r="AM586" t="s">
        <v>869</v>
      </c>
      <c r="AN586" t="s">
        <v>870</v>
      </c>
      <c r="AO586" t="s">
        <v>1969</v>
      </c>
      <c r="AP586" t="s">
        <v>1970</v>
      </c>
      <c r="AQ586" t="s">
        <v>74</v>
      </c>
      <c r="AR586" t="s">
        <v>1971</v>
      </c>
      <c r="AS586" t="s">
        <v>1972</v>
      </c>
      <c r="AT586" t="s">
        <v>11605</v>
      </c>
      <c r="AU586">
        <v>2019</v>
      </c>
      <c r="AV586">
        <v>11</v>
      </c>
      <c r="AW586">
        <v>1</v>
      </c>
      <c r="AX586" t="s">
        <v>74</v>
      </c>
      <c r="AY586" t="s">
        <v>74</v>
      </c>
      <c r="AZ586" t="s">
        <v>74</v>
      </c>
      <c r="BA586" t="s">
        <v>74</v>
      </c>
      <c r="BB586">
        <v>221</v>
      </c>
      <c r="BC586">
        <v>240</v>
      </c>
      <c r="BD586" t="s">
        <v>74</v>
      </c>
      <c r="BE586" t="s">
        <v>11623</v>
      </c>
      <c r="BF586" t="str">
        <f>HYPERLINK("http://dx.doi.org/10.5194/essd-11-221-2019","http://dx.doi.org/10.5194/essd-11-221-2019")</f>
        <v>http://dx.doi.org/10.5194/essd-11-221-2019</v>
      </c>
      <c r="BG586" t="s">
        <v>74</v>
      </c>
      <c r="BH586" t="s">
        <v>74</v>
      </c>
      <c r="BI586">
        <v>20</v>
      </c>
      <c r="BJ586" t="s">
        <v>876</v>
      </c>
      <c r="BK586" t="s">
        <v>102</v>
      </c>
      <c r="BL586" t="s">
        <v>877</v>
      </c>
      <c r="BM586" t="s">
        <v>11624</v>
      </c>
      <c r="BN586" t="s">
        <v>74</v>
      </c>
      <c r="BO586" t="s">
        <v>135</v>
      </c>
      <c r="BP586" t="s">
        <v>74</v>
      </c>
      <c r="BQ586" t="s">
        <v>74</v>
      </c>
      <c r="BR586" t="s">
        <v>107</v>
      </c>
      <c r="BS586" t="s">
        <v>11625</v>
      </c>
      <c r="BT586" t="str">
        <f>HYPERLINK("https%3A%2F%2Fwww.webofscience.com%2Fwos%2Fwoscc%2Ffull-record%2FWOS:000459026400001","View Full Record in Web of Science")</f>
        <v>View Full Record in Web of Science</v>
      </c>
    </row>
    <row r="587" spans="1:72" x14ac:dyDescent="0.15">
      <c r="A587" t="s">
        <v>72</v>
      </c>
      <c r="B587" t="s">
        <v>11626</v>
      </c>
      <c r="C587" t="s">
        <v>74</v>
      </c>
      <c r="D587" t="s">
        <v>74</v>
      </c>
      <c r="E587" t="s">
        <v>74</v>
      </c>
      <c r="F587" t="s">
        <v>11627</v>
      </c>
      <c r="G587" t="s">
        <v>74</v>
      </c>
      <c r="H587" t="s">
        <v>74</v>
      </c>
      <c r="I587" t="s">
        <v>11628</v>
      </c>
      <c r="J587" t="s">
        <v>11629</v>
      </c>
      <c r="K587" t="s">
        <v>74</v>
      </c>
      <c r="L587" t="s">
        <v>74</v>
      </c>
      <c r="M587" t="s">
        <v>78</v>
      </c>
      <c r="N587" t="s">
        <v>79</v>
      </c>
      <c r="O587" t="s">
        <v>74</v>
      </c>
      <c r="P587" t="s">
        <v>74</v>
      </c>
      <c r="Q587" t="s">
        <v>74</v>
      </c>
      <c r="R587" t="s">
        <v>74</v>
      </c>
      <c r="S587" t="s">
        <v>74</v>
      </c>
      <c r="T587" t="s">
        <v>11630</v>
      </c>
      <c r="U587" t="s">
        <v>11631</v>
      </c>
      <c r="V587" t="s">
        <v>11632</v>
      </c>
      <c r="W587" t="s">
        <v>11633</v>
      </c>
      <c r="X587" t="s">
        <v>11634</v>
      </c>
      <c r="Y587" t="s">
        <v>11635</v>
      </c>
      <c r="Z587" t="s">
        <v>11636</v>
      </c>
      <c r="AA587" t="s">
        <v>11637</v>
      </c>
      <c r="AB587" t="s">
        <v>11638</v>
      </c>
      <c r="AC587" t="s">
        <v>11639</v>
      </c>
      <c r="AD587" t="s">
        <v>11640</v>
      </c>
      <c r="AE587" t="s">
        <v>11641</v>
      </c>
      <c r="AF587" t="s">
        <v>74</v>
      </c>
      <c r="AG587">
        <v>26</v>
      </c>
      <c r="AH587">
        <v>20</v>
      </c>
      <c r="AI587">
        <v>21</v>
      </c>
      <c r="AJ587">
        <v>1</v>
      </c>
      <c r="AK587">
        <v>14</v>
      </c>
      <c r="AL587" t="s">
        <v>11642</v>
      </c>
      <c r="AM587" t="s">
        <v>11643</v>
      </c>
      <c r="AN587" t="s">
        <v>11644</v>
      </c>
      <c r="AO587" t="s">
        <v>11645</v>
      </c>
      <c r="AP587" t="s">
        <v>11646</v>
      </c>
      <c r="AQ587" t="s">
        <v>74</v>
      </c>
      <c r="AR587" t="s">
        <v>11647</v>
      </c>
      <c r="AS587" t="s">
        <v>11648</v>
      </c>
      <c r="AT587" t="s">
        <v>11605</v>
      </c>
      <c r="AU587">
        <v>2019</v>
      </c>
      <c r="AV587">
        <v>622</v>
      </c>
      <c r="AW587" t="s">
        <v>74</v>
      </c>
      <c r="AX587" t="s">
        <v>74</v>
      </c>
      <c r="AY587" t="s">
        <v>74</v>
      </c>
      <c r="AZ587" t="s">
        <v>74</v>
      </c>
      <c r="BA587" t="s">
        <v>74</v>
      </c>
      <c r="BB587" t="s">
        <v>74</v>
      </c>
      <c r="BC587" t="s">
        <v>74</v>
      </c>
      <c r="BD587" t="s">
        <v>11649</v>
      </c>
      <c r="BE587" t="s">
        <v>11650</v>
      </c>
      <c r="BF587" t="str">
        <f>HYPERLINK("http://dx.doi.org/10.1051/0004-6361/201833957","http://dx.doi.org/10.1051/0004-6361/201833957")</f>
        <v>http://dx.doi.org/10.1051/0004-6361/201833957</v>
      </c>
      <c r="BG587" t="s">
        <v>74</v>
      </c>
      <c r="BH587" t="s">
        <v>74</v>
      </c>
      <c r="BI587">
        <v>9</v>
      </c>
      <c r="BJ587" t="s">
        <v>2579</v>
      </c>
      <c r="BK587" t="s">
        <v>102</v>
      </c>
      <c r="BL587" t="s">
        <v>2579</v>
      </c>
      <c r="BM587" t="s">
        <v>11651</v>
      </c>
      <c r="BN587" t="s">
        <v>74</v>
      </c>
      <c r="BO587" t="s">
        <v>11523</v>
      </c>
      <c r="BP587" t="s">
        <v>74</v>
      </c>
      <c r="BQ587" t="s">
        <v>74</v>
      </c>
      <c r="BR587" t="s">
        <v>107</v>
      </c>
      <c r="BS587" t="s">
        <v>11652</v>
      </c>
      <c r="BT587" t="str">
        <f>HYPERLINK("https%3A%2F%2Fwww.webofscience.com%2Fwos%2Fwoscc%2Ffull-record%2FWOS:000458831900001","View Full Record in Web of Science")</f>
        <v>View Full Record in Web of Science</v>
      </c>
    </row>
    <row r="588" spans="1:72" x14ac:dyDescent="0.15">
      <c r="A588" t="s">
        <v>72</v>
      </c>
      <c r="B588" t="s">
        <v>11653</v>
      </c>
      <c r="C588" t="s">
        <v>74</v>
      </c>
      <c r="D588" t="s">
        <v>74</v>
      </c>
      <c r="E588" t="s">
        <v>74</v>
      </c>
      <c r="F588" t="s">
        <v>11654</v>
      </c>
      <c r="G588" t="s">
        <v>74</v>
      </c>
      <c r="H588" t="s">
        <v>74</v>
      </c>
      <c r="I588" t="s">
        <v>11655</v>
      </c>
      <c r="J588" t="s">
        <v>1125</v>
      </c>
      <c r="K588" t="s">
        <v>74</v>
      </c>
      <c r="L588" t="s">
        <v>74</v>
      </c>
      <c r="M588" t="s">
        <v>78</v>
      </c>
      <c r="N588" t="s">
        <v>79</v>
      </c>
      <c r="O588" t="s">
        <v>74</v>
      </c>
      <c r="P588" t="s">
        <v>74</v>
      </c>
      <c r="Q588" t="s">
        <v>74</v>
      </c>
      <c r="R588" t="s">
        <v>74</v>
      </c>
      <c r="S588" t="s">
        <v>74</v>
      </c>
      <c r="T588" t="s">
        <v>74</v>
      </c>
      <c r="U588" t="s">
        <v>11656</v>
      </c>
      <c r="V588" t="s">
        <v>11657</v>
      </c>
      <c r="W588" t="s">
        <v>11658</v>
      </c>
      <c r="X588" t="s">
        <v>11659</v>
      </c>
      <c r="Y588" t="s">
        <v>11660</v>
      </c>
      <c r="Z588" t="s">
        <v>11661</v>
      </c>
      <c r="AA588" t="s">
        <v>11662</v>
      </c>
      <c r="AB588" t="s">
        <v>11663</v>
      </c>
      <c r="AC588" t="s">
        <v>11664</v>
      </c>
      <c r="AD588" t="s">
        <v>11665</v>
      </c>
      <c r="AE588" t="s">
        <v>11666</v>
      </c>
      <c r="AF588" t="s">
        <v>74</v>
      </c>
      <c r="AG588">
        <v>17</v>
      </c>
      <c r="AH588">
        <v>31</v>
      </c>
      <c r="AI588">
        <v>34</v>
      </c>
      <c r="AJ588">
        <v>0</v>
      </c>
      <c r="AK588">
        <v>19</v>
      </c>
      <c r="AL588" t="s">
        <v>868</v>
      </c>
      <c r="AM588" t="s">
        <v>869</v>
      </c>
      <c r="AN588" t="s">
        <v>870</v>
      </c>
      <c r="AO588" t="s">
        <v>1137</v>
      </c>
      <c r="AP588" t="s">
        <v>1138</v>
      </c>
      <c r="AQ588" t="s">
        <v>74</v>
      </c>
      <c r="AR588" t="s">
        <v>1125</v>
      </c>
      <c r="AS588" t="s">
        <v>1139</v>
      </c>
      <c r="AT588" t="s">
        <v>11605</v>
      </c>
      <c r="AU588">
        <v>2019</v>
      </c>
      <c r="AV588">
        <v>13</v>
      </c>
      <c r="AW588">
        <v>2</v>
      </c>
      <c r="AX588" t="s">
        <v>74</v>
      </c>
      <c r="AY588" t="s">
        <v>74</v>
      </c>
      <c r="AZ588" t="s">
        <v>74</v>
      </c>
      <c r="BA588" t="s">
        <v>74</v>
      </c>
      <c r="BB588">
        <v>579</v>
      </c>
      <c r="BC588">
        <v>590</v>
      </c>
      <c r="BD588" t="s">
        <v>74</v>
      </c>
      <c r="BE588" t="s">
        <v>11667</v>
      </c>
      <c r="BF588" t="str">
        <f>HYPERLINK("http://dx.doi.org/10.5194/tc-13-579-2019","http://dx.doi.org/10.5194/tc-13-579-2019")</f>
        <v>http://dx.doi.org/10.5194/tc-13-579-2019</v>
      </c>
      <c r="BG588" t="s">
        <v>74</v>
      </c>
      <c r="BH588" t="s">
        <v>74</v>
      </c>
      <c r="BI588">
        <v>12</v>
      </c>
      <c r="BJ588" t="s">
        <v>1142</v>
      </c>
      <c r="BK588" t="s">
        <v>102</v>
      </c>
      <c r="BL588" t="s">
        <v>1143</v>
      </c>
      <c r="BM588" t="s">
        <v>11668</v>
      </c>
      <c r="BN588" t="s">
        <v>74</v>
      </c>
      <c r="BO588" t="s">
        <v>2531</v>
      </c>
      <c r="BP588" t="s">
        <v>74</v>
      </c>
      <c r="BQ588" t="s">
        <v>74</v>
      </c>
      <c r="BR588" t="s">
        <v>107</v>
      </c>
      <c r="BS588" t="s">
        <v>11669</v>
      </c>
      <c r="BT588" t="str">
        <f>HYPERLINK("https%3A%2F%2Fwww.webofscience.com%2Fwos%2Fwoscc%2Ffull-record%2FWOS:000459029700002","View Full Record in Web of Science")</f>
        <v>View Full Record in Web of Science</v>
      </c>
    </row>
    <row r="589" spans="1:72" x14ac:dyDescent="0.15">
      <c r="A589" t="s">
        <v>72</v>
      </c>
      <c r="B589" t="s">
        <v>11670</v>
      </c>
      <c r="C589" t="s">
        <v>74</v>
      </c>
      <c r="D589" t="s">
        <v>74</v>
      </c>
      <c r="E589" t="s">
        <v>74</v>
      </c>
      <c r="F589" t="s">
        <v>11671</v>
      </c>
      <c r="G589" t="s">
        <v>74</v>
      </c>
      <c r="H589" t="s">
        <v>74</v>
      </c>
      <c r="I589" t="s">
        <v>11672</v>
      </c>
      <c r="J589" t="s">
        <v>907</v>
      </c>
      <c r="K589" t="s">
        <v>74</v>
      </c>
      <c r="L589" t="s">
        <v>74</v>
      </c>
      <c r="M589" t="s">
        <v>78</v>
      </c>
      <c r="N589" t="s">
        <v>79</v>
      </c>
      <c r="O589" t="s">
        <v>74</v>
      </c>
      <c r="P589" t="s">
        <v>74</v>
      </c>
      <c r="Q589" t="s">
        <v>74</v>
      </c>
      <c r="R589" t="s">
        <v>74</v>
      </c>
      <c r="S589" t="s">
        <v>74</v>
      </c>
      <c r="T589" t="s">
        <v>74</v>
      </c>
      <c r="U589" t="s">
        <v>11673</v>
      </c>
      <c r="V589" t="s">
        <v>11674</v>
      </c>
      <c r="W589" t="s">
        <v>11675</v>
      </c>
      <c r="X589" t="s">
        <v>11676</v>
      </c>
      <c r="Y589" t="s">
        <v>11677</v>
      </c>
      <c r="Z589" t="s">
        <v>11678</v>
      </c>
      <c r="AA589" t="s">
        <v>11679</v>
      </c>
      <c r="AB589" t="s">
        <v>11680</v>
      </c>
      <c r="AC589" t="s">
        <v>11681</v>
      </c>
      <c r="AD589" t="s">
        <v>11682</v>
      </c>
      <c r="AE589" t="s">
        <v>11683</v>
      </c>
      <c r="AF589" t="s">
        <v>74</v>
      </c>
      <c r="AG589">
        <v>35</v>
      </c>
      <c r="AH589">
        <v>22</v>
      </c>
      <c r="AI589">
        <v>23</v>
      </c>
      <c r="AJ589">
        <v>1</v>
      </c>
      <c r="AK589">
        <v>13</v>
      </c>
      <c r="AL589" t="s">
        <v>125</v>
      </c>
      <c r="AM589" t="s">
        <v>126</v>
      </c>
      <c r="AN589" t="s">
        <v>127</v>
      </c>
      <c r="AO589" t="s">
        <v>916</v>
      </c>
      <c r="AP589" t="s">
        <v>917</v>
      </c>
      <c r="AQ589" t="s">
        <v>74</v>
      </c>
      <c r="AR589" t="s">
        <v>918</v>
      </c>
      <c r="AS589" t="s">
        <v>919</v>
      </c>
      <c r="AT589" t="s">
        <v>11684</v>
      </c>
      <c r="AU589">
        <v>2019</v>
      </c>
      <c r="AV589">
        <v>46</v>
      </c>
      <c r="AW589">
        <v>3</v>
      </c>
      <c r="AX589" t="s">
        <v>74</v>
      </c>
      <c r="AY589" t="s">
        <v>74</v>
      </c>
      <c r="AZ589" t="s">
        <v>74</v>
      </c>
      <c r="BA589" t="s">
        <v>74</v>
      </c>
      <c r="BB589">
        <v>1467</v>
      </c>
      <c r="BC589">
        <v>1475</v>
      </c>
      <c r="BD589" t="s">
        <v>74</v>
      </c>
      <c r="BE589" t="s">
        <v>11685</v>
      </c>
      <c r="BF589" t="str">
        <f>HYPERLINK("http://dx.doi.org/10.1029/2018GL081229","http://dx.doi.org/10.1029/2018GL081229")</f>
        <v>http://dx.doi.org/10.1029/2018GL081229</v>
      </c>
      <c r="BG589" t="s">
        <v>74</v>
      </c>
      <c r="BH589" t="s">
        <v>74</v>
      </c>
      <c r="BI589">
        <v>9</v>
      </c>
      <c r="BJ589" t="s">
        <v>922</v>
      </c>
      <c r="BK589" t="s">
        <v>102</v>
      </c>
      <c r="BL589" t="s">
        <v>923</v>
      </c>
      <c r="BM589" t="s">
        <v>11686</v>
      </c>
      <c r="BN589" t="s">
        <v>74</v>
      </c>
      <c r="BO589" t="s">
        <v>7156</v>
      </c>
      <c r="BP589" t="s">
        <v>74</v>
      </c>
      <c r="BQ589" t="s">
        <v>74</v>
      </c>
      <c r="BR589" t="s">
        <v>107</v>
      </c>
      <c r="BS589" t="s">
        <v>11687</v>
      </c>
      <c r="BT589" t="str">
        <f>HYPERLINK("https%3A%2F%2Fwww.webofscience.com%2Fwos%2Fwoscc%2Ffull-record%2FWOS:000462072800039","View Full Record in Web of Science")</f>
        <v>View Full Record in Web of Science</v>
      </c>
    </row>
    <row r="590" spans="1:72" x14ac:dyDescent="0.15">
      <c r="A590" t="s">
        <v>72</v>
      </c>
      <c r="B590" t="s">
        <v>11688</v>
      </c>
      <c r="C590" t="s">
        <v>74</v>
      </c>
      <c r="D590" t="s">
        <v>74</v>
      </c>
      <c r="E590" t="s">
        <v>74</v>
      </c>
      <c r="F590" t="s">
        <v>11689</v>
      </c>
      <c r="G590" t="s">
        <v>74</v>
      </c>
      <c r="H590" t="s">
        <v>74</v>
      </c>
      <c r="I590" t="s">
        <v>11690</v>
      </c>
      <c r="J590" t="s">
        <v>907</v>
      </c>
      <c r="K590" t="s">
        <v>74</v>
      </c>
      <c r="L590" t="s">
        <v>74</v>
      </c>
      <c r="M590" t="s">
        <v>78</v>
      </c>
      <c r="N590" t="s">
        <v>79</v>
      </c>
      <c r="O590" t="s">
        <v>74</v>
      </c>
      <c r="P590" t="s">
        <v>74</v>
      </c>
      <c r="Q590" t="s">
        <v>74</v>
      </c>
      <c r="R590" t="s">
        <v>74</v>
      </c>
      <c r="S590" t="s">
        <v>74</v>
      </c>
      <c r="T590" t="s">
        <v>74</v>
      </c>
      <c r="U590" t="s">
        <v>11691</v>
      </c>
      <c r="V590" t="s">
        <v>11692</v>
      </c>
      <c r="W590" t="s">
        <v>11693</v>
      </c>
      <c r="X590" t="s">
        <v>11694</v>
      </c>
      <c r="Y590" t="s">
        <v>11695</v>
      </c>
      <c r="Z590" t="s">
        <v>11696</v>
      </c>
      <c r="AA590" t="s">
        <v>11697</v>
      </c>
      <c r="AB590" t="s">
        <v>11698</v>
      </c>
      <c r="AC590" t="s">
        <v>11699</v>
      </c>
      <c r="AD590" t="s">
        <v>11700</v>
      </c>
      <c r="AE590" t="s">
        <v>11701</v>
      </c>
      <c r="AF590" t="s">
        <v>74</v>
      </c>
      <c r="AG590">
        <v>34</v>
      </c>
      <c r="AH590">
        <v>27</v>
      </c>
      <c r="AI590">
        <v>28</v>
      </c>
      <c r="AJ590">
        <v>1</v>
      </c>
      <c r="AK590">
        <v>20</v>
      </c>
      <c r="AL590" t="s">
        <v>125</v>
      </c>
      <c r="AM590" t="s">
        <v>126</v>
      </c>
      <c r="AN590" t="s">
        <v>127</v>
      </c>
      <c r="AO590" t="s">
        <v>916</v>
      </c>
      <c r="AP590" t="s">
        <v>917</v>
      </c>
      <c r="AQ590" t="s">
        <v>74</v>
      </c>
      <c r="AR590" t="s">
        <v>918</v>
      </c>
      <c r="AS590" t="s">
        <v>919</v>
      </c>
      <c r="AT590" t="s">
        <v>11684</v>
      </c>
      <c r="AU590">
        <v>2019</v>
      </c>
      <c r="AV590">
        <v>46</v>
      </c>
      <c r="AW590">
        <v>3</v>
      </c>
      <c r="AX590" t="s">
        <v>74</v>
      </c>
      <c r="AY590" t="s">
        <v>74</v>
      </c>
      <c r="AZ590" t="s">
        <v>74</v>
      </c>
      <c r="BA590" t="s">
        <v>74</v>
      </c>
      <c r="BB590">
        <v>1602</v>
      </c>
      <c r="BC590">
        <v>1611</v>
      </c>
      <c r="BD590" t="s">
        <v>74</v>
      </c>
      <c r="BE590" t="s">
        <v>11702</v>
      </c>
      <c r="BF590" t="str">
        <f>HYPERLINK("http://dx.doi.org/10.1029/2018GL081018","http://dx.doi.org/10.1029/2018GL081018")</f>
        <v>http://dx.doi.org/10.1029/2018GL081018</v>
      </c>
      <c r="BG590" t="s">
        <v>74</v>
      </c>
      <c r="BH590" t="s">
        <v>74</v>
      </c>
      <c r="BI590">
        <v>10</v>
      </c>
      <c r="BJ590" t="s">
        <v>922</v>
      </c>
      <c r="BK590" t="s">
        <v>102</v>
      </c>
      <c r="BL590" t="s">
        <v>923</v>
      </c>
      <c r="BM590" t="s">
        <v>11686</v>
      </c>
      <c r="BN590" t="s">
        <v>74</v>
      </c>
      <c r="BO590" t="s">
        <v>8519</v>
      </c>
      <c r="BP590" t="s">
        <v>74</v>
      </c>
      <c r="BQ590" t="s">
        <v>74</v>
      </c>
      <c r="BR590" t="s">
        <v>107</v>
      </c>
      <c r="BS590" t="s">
        <v>11703</v>
      </c>
      <c r="BT590" t="str">
        <f>HYPERLINK("https%3A%2F%2Fwww.webofscience.com%2Fwos%2Fwoscc%2Ffull-record%2FWOS:000462072800054","View Full Record in Web of Science")</f>
        <v>View Full Record in Web of Science</v>
      </c>
    </row>
    <row r="591" spans="1:72" x14ac:dyDescent="0.15">
      <c r="A591" t="s">
        <v>72</v>
      </c>
      <c r="B591" t="s">
        <v>11704</v>
      </c>
      <c r="C591" t="s">
        <v>74</v>
      </c>
      <c r="D591" t="s">
        <v>74</v>
      </c>
      <c r="E591" t="s">
        <v>74</v>
      </c>
      <c r="F591" t="s">
        <v>11705</v>
      </c>
      <c r="G591" t="s">
        <v>74</v>
      </c>
      <c r="H591" t="s">
        <v>74</v>
      </c>
      <c r="I591" t="s">
        <v>11706</v>
      </c>
      <c r="J591" t="s">
        <v>1019</v>
      </c>
      <c r="K591" t="s">
        <v>74</v>
      </c>
      <c r="L591" t="s">
        <v>74</v>
      </c>
      <c r="M591" t="s">
        <v>78</v>
      </c>
      <c r="N591" t="s">
        <v>79</v>
      </c>
      <c r="O591" t="s">
        <v>74</v>
      </c>
      <c r="P591" t="s">
        <v>74</v>
      </c>
      <c r="Q591" t="s">
        <v>74</v>
      </c>
      <c r="R591" t="s">
        <v>74</v>
      </c>
      <c r="S591" t="s">
        <v>74</v>
      </c>
      <c r="T591" t="s">
        <v>11707</v>
      </c>
      <c r="U591" t="s">
        <v>11708</v>
      </c>
      <c r="V591" t="s">
        <v>11709</v>
      </c>
      <c r="W591" t="s">
        <v>11710</v>
      </c>
      <c r="X591" t="s">
        <v>11711</v>
      </c>
      <c r="Y591" t="s">
        <v>11712</v>
      </c>
      <c r="Z591" t="s">
        <v>11713</v>
      </c>
      <c r="AA591" t="s">
        <v>11714</v>
      </c>
      <c r="AB591" t="s">
        <v>3798</v>
      </c>
      <c r="AC591" t="s">
        <v>11715</v>
      </c>
      <c r="AD591" t="s">
        <v>11716</v>
      </c>
      <c r="AE591" t="s">
        <v>11717</v>
      </c>
      <c r="AF591" t="s">
        <v>74</v>
      </c>
      <c r="AG591">
        <v>60</v>
      </c>
      <c r="AH591">
        <v>21</v>
      </c>
      <c r="AI591">
        <v>22</v>
      </c>
      <c r="AJ591">
        <v>5</v>
      </c>
      <c r="AK591">
        <v>68</v>
      </c>
      <c r="AL591" t="s">
        <v>125</v>
      </c>
      <c r="AM591" t="s">
        <v>126</v>
      </c>
      <c r="AN591" t="s">
        <v>127</v>
      </c>
      <c r="AO591" t="s">
        <v>1031</v>
      </c>
      <c r="AP591" t="s">
        <v>1032</v>
      </c>
      <c r="AQ591" t="s">
        <v>74</v>
      </c>
      <c r="AR591" t="s">
        <v>1033</v>
      </c>
      <c r="AS591" t="s">
        <v>1034</v>
      </c>
      <c r="AT591" t="s">
        <v>11684</v>
      </c>
      <c r="AU591">
        <v>2019</v>
      </c>
      <c r="AV591">
        <v>124</v>
      </c>
      <c r="AW591">
        <v>3</v>
      </c>
      <c r="AX591" t="s">
        <v>74</v>
      </c>
      <c r="AY591" t="s">
        <v>74</v>
      </c>
      <c r="AZ591" t="s">
        <v>74</v>
      </c>
      <c r="BA591" t="s">
        <v>74</v>
      </c>
      <c r="BB591">
        <v>1307</v>
      </c>
      <c r="BC591">
        <v>1321</v>
      </c>
      <c r="BD591" t="s">
        <v>74</v>
      </c>
      <c r="BE591" t="s">
        <v>11718</v>
      </c>
      <c r="BF591" t="str">
        <f>HYPERLINK("http://dx.doi.org/10.1029/2018JD029239","http://dx.doi.org/10.1029/2018JD029239")</f>
        <v>http://dx.doi.org/10.1029/2018JD029239</v>
      </c>
      <c r="BG591" t="s">
        <v>74</v>
      </c>
      <c r="BH591" t="s">
        <v>74</v>
      </c>
      <c r="BI591">
        <v>15</v>
      </c>
      <c r="BJ591" t="s">
        <v>133</v>
      </c>
      <c r="BK591" t="s">
        <v>102</v>
      </c>
      <c r="BL591" t="s">
        <v>133</v>
      </c>
      <c r="BM591" t="s">
        <v>11719</v>
      </c>
      <c r="BN591" t="s">
        <v>74</v>
      </c>
      <c r="BO591" t="s">
        <v>74</v>
      </c>
      <c r="BP591" t="s">
        <v>74</v>
      </c>
      <c r="BQ591" t="s">
        <v>74</v>
      </c>
      <c r="BR591" t="s">
        <v>107</v>
      </c>
      <c r="BS591" t="s">
        <v>11720</v>
      </c>
      <c r="BT591" t="str">
        <f>HYPERLINK("https%3A%2F%2Fwww.webofscience.com%2Fwos%2Fwoscc%2Ffull-record%2FWOS:000459377000009","View Full Record in Web of Science")</f>
        <v>View Full Record in Web of Science</v>
      </c>
    </row>
    <row r="592" spans="1:72" x14ac:dyDescent="0.15">
      <c r="A592" t="s">
        <v>72</v>
      </c>
      <c r="B592" t="s">
        <v>11721</v>
      </c>
      <c r="C592" t="s">
        <v>74</v>
      </c>
      <c r="D592" t="s">
        <v>74</v>
      </c>
      <c r="E592" t="s">
        <v>74</v>
      </c>
      <c r="F592" t="s">
        <v>11722</v>
      </c>
      <c r="G592" t="s">
        <v>74</v>
      </c>
      <c r="H592" t="s">
        <v>74</v>
      </c>
      <c r="I592" t="s">
        <v>11723</v>
      </c>
      <c r="J592" t="s">
        <v>1019</v>
      </c>
      <c r="K592" t="s">
        <v>74</v>
      </c>
      <c r="L592" t="s">
        <v>74</v>
      </c>
      <c r="M592" t="s">
        <v>78</v>
      </c>
      <c r="N592" t="s">
        <v>79</v>
      </c>
      <c r="O592" t="s">
        <v>74</v>
      </c>
      <c r="P592" t="s">
        <v>74</v>
      </c>
      <c r="Q592" t="s">
        <v>74</v>
      </c>
      <c r="R592" t="s">
        <v>74</v>
      </c>
      <c r="S592" t="s">
        <v>74</v>
      </c>
      <c r="T592" t="s">
        <v>11724</v>
      </c>
      <c r="U592" t="s">
        <v>11725</v>
      </c>
      <c r="V592" t="s">
        <v>11726</v>
      </c>
      <c r="W592" t="s">
        <v>11727</v>
      </c>
      <c r="X592" t="s">
        <v>11728</v>
      </c>
      <c r="Y592" t="s">
        <v>11729</v>
      </c>
      <c r="Z592" t="s">
        <v>11730</v>
      </c>
      <c r="AA592" t="s">
        <v>11731</v>
      </c>
      <c r="AB592" t="s">
        <v>11732</v>
      </c>
      <c r="AC592" t="s">
        <v>11733</v>
      </c>
      <c r="AD592" t="s">
        <v>11734</v>
      </c>
      <c r="AE592" t="s">
        <v>11735</v>
      </c>
      <c r="AF592" t="s">
        <v>74</v>
      </c>
      <c r="AG592">
        <v>125</v>
      </c>
      <c r="AH592">
        <v>20</v>
      </c>
      <c r="AI592">
        <v>21</v>
      </c>
      <c r="AJ592">
        <v>0</v>
      </c>
      <c r="AK592">
        <v>14</v>
      </c>
      <c r="AL592" t="s">
        <v>125</v>
      </c>
      <c r="AM592" t="s">
        <v>126</v>
      </c>
      <c r="AN592" t="s">
        <v>127</v>
      </c>
      <c r="AO592" t="s">
        <v>1031</v>
      </c>
      <c r="AP592" t="s">
        <v>1032</v>
      </c>
      <c r="AQ592" t="s">
        <v>74</v>
      </c>
      <c r="AR592" t="s">
        <v>1033</v>
      </c>
      <c r="AS592" t="s">
        <v>1034</v>
      </c>
      <c r="AT592" t="s">
        <v>11684</v>
      </c>
      <c r="AU592">
        <v>2019</v>
      </c>
      <c r="AV592">
        <v>124</v>
      </c>
      <c r="AW592">
        <v>3</v>
      </c>
      <c r="AX592" t="s">
        <v>74</v>
      </c>
      <c r="AY592" t="s">
        <v>74</v>
      </c>
      <c r="AZ592" t="s">
        <v>74</v>
      </c>
      <c r="BA592" t="s">
        <v>74</v>
      </c>
      <c r="BB592">
        <v>1405</v>
      </c>
      <c r="BC592">
        <v>1427</v>
      </c>
      <c r="BD592" t="s">
        <v>74</v>
      </c>
      <c r="BE592" t="s">
        <v>11736</v>
      </c>
      <c r="BF592" t="str">
        <f>HYPERLINK("http://dx.doi.org/10.1029/2018JD028862","http://dx.doi.org/10.1029/2018JD028862")</f>
        <v>http://dx.doi.org/10.1029/2018JD028862</v>
      </c>
      <c r="BG592" t="s">
        <v>74</v>
      </c>
      <c r="BH592" t="s">
        <v>74</v>
      </c>
      <c r="BI592">
        <v>23</v>
      </c>
      <c r="BJ592" t="s">
        <v>133</v>
      </c>
      <c r="BK592" t="s">
        <v>102</v>
      </c>
      <c r="BL592" t="s">
        <v>133</v>
      </c>
      <c r="BM592" t="s">
        <v>11719</v>
      </c>
      <c r="BN592" t="s">
        <v>74</v>
      </c>
      <c r="BO592" t="s">
        <v>8519</v>
      </c>
      <c r="BP592" t="s">
        <v>74</v>
      </c>
      <c r="BQ592" t="s">
        <v>74</v>
      </c>
      <c r="BR592" t="s">
        <v>107</v>
      </c>
      <c r="BS592" t="s">
        <v>11737</v>
      </c>
      <c r="BT592" t="str">
        <f>HYPERLINK("https%3A%2F%2Fwww.webofscience.com%2Fwos%2Fwoscc%2Ffull-record%2FWOS:000459377000015","View Full Record in Web of Science")</f>
        <v>View Full Record in Web of Science</v>
      </c>
    </row>
    <row r="593" spans="1:72" x14ac:dyDescent="0.15">
      <c r="A593" t="s">
        <v>72</v>
      </c>
      <c r="B593" t="s">
        <v>11738</v>
      </c>
      <c r="C593" t="s">
        <v>74</v>
      </c>
      <c r="D593" t="s">
        <v>74</v>
      </c>
      <c r="E593" t="s">
        <v>74</v>
      </c>
      <c r="F593" t="s">
        <v>11739</v>
      </c>
      <c r="G593" t="s">
        <v>74</v>
      </c>
      <c r="H593" t="s">
        <v>74</v>
      </c>
      <c r="I593" t="s">
        <v>11740</v>
      </c>
      <c r="J593" t="s">
        <v>1019</v>
      </c>
      <c r="K593" t="s">
        <v>74</v>
      </c>
      <c r="L593" t="s">
        <v>74</v>
      </c>
      <c r="M593" t="s">
        <v>78</v>
      </c>
      <c r="N593" t="s">
        <v>79</v>
      </c>
      <c r="O593" t="s">
        <v>74</v>
      </c>
      <c r="P593" t="s">
        <v>74</v>
      </c>
      <c r="Q593" t="s">
        <v>74</v>
      </c>
      <c r="R593" t="s">
        <v>74</v>
      </c>
      <c r="S593" t="s">
        <v>74</v>
      </c>
      <c r="T593" t="s">
        <v>11741</v>
      </c>
      <c r="U593" t="s">
        <v>11742</v>
      </c>
      <c r="V593" t="s">
        <v>11743</v>
      </c>
      <c r="W593" t="s">
        <v>11744</v>
      </c>
      <c r="X593" t="s">
        <v>11745</v>
      </c>
      <c r="Y593" t="s">
        <v>11746</v>
      </c>
      <c r="Z593" t="s">
        <v>11747</v>
      </c>
      <c r="AA593" t="s">
        <v>11748</v>
      </c>
      <c r="AB593" t="s">
        <v>11749</v>
      </c>
      <c r="AC593" t="s">
        <v>11750</v>
      </c>
      <c r="AD593" t="s">
        <v>11751</v>
      </c>
      <c r="AE593" t="s">
        <v>11752</v>
      </c>
      <c r="AF593" t="s">
        <v>74</v>
      </c>
      <c r="AG593">
        <v>96</v>
      </c>
      <c r="AH593">
        <v>18</v>
      </c>
      <c r="AI593">
        <v>19</v>
      </c>
      <c r="AJ593">
        <v>0</v>
      </c>
      <c r="AK593">
        <v>13</v>
      </c>
      <c r="AL593" t="s">
        <v>125</v>
      </c>
      <c r="AM593" t="s">
        <v>126</v>
      </c>
      <c r="AN593" t="s">
        <v>127</v>
      </c>
      <c r="AO593" t="s">
        <v>1031</v>
      </c>
      <c r="AP593" t="s">
        <v>1032</v>
      </c>
      <c r="AQ593" t="s">
        <v>74</v>
      </c>
      <c r="AR593" t="s">
        <v>1033</v>
      </c>
      <c r="AS593" t="s">
        <v>1034</v>
      </c>
      <c r="AT593" t="s">
        <v>11684</v>
      </c>
      <c r="AU593">
        <v>2019</v>
      </c>
      <c r="AV593">
        <v>124</v>
      </c>
      <c r="AW593">
        <v>3</v>
      </c>
      <c r="AX593" t="s">
        <v>74</v>
      </c>
      <c r="AY593" t="s">
        <v>74</v>
      </c>
      <c r="AZ593" t="s">
        <v>74</v>
      </c>
      <c r="BA593" t="s">
        <v>74</v>
      </c>
      <c r="BB593">
        <v>1697</v>
      </c>
      <c r="BC593">
        <v>1719</v>
      </c>
      <c r="BD593" t="s">
        <v>74</v>
      </c>
      <c r="BE593" t="s">
        <v>11753</v>
      </c>
      <c r="BF593" t="str">
        <f>HYPERLINK("http://dx.doi.org/10.1029/2018JD029471","http://dx.doi.org/10.1029/2018JD029471")</f>
        <v>http://dx.doi.org/10.1029/2018JD029471</v>
      </c>
      <c r="BG593" t="s">
        <v>74</v>
      </c>
      <c r="BH593" t="s">
        <v>74</v>
      </c>
      <c r="BI593">
        <v>23</v>
      </c>
      <c r="BJ593" t="s">
        <v>133</v>
      </c>
      <c r="BK593" t="s">
        <v>102</v>
      </c>
      <c r="BL593" t="s">
        <v>133</v>
      </c>
      <c r="BM593" t="s">
        <v>11719</v>
      </c>
      <c r="BN593" t="s">
        <v>74</v>
      </c>
      <c r="BO593" t="s">
        <v>2764</v>
      </c>
      <c r="BP593" t="s">
        <v>74</v>
      </c>
      <c r="BQ593" t="s">
        <v>74</v>
      </c>
      <c r="BR593" t="s">
        <v>107</v>
      </c>
      <c r="BS593" t="s">
        <v>11754</v>
      </c>
      <c r="BT593" t="str">
        <f>HYPERLINK("https%3A%2F%2Fwww.webofscience.com%2Fwos%2Fwoscc%2Ffull-record%2FWOS:000459377000030","View Full Record in Web of Science")</f>
        <v>View Full Record in Web of Science</v>
      </c>
    </row>
    <row r="594" spans="1:72" x14ac:dyDescent="0.15">
      <c r="A594" t="s">
        <v>72</v>
      </c>
      <c r="B594" t="s">
        <v>11755</v>
      </c>
      <c r="C594" t="s">
        <v>74</v>
      </c>
      <c r="D594" t="s">
        <v>74</v>
      </c>
      <c r="E594" t="s">
        <v>74</v>
      </c>
      <c r="F594" t="s">
        <v>11756</v>
      </c>
      <c r="G594" t="s">
        <v>74</v>
      </c>
      <c r="H594" t="s">
        <v>74</v>
      </c>
      <c r="I594" t="s">
        <v>11757</v>
      </c>
      <c r="J594" t="s">
        <v>907</v>
      </c>
      <c r="K594" t="s">
        <v>74</v>
      </c>
      <c r="L594" t="s">
        <v>74</v>
      </c>
      <c r="M594" t="s">
        <v>78</v>
      </c>
      <c r="N594" t="s">
        <v>79</v>
      </c>
      <c r="O594" t="s">
        <v>74</v>
      </c>
      <c r="P594" t="s">
        <v>74</v>
      </c>
      <c r="Q594" t="s">
        <v>74</v>
      </c>
      <c r="R594" t="s">
        <v>74</v>
      </c>
      <c r="S594" t="s">
        <v>74</v>
      </c>
      <c r="T594" t="s">
        <v>74</v>
      </c>
      <c r="U594" t="s">
        <v>11758</v>
      </c>
      <c r="V594" t="s">
        <v>11759</v>
      </c>
      <c r="W594" t="s">
        <v>11760</v>
      </c>
      <c r="X594" t="s">
        <v>11761</v>
      </c>
      <c r="Y594" t="s">
        <v>11762</v>
      </c>
      <c r="Z594" t="s">
        <v>11763</v>
      </c>
      <c r="AA594" t="s">
        <v>11764</v>
      </c>
      <c r="AB594" t="s">
        <v>11765</v>
      </c>
      <c r="AC594" t="s">
        <v>11766</v>
      </c>
      <c r="AD594" t="s">
        <v>1948</v>
      </c>
      <c r="AE594" t="s">
        <v>11767</v>
      </c>
      <c r="AF594" t="s">
        <v>74</v>
      </c>
      <c r="AG594">
        <v>113</v>
      </c>
      <c r="AH594">
        <v>22</v>
      </c>
      <c r="AI594">
        <v>25</v>
      </c>
      <c r="AJ594">
        <v>3</v>
      </c>
      <c r="AK594">
        <v>18</v>
      </c>
      <c r="AL594" t="s">
        <v>125</v>
      </c>
      <c r="AM594" t="s">
        <v>126</v>
      </c>
      <c r="AN594" t="s">
        <v>127</v>
      </c>
      <c r="AO594" t="s">
        <v>916</v>
      </c>
      <c r="AP594" t="s">
        <v>917</v>
      </c>
      <c r="AQ594" t="s">
        <v>74</v>
      </c>
      <c r="AR594" t="s">
        <v>918</v>
      </c>
      <c r="AS594" t="s">
        <v>919</v>
      </c>
      <c r="AT594" t="s">
        <v>11684</v>
      </c>
      <c r="AU594">
        <v>2019</v>
      </c>
      <c r="AV594">
        <v>46</v>
      </c>
      <c r="AW594">
        <v>3</v>
      </c>
      <c r="AX594" t="s">
        <v>74</v>
      </c>
      <c r="AY594" t="s">
        <v>74</v>
      </c>
      <c r="AZ594" t="s">
        <v>74</v>
      </c>
      <c r="BA594" t="s">
        <v>74</v>
      </c>
      <c r="BB594">
        <v>1709</v>
      </c>
      <c r="BC594">
        <v>1720</v>
      </c>
      <c r="BD594" t="s">
        <v>74</v>
      </c>
      <c r="BE594" t="s">
        <v>11768</v>
      </c>
      <c r="BF594" t="str">
        <f>HYPERLINK("http://dx.doi.org/10.1029/2018GL080832","http://dx.doi.org/10.1029/2018GL080832")</f>
        <v>http://dx.doi.org/10.1029/2018GL080832</v>
      </c>
      <c r="BG594" t="s">
        <v>74</v>
      </c>
      <c r="BH594" t="s">
        <v>74</v>
      </c>
      <c r="BI594">
        <v>12</v>
      </c>
      <c r="BJ594" t="s">
        <v>922</v>
      </c>
      <c r="BK594" t="s">
        <v>102</v>
      </c>
      <c r="BL594" t="s">
        <v>923</v>
      </c>
      <c r="BM594" t="s">
        <v>11686</v>
      </c>
      <c r="BN594" t="s">
        <v>74</v>
      </c>
      <c r="BO594" t="s">
        <v>223</v>
      </c>
      <c r="BP594" t="s">
        <v>74</v>
      </c>
      <c r="BQ594" t="s">
        <v>74</v>
      </c>
      <c r="BR594" t="s">
        <v>107</v>
      </c>
      <c r="BS594" t="s">
        <v>11769</v>
      </c>
      <c r="BT594" t="str">
        <f>HYPERLINK("https%3A%2F%2Fwww.webofscience.com%2Fwos%2Fwoscc%2Ffull-record%2FWOS:000462072800065","View Full Record in Web of Science")</f>
        <v>View Full Record in Web of Science</v>
      </c>
    </row>
    <row r="595" spans="1:72" x14ac:dyDescent="0.15">
      <c r="A595" t="s">
        <v>72</v>
      </c>
      <c r="B595" t="s">
        <v>11770</v>
      </c>
      <c r="C595" t="s">
        <v>74</v>
      </c>
      <c r="D595" t="s">
        <v>74</v>
      </c>
      <c r="E595" t="s">
        <v>74</v>
      </c>
      <c r="F595" t="s">
        <v>11771</v>
      </c>
      <c r="G595" t="s">
        <v>74</v>
      </c>
      <c r="H595" t="s">
        <v>74</v>
      </c>
      <c r="I595" t="s">
        <v>11772</v>
      </c>
      <c r="J595" t="s">
        <v>1019</v>
      </c>
      <c r="K595" t="s">
        <v>74</v>
      </c>
      <c r="L595" t="s">
        <v>74</v>
      </c>
      <c r="M595" t="s">
        <v>78</v>
      </c>
      <c r="N595" t="s">
        <v>168</v>
      </c>
      <c r="O595" t="s">
        <v>74</v>
      </c>
      <c r="P595" t="s">
        <v>74</v>
      </c>
      <c r="Q595" t="s">
        <v>74</v>
      </c>
      <c r="R595" t="s">
        <v>74</v>
      </c>
      <c r="S595" t="s">
        <v>74</v>
      </c>
      <c r="T595" t="s">
        <v>11773</v>
      </c>
      <c r="U595" t="s">
        <v>11774</v>
      </c>
      <c r="V595" t="s">
        <v>74</v>
      </c>
      <c r="W595" t="s">
        <v>11775</v>
      </c>
      <c r="X595" t="s">
        <v>933</v>
      </c>
      <c r="Y595" t="s">
        <v>11776</v>
      </c>
      <c r="Z595" t="s">
        <v>11777</v>
      </c>
      <c r="AA595" t="s">
        <v>74</v>
      </c>
      <c r="AB595" t="s">
        <v>74</v>
      </c>
      <c r="AC595" t="s">
        <v>11778</v>
      </c>
      <c r="AD595" t="s">
        <v>3239</v>
      </c>
      <c r="AE595" t="s">
        <v>74</v>
      </c>
      <c r="AF595" t="s">
        <v>74</v>
      </c>
      <c r="AG595">
        <v>14</v>
      </c>
      <c r="AH595">
        <v>7</v>
      </c>
      <c r="AI595">
        <v>7</v>
      </c>
      <c r="AJ595">
        <v>0</v>
      </c>
      <c r="AK595">
        <v>6</v>
      </c>
      <c r="AL595" t="s">
        <v>125</v>
      </c>
      <c r="AM595" t="s">
        <v>126</v>
      </c>
      <c r="AN595" t="s">
        <v>127</v>
      </c>
      <c r="AO595" t="s">
        <v>1031</v>
      </c>
      <c r="AP595" t="s">
        <v>1032</v>
      </c>
      <c r="AQ595" t="s">
        <v>74</v>
      </c>
      <c r="AR595" t="s">
        <v>1033</v>
      </c>
      <c r="AS595" t="s">
        <v>1034</v>
      </c>
      <c r="AT595" t="s">
        <v>11684</v>
      </c>
      <c r="AU595">
        <v>2019</v>
      </c>
      <c r="AV595">
        <v>124</v>
      </c>
      <c r="AW595">
        <v>3</v>
      </c>
      <c r="AX595" t="s">
        <v>74</v>
      </c>
      <c r="AY595" t="s">
        <v>74</v>
      </c>
      <c r="AZ595" t="s">
        <v>74</v>
      </c>
      <c r="BA595" t="s">
        <v>74</v>
      </c>
      <c r="BB595">
        <v>1198</v>
      </c>
      <c r="BC595">
        <v>1199</v>
      </c>
      <c r="BD595" t="s">
        <v>74</v>
      </c>
      <c r="BE595" t="s">
        <v>11779</v>
      </c>
      <c r="BF595" t="str">
        <f>HYPERLINK("http://dx.doi.org/10.1029/2019JD030247","http://dx.doi.org/10.1029/2019JD030247")</f>
        <v>http://dx.doi.org/10.1029/2019JD030247</v>
      </c>
      <c r="BG595" t="s">
        <v>74</v>
      </c>
      <c r="BH595" t="s">
        <v>74</v>
      </c>
      <c r="BI595">
        <v>2</v>
      </c>
      <c r="BJ595" t="s">
        <v>133</v>
      </c>
      <c r="BK595" t="s">
        <v>102</v>
      </c>
      <c r="BL595" t="s">
        <v>133</v>
      </c>
      <c r="BM595" t="s">
        <v>11719</v>
      </c>
      <c r="BN595" t="s">
        <v>74</v>
      </c>
      <c r="BO595" t="s">
        <v>3785</v>
      </c>
      <c r="BP595" t="s">
        <v>74</v>
      </c>
      <c r="BQ595" t="s">
        <v>74</v>
      </c>
      <c r="BR595" t="s">
        <v>107</v>
      </c>
      <c r="BS595" t="s">
        <v>11780</v>
      </c>
      <c r="BT595" t="str">
        <f>HYPERLINK("https%3A%2F%2Fwww.webofscience.com%2Fwos%2Fwoscc%2Ffull-record%2FWOS:000459377000001","View Full Record in Web of Science")</f>
        <v>View Full Record in Web of Science</v>
      </c>
    </row>
    <row r="596" spans="1:72" x14ac:dyDescent="0.15">
      <c r="A596" t="s">
        <v>72</v>
      </c>
      <c r="B596" t="s">
        <v>11781</v>
      </c>
      <c r="C596" t="s">
        <v>74</v>
      </c>
      <c r="D596" t="s">
        <v>74</v>
      </c>
      <c r="E596" t="s">
        <v>74</v>
      </c>
      <c r="F596" t="s">
        <v>11782</v>
      </c>
      <c r="G596" t="s">
        <v>74</v>
      </c>
      <c r="H596" t="s">
        <v>74</v>
      </c>
      <c r="I596" t="s">
        <v>11783</v>
      </c>
      <c r="J596" t="s">
        <v>11784</v>
      </c>
      <c r="K596" t="s">
        <v>74</v>
      </c>
      <c r="L596" t="s">
        <v>74</v>
      </c>
      <c r="M596" t="s">
        <v>78</v>
      </c>
      <c r="N596" t="s">
        <v>79</v>
      </c>
      <c r="O596" t="s">
        <v>74</v>
      </c>
      <c r="P596" t="s">
        <v>74</v>
      </c>
      <c r="Q596" t="s">
        <v>74</v>
      </c>
      <c r="R596" t="s">
        <v>74</v>
      </c>
      <c r="S596" t="s">
        <v>74</v>
      </c>
      <c r="T596" t="s">
        <v>74</v>
      </c>
      <c r="U596" t="s">
        <v>11785</v>
      </c>
      <c r="V596" t="s">
        <v>11786</v>
      </c>
      <c r="W596" t="s">
        <v>11787</v>
      </c>
      <c r="X596" t="s">
        <v>11788</v>
      </c>
      <c r="Y596" t="s">
        <v>11789</v>
      </c>
      <c r="Z596" t="s">
        <v>11790</v>
      </c>
      <c r="AA596" t="s">
        <v>11791</v>
      </c>
      <c r="AB596" t="s">
        <v>11792</v>
      </c>
      <c r="AC596" t="s">
        <v>11793</v>
      </c>
      <c r="AD596" t="s">
        <v>11794</v>
      </c>
      <c r="AE596" t="s">
        <v>11795</v>
      </c>
      <c r="AF596" t="s">
        <v>74</v>
      </c>
      <c r="AG596">
        <v>82</v>
      </c>
      <c r="AH596">
        <v>30</v>
      </c>
      <c r="AI596">
        <v>34</v>
      </c>
      <c r="AJ596">
        <v>4</v>
      </c>
      <c r="AK596">
        <v>35</v>
      </c>
      <c r="AL596" t="s">
        <v>328</v>
      </c>
      <c r="AM596" t="s">
        <v>607</v>
      </c>
      <c r="AN596" t="s">
        <v>10687</v>
      </c>
      <c r="AO596" t="s">
        <v>74</v>
      </c>
      <c r="AP596" t="s">
        <v>11796</v>
      </c>
      <c r="AQ596" t="s">
        <v>74</v>
      </c>
      <c r="AR596" t="s">
        <v>11797</v>
      </c>
      <c r="AS596" t="s">
        <v>11798</v>
      </c>
      <c r="AT596" t="s">
        <v>11799</v>
      </c>
      <c r="AU596">
        <v>2019</v>
      </c>
      <c r="AV596">
        <v>2</v>
      </c>
      <c r="AW596" t="s">
        <v>74</v>
      </c>
      <c r="AX596" t="s">
        <v>74</v>
      </c>
      <c r="AY596" t="s">
        <v>74</v>
      </c>
      <c r="AZ596" t="s">
        <v>74</v>
      </c>
      <c r="BA596" t="s">
        <v>74</v>
      </c>
      <c r="BB596" t="s">
        <v>74</v>
      </c>
      <c r="BC596" t="s">
        <v>74</v>
      </c>
      <c r="BD596">
        <v>63</v>
      </c>
      <c r="BE596" t="s">
        <v>11800</v>
      </c>
      <c r="BF596" t="str">
        <f>HYPERLINK("http://dx.doi.org/10.1038/s42003-018-0260-y","http://dx.doi.org/10.1038/s42003-018-0260-y")</f>
        <v>http://dx.doi.org/10.1038/s42003-018-0260-y</v>
      </c>
      <c r="BG596" t="s">
        <v>74</v>
      </c>
      <c r="BH596" t="s">
        <v>74</v>
      </c>
      <c r="BI596">
        <v>9</v>
      </c>
      <c r="BJ596" t="s">
        <v>5334</v>
      </c>
      <c r="BK596" t="s">
        <v>102</v>
      </c>
      <c r="BL596" t="s">
        <v>5335</v>
      </c>
      <c r="BM596" t="s">
        <v>11801</v>
      </c>
      <c r="BN596">
        <v>30793042</v>
      </c>
      <c r="BO596" t="s">
        <v>851</v>
      </c>
      <c r="BP596" t="s">
        <v>74</v>
      </c>
      <c r="BQ596" t="s">
        <v>74</v>
      </c>
      <c r="BR596" t="s">
        <v>107</v>
      </c>
      <c r="BS596" t="s">
        <v>11802</v>
      </c>
      <c r="BT596" t="str">
        <f>HYPERLINK("https%3A%2F%2Fwww.webofscience.com%2Fwos%2Fwoscc%2Ffull-record%2FWOS:000461154900003","View Full Record in Web of Science")</f>
        <v>View Full Record in Web of Science</v>
      </c>
    </row>
    <row r="597" spans="1:72" x14ac:dyDescent="0.15">
      <c r="A597" t="s">
        <v>72</v>
      </c>
      <c r="B597" t="s">
        <v>11803</v>
      </c>
      <c r="C597" t="s">
        <v>74</v>
      </c>
      <c r="D597" t="s">
        <v>74</v>
      </c>
      <c r="E597" t="s">
        <v>74</v>
      </c>
      <c r="F597" t="s">
        <v>11804</v>
      </c>
      <c r="G597" t="s">
        <v>74</v>
      </c>
      <c r="H597" t="s">
        <v>74</v>
      </c>
      <c r="I597" t="s">
        <v>11805</v>
      </c>
      <c r="J597" t="s">
        <v>11806</v>
      </c>
      <c r="K597" t="s">
        <v>74</v>
      </c>
      <c r="L597" t="s">
        <v>74</v>
      </c>
      <c r="M597" t="s">
        <v>78</v>
      </c>
      <c r="N597" t="s">
        <v>52</v>
      </c>
      <c r="O597" t="s">
        <v>11807</v>
      </c>
      <c r="P597" t="s">
        <v>11808</v>
      </c>
      <c r="Q597" t="s">
        <v>11809</v>
      </c>
      <c r="R597" t="s">
        <v>74</v>
      </c>
      <c r="S597" t="s">
        <v>74</v>
      </c>
      <c r="T597" t="s">
        <v>74</v>
      </c>
      <c r="U597" t="s">
        <v>74</v>
      </c>
      <c r="V597" t="s">
        <v>74</v>
      </c>
      <c r="W597" t="s">
        <v>11810</v>
      </c>
      <c r="X597" t="s">
        <v>11811</v>
      </c>
      <c r="Y597" t="s">
        <v>74</v>
      </c>
      <c r="Z597" t="s">
        <v>74</v>
      </c>
      <c r="AA597" t="s">
        <v>11812</v>
      </c>
      <c r="AB597" t="s">
        <v>11813</v>
      </c>
      <c r="AC597" t="s">
        <v>74</v>
      </c>
      <c r="AD597" t="s">
        <v>74</v>
      </c>
      <c r="AE597" t="s">
        <v>74</v>
      </c>
      <c r="AF597" t="s">
        <v>74</v>
      </c>
      <c r="AG597">
        <v>0</v>
      </c>
      <c r="AH597">
        <v>0</v>
      </c>
      <c r="AI597">
        <v>0</v>
      </c>
      <c r="AJ597">
        <v>1</v>
      </c>
      <c r="AK597">
        <v>7</v>
      </c>
      <c r="AL597" t="s">
        <v>11814</v>
      </c>
      <c r="AM597" t="s">
        <v>1004</v>
      </c>
      <c r="AN597" t="s">
        <v>11815</v>
      </c>
      <c r="AO597" t="s">
        <v>11816</v>
      </c>
      <c r="AP597" t="s">
        <v>11817</v>
      </c>
      <c r="AQ597" t="s">
        <v>74</v>
      </c>
      <c r="AR597" t="s">
        <v>11818</v>
      </c>
      <c r="AS597" t="s">
        <v>11819</v>
      </c>
      <c r="AT597" t="s">
        <v>11799</v>
      </c>
      <c r="AU597">
        <v>2019</v>
      </c>
      <c r="AV597">
        <v>116</v>
      </c>
      <c r="AW597">
        <v>3</v>
      </c>
      <c r="AX597" t="s">
        <v>74</v>
      </c>
      <c r="AY597">
        <v>1</v>
      </c>
      <c r="AZ597" t="s">
        <v>74</v>
      </c>
      <c r="BA597" t="s">
        <v>11820</v>
      </c>
      <c r="BB597" t="s">
        <v>11821</v>
      </c>
      <c r="BC597" t="s">
        <v>11821</v>
      </c>
      <c r="BD597" t="s">
        <v>74</v>
      </c>
      <c r="BE597" t="s">
        <v>11822</v>
      </c>
      <c r="BF597" t="str">
        <f>HYPERLINK("http://dx.doi.org/10.1016/j.bpj.2018.11.2450","http://dx.doi.org/10.1016/j.bpj.2018.11.2450")</f>
        <v>http://dx.doi.org/10.1016/j.bpj.2018.11.2450</v>
      </c>
      <c r="BG597" t="s">
        <v>74</v>
      </c>
      <c r="BH597" t="s">
        <v>74</v>
      </c>
      <c r="BI597">
        <v>1</v>
      </c>
      <c r="BJ597" t="s">
        <v>11823</v>
      </c>
      <c r="BK597" t="s">
        <v>615</v>
      </c>
      <c r="BL597" t="s">
        <v>11823</v>
      </c>
      <c r="BM597" t="s">
        <v>11824</v>
      </c>
      <c r="BN597" t="s">
        <v>74</v>
      </c>
      <c r="BO597" t="s">
        <v>198</v>
      </c>
      <c r="BP597" t="s">
        <v>74</v>
      </c>
      <c r="BQ597" t="s">
        <v>74</v>
      </c>
      <c r="BR597" t="s">
        <v>107</v>
      </c>
      <c r="BS597" t="s">
        <v>11825</v>
      </c>
      <c r="BT597" t="str">
        <f>HYPERLINK("https%3A%2F%2Fwww.webofscience.com%2Fwos%2Fwoscc%2Ffull-record%2FWOS:000460779802283","View Full Record in Web of Science")</f>
        <v>View Full Record in Web of Science</v>
      </c>
    </row>
    <row r="598" spans="1:72" x14ac:dyDescent="0.15">
      <c r="A598" t="s">
        <v>72</v>
      </c>
      <c r="B598" t="s">
        <v>11826</v>
      </c>
      <c r="C598" t="s">
        <v>74</v>
      </c>
      <c r="D598" t="s">
        <v>74</v>
      </c>
      <c r="E598" t="s">
        <v>74</v>
      </c>
      <c r="F598" t="s">
        <v>11827</v>
      </c>
      <c r="G598" t="s">
        <v>74</v>
      </c>
      <c r="H598" t="s">
        <v>74</v>
      </c>
      <c r="I598" t="s">
        <v>11828</v>
      </c>
      <c r="J598" t="s">
        <v>11829</v>
      </c>
      <c r="K598" t="s">
        <v>74</v>
      </c>
      <c r="L598" t="s">
        <v>74</v>
      </c>
      <c r="M598" t="s">
        <v>78</v>
      </c>
      <c r="N598" t="s">
        <v>469</v>
      </c>
      <c r="O598" t="s">
        <v>74</v>
      </c>
      <c r="P598" t="s">
        <v>74</v>
      </c>
      <c r="Q598" t="s">
        <v>74</v>
      </c>
      <c r="R598" t="s">
        <v>74</v>
      </c>
      <c r="S598" t="s">
        <v>74</v>
      </c>
      <c r="T598" t="s">
        <v>11830</v>
      </c>
      <c r="U598" t="s">
        <v>11831</v>
      </c>
      <c r="V598" t="s">
        <v>11832</v>
      </c>
      <c r="W598" t="s">
        <v>11833</v>
      </c>
      <c r="X598" t="s">
        <v>11834</v>
      </c>
      <c r="Y598" t="s">
        <v>11835</v>
      </c>
      <c r="Z598" t="s">
        <v>11836</v>
      </c>
      <c r="AA598" t="s">
        <v>11837</v>
      </c>
      <c r="AB598" t="s">
        <v>11838</v>
      </c>
      <c r="AC598" t="s">
        <v>11839</v>
      </c>
      <c r="AD598" t="s">
        <v>11840</v>
      </c>
      <c r="AE598" t="s">
        <v>11841</v>
      </c>
      <c r="AF598" t="s">
        <v>74</v>
      </c>
      <c r="AG598">
        <v>131</v>
      </c>
      <c r="AH598">
        <v>57</v>
      </c>
      <c r="AI598">
        <v>57</v>
      </c>
      <c r="AJ598">
        <v>1</v>
      </c>
      <c r="AK598">
        <v>20</v>
      </c>
      <c r="AL598" t="s">
        <v>7818</v>
      </c>
      <c r="AM598" t="s">
        <v>329</v>
      </c>
      <c r="AN598" t="s">
        <v>7819</v>
      </c>
      <c r="AO598" t="s">
        <v>11842</v>
      </c>
      <c r="AP598" t="s">
        <v>11843</v>
      </c>
      <c r="AQ598" t="s">
        <v>74</v>
      </c>
      <c r="AR598" t="s">
        <v>11844</v>
      </c>
      <c r="AS598" t="s">
        <v>11845</v>
      </c>
      <c r="AT598" t="s">
        <v>11799</v>
      </c>
      <c r="AU598">
        <v>2019</v>
      </c>
      <c r="AV598">
        <v>232</v>
      </c>
      <c r="AW598" t="s">
        <v>74</v>
      </c>
      <c r="AX598" t="s">
        <v>74</v>
      </c>
      <c r="AY598" t="s">
        <v>74</v>
      </c>
      <c r="AZ598" t="s">
        <v>74</v>
      </c>
      <c r="BA598" t="s">
        <v>74</v>
      </c>
      <c r="BB598">
        <v>73</v>
      </c>
      <c r="BC598">
        <v>89</v>
      </c>
      <c r="BD598" t="s">
        <v>74</v>
      </c>
      <c r="BE598" t="s">
        <v>11846</v>
      </c>
      <c r="BF598" t="str">
        <f>HYPERLINK("http://dx.doi.org/10.1016/j.jenvman.2018.10.095","http://dx.doi.org/10.1016/j.jenvman.2018.10.095")</f>
        <v>http://dx.doi.org/10.1016/j.jenvman.2018.10.095</v>
      </c>
      <c r="BG598" t="s">
        <v>74</v>
      </c>
      <c r="BH598" t="s">
        <v>74</v>
      </c>
      <c r="BI598">
        <v>17</v>
      </c>
      <c r="BJ598" t="s">
        <v>2296</v>
      </c>
      <c r="BK598" t="s">
        <v>102</v>
      </c>
      <c r="BL598" t="s">
        <v>2297</v>
      </c>
      <c r="BM598" t="s">
        <v>11847</v>
      </c>
      <c r="BN598">
        <v>30468960</v>
      </c>
      <c r="BO598" t="s">
        <v>942</v>
      </c>
      <c r="BP598" t="s">
        <v>74</v>
      </c>
      <c r="BQ598" t="s">
        <v>74</v>
      </c>
      <c r="BR598" t="s">
        <v>107</v>
      </c>
      <c r="BS598" t="s">
        <v>11848</v>
      </c>
      <c r="BT598" t="str">
        <f>HYPERLINK("https%3A%2F%2Fwww.webofscience.com%2Fwos%2Fwoscc%2Ffull-record%2FWOS:000459845200009","View Full Record in Web of Science")</f>
        <v>View Full Record in Web of Science</v>
      </c>
    </row>
    <row r="599" spans="1:72" x14ac:dyDescent="0.15">
      <c r="A599" t="s">
        <v>72</v>
      </c>
      <c r="B599" t="s">
        <v>11849</v>
      </c>
      <c r="C599" t="s">
        <v>74</v>
      </c>
      <c r="D599" t="s">
        <v>74</v>
      </c>
      <c r="E599" t="s">
        <v>74</v>
      </c>
      <c r="F599" t="s">
        <v>11850</v>
      </c>
      <c r="G599" t="s">
        <v>74</v>
      </c>
      <c r="H599" t="s">
        <v>74</v>
      </c>
      <c r="I599" t="s">
        <v>11851</v>
      </c>
      <c r="J599" t="s">
        <v>1606</v>
      </c>
      <c r="K599" t="s">
        <v>74</v>
      </c>
      <c r="L599" t="s">
        <v>74</v>
      </c>
      <c r="M599" t="s">
        <v>78</v>
      </c>
      <c r="N599" t="s">
        <v>79</v>
      </c>
      <c r="O599" t="s">
        <v>74</v>
      </c>
      <c r="P599" t="s">
        <v>74</v>
      </c>
      <c r="Q599" t="s">
        <v>74</v>
      </c>
      <c r="R599" t="s">
        <v>74</v>
      </c>
      <c r="S599" t="s">
        <v>74</v>
      </c>
      <c r="T599" t="s">
        <v>11852</v>
      </c>
      <c r="U599" t="s">
        <v>11853</v>
      </c>
      <c r="V599" t="s">
        <v>11854</v>
      </c>
      <c r="W599" t="s">
        <v>11855</v>
      </c>
      <c r="X599" t="s">
        <v>11856</v>
      </c>
      <c r="Y599" t="s">
        <v>11857</v>
      </c>
      <c r="Z599" t="s">
        <v>11858</v>
      </c>
      <c r="AA599" t="s">
        <v>11859</v>
      </c>
      <c r="AB599" t="s">
        <v>11860</v>
      </c>
      <c r="AC599" t="s">
        <v>11861</v>
      </c>
      <c r="AD599" t="s">
        <v>9237</v>
      </c>
      <c r="AE599" t="s">
        <v>11862</v>
      </c>
      <c r="AF599" t="s">
        <v>74</v>
      </c>
      <c r="AG599">
        <v>33</v>
      </c>
      <c r="AH599">
        <v>10</v>
      </c>
      <c r="AI599">
        <v>11</v>
      </c>
      <c r="AJ599">
        <v>10</v>
      </c>
      <c r="AK599">
        <v>40</v>
      </c>
      <c r="AL599" t="s">
        <v>306</v>
      </c>
      <c r="AM599" t="s">
        <v>93</v>
      </c>
      <c r="AN599" t="s">
        <v>307</v>
      </c>
      <c r="AO599" t="s">
        <v>1619</v>
      </c>
      <c r="AP599" t="s">
        <v>1620</v>
      </c>
      <c r="AQ599" t="s">
        <v>74</v>
      </c>
      <c r="AR599" t="s">
        <v>1621</v>
      </c>
      <c r="AS599" t="s">
        <v>1622</v>
      </c>
      <c r="AT599" t="s">
        <v>11799</v>
      </c>
      <c r="AU599">
        <v>2019</v>
      </c>
      <c r="AV599">
        <v>236</v>
      </c>
      <c r="AW599" t="s">
        <v>74</v>
      </c>
      <c r="AX599" t="s">
        <v>74</v>
      </c>
      <c r="AY599" t="s">
        <v>74</v>
      </c>
      <c r="AZ599" t="s">
        <v>74</v>
      </c>
      <c r="BA599" t="s">
        <v>74</v>
      </c>
      <c r="BB599">
        <v>711</v>
      </c>
      <c r="BC599">
        <v>727</v>
      </c>
      <c r="BD599" t="s">
        <v>74</v>
      </c>
      <c r="BE599" t="s">
        <v>11863</v>
      </c>
      <c r="BF599" t="str">
        <f>HYPERLINK("http://dx.doi.org/10.1016/j.apenergy.2018.12.031","http://dx.doi.org/10.1016/j.apenergy.2018.12.031")</f>
        <v>http://dx.doi.org/10.1016/j.apenergy.2018.12.031</v>
      </c>
      <c r="BG599" t="s">
        <v>74</v>
      </c>
      <c r="BH599" t="s">
        <v>74</v>
      </c>
      <c r="BI599">
        <v>17</v>
      </c>
      <c r="BJ599" t="s">
        <v>1625</v>
      </c>
      <c r="BK599" t="s">
        <v>102</v>
      </c>
      <c r="BL599" t="s">
        <v>1626</v>
      </c>
      <c r="BM599" t="s">
        <v>11864</v>
      </c>
      <c r="BN599" t="s">
        <v>74</v>
      </c>
      <c r="BO599" t="s">
        <v>74</v>
      </c>
      <c r="BP599" t="s">
        <v>74</v>
      </c>
      <c r="BQ599" t="s">
        <v>74</v>
      </c>
      <c r="BR599" t="s">
        <v>107</v>
      </c>
      <c r="BS599" t="s">
        <v>11865</v>
      </c>
      <c r="BT599" t="str">
        <f>HYPERLINK("https%3A%2F%2Fwww.webofscience.com%2Fwos%2Fwoscc%2Ffull-record%2FWOS:000458712500056","View Full Record in Web of Science")</f>
        <v>View Full Record in Web of Science</v>
      </c>
    </row>
    <row r="600" spans="1:72" x14ac:dyDescent="0.15">
      <c r="A600" t="s">
        <v>72</v>
      </c>
      <c r="B600" t="s">
        <v>1297</v>
      </c>
      <c r="C600" t="s">
        <v>74</v>
      </c>
      <c r="D600" t="s">
        <v>74</v>
      </c>
      <c r="E600" t="s">
        <v>74</v>
      </c>
      <c r="F600" t="s">
        <v>1298</v>
      </c>
      <c r="G600" t="s">
        <v>74</v>
      </c>
      <c r="H600" t="s">
        <v>74</v>
      </c>
      <c r="I600" t="s">
        <v>11866</v>
      </c>
      <c r="J600" t="s">
        <v>1300</v>
      </c>
      <c r="K600" t="s">
        <v>74</v>
      </c>
      <c r="L600" t="s">
        <v>74</v>
      </c>
      <c r="M600" t="s">
        <v>78</v>
      </c>
      <c r="N600" t="s">
        <v>1301</v>
      </c>
      <c r="O600" t="s">
        <v>74</v>
      </c>
      <c r="P600" t="s">
        <v>74</v>
      </c>
      <c r="Q600" t="s">
        <v>74</v>
      </c>
      <c r="R600" t="s">
        <v>74</v>
      </c>
      <c r="S600" t="s">
        <v>74</v>
      </c>
      <c r="T600" t="s">
        <v>74</v>
      </c>
      <c r="U600" t="s">
        <v>74</v>
      </c>
      <c r="V600" t="s">
        <v>74</v>
      </c>
      <c r="W600" t="s">
        <v>74</v>
      </c>
      <c r="X600" t="s">
        <v>74</v>
      </c>
      <c r="Y600" t="s">
        <v>74</v>
      </c>
      <c r="Z600" t="s">
        <v>74</v>
      </c>
      <c r="AA600" t="s">
        <v>74</v>
      </c>
      <c r="AB600" t="s">
        <v>74</v>
      </c>
      <c r="AC600" t="s">
        <v>74</v>
      </c>
      <c r="AD600" t="s">
        <v>74</v>
      </c>
      <c r="AE600" t="s">
        <v>74</v>
      </c>
      <c r="AF600" t="s">
        <v>74</v>
      </c>
      <c r="AG600">
        <v>0</v>
      </c>
      <c r="AH600">
        <v>0</v>
      </c>
      <c r="AI600">
        <v>0</v>
      </c>
      <c r="AJ600">
        <v>0</v>
      </c>
      <c r="AK600">
        <v>1</v>
      </c>
      <c r="AL600" t="s">
        <v>453</v>
      </c>
      <c r="AM600" t="s">
        <v>126</v>
      </c>
      <c r="AN600" t="s">
        <v>454</v>
      </c>
      <c r="AO600" t="s">
        <v>1302</v>
      </c>
      <c r="AP600" t="s">
        <v>1303</v>
      </c>
      <c r="AQ600" t="s">
        <v>74</v>
      </c>
      <c r="AR600" t="s">
        <v>1300</v>
      </c>
      <c r="AS600" t="s">
        <v>1304</v>
      </c>
      <c r="AT600" t="s">
        <v>11799</v>
      </c>
      <c r="AU600">
        <v>2019</v>
      </c>
      <c r="AV600">
        <v>363</v>
      </c>
      <c r="AW600">
        <v>6428</v>
      </c>
      <c r="AX600" t="s">
        <v>74</v>
      </c>
      <c r="AY600" t="s">
        <v>74</v>
      </c>
      <c r="AZ600" t="s">
        <v>74</v>
      </c>
      <c r="BA600" t="s">
        <v>74</v>
      </c>
      <c r="BB600">
        <v>673</v>
      </c>
      <c r="BC600">
        <v>673</v>
      </c>
      <c r="BD600" t="s">
        <v>74</v>
      </c>
      <c r="BE600" t="s">
        <v>74</v>
      </c>
      <c r="BF600" t="s">
        <v>74</v>
      </c>
      <c r="BG600" t="s">
        <v>74</v>
      </c>
      <c r="BH600" t="s">
        <v>74</v>
      </c>
      <c r="BI600">
        <v>1</v>
      </c>
      <c r="BJ600" t="s">
        <v>460</v>
      </c>
      <c r="BK600" t="s">
        <v>102</v>
      </c>
      <c r="BL600" t="s">
        <v>461</v>
      </c>
      <c r="BM600" t="s">
        <v>11867</v>
      </c>
      <c r="BN600" t="s">
        <v>74</v>
      </c>
      <c r="BO600" t="s">
        <v>74</v>
      </c>
      <c r="BP600" t="s">
        <v>74</v>
      </c>
      <c r="BQ600" t="s">
        <v>74</v>
      </c>
      <c r="BR600" t="s">
        <v>107</v>
      </c>
      <c r="BS600" t="s">
        <v>11868</v>
      </c>
      <c r="BT600" t="str">
        <f>HYPERLINK("https%3A%2F%2Fwww.webofscience.com%2Fwos%2Fwoscc%2Ffull-record%2FWOS:000458874100044","View Full Record in Web of Science")</f>
        <v>View Full Record in Web of Science</v>
      </c>
    </row>
    <row r="601" spans="1:72" x14ac:dyDescent="0.15">
      <c r="A601" t="s">
        <v>72</v>
      </c>
      <c r="B601" t="s">
        <v>11869</v>
      </c>
      <c r="C601" t="s">
        <v>74</v>
      </c>
      <c r="D601" t="s">
        <v>74</v>
      </c>
      <c r="E601" t="s">
        <v>74</v>
      </c>
      <c r="F601" t="s">
        <v>11870</v>
      </c>
      <c r="G601" t="s">
        <v>74</v>
      </c>
      <c r="H601" t="s">
        <v>74</v>
      </c>
      <c r="I601" t="s">
        <v>11871</v>
      </c>
      <c r="J601" t="s">
        <v>1632</v>
      </c>
      <c r="K601" t="s">
        <v>74</v>
      </c>
      <c r="L601" t="s">
        <v>74</v>
      </c>
      <c r="M601" t="s">
        <v>78</v>
      </c>
      <c r="N601" t="s">
        <v>79</v>
      </c>
      <c r="O601" t="s">
        <v>74</v>
      </c>
      <c r="P601" t="s">
        <v>74</v>
      </c>
      <c r="Q601" t="s">
        <v>74</v>
      </c>
      <c r="R601" t="s">
        <v>74</v>
      </c>
      <c r="S601" t="s">
        <v>74</v>
      </c>
      <c r="T601" t="s">
        <v>11872</v>
      </c>
      <c r="U601" t="s">
        <v>11873</v>
      </c>
      <c r="V601" t="s">
        <v>11874</v>
      </c>
      <c r="W601" t="s">
        <v>11875</v>
      </c>
      <c r="X601" t="s">
        <v>11876</v>
      </c>
      <c r="Y601" t="s">
        <v>11877</v>
      </c>
      <c r="Z601" t="s">
        <v>11878</v>
      </c>
      <c r="AA601" t="s">
        <v>11879</v>
      </c>
      <c r="AB601" t="s">
        <v>11880</v>
      </c>
      <c r="AC601" t="s">
        <v>11881</v>
      </c>
      <c r="AD601" t="s">
        <v>11882</v>
      </c>
      <c r="AE601" t="s">
        <v>11883</v>
      </c>
      <c r="AF601" t="s">
        <v>74</v>
      </c>
      <c r="AG601">
        <v>108</v>
      </c>
      <c r="AH601">
        <v>34</v>
      </c>
      <c r="AI601">
        <v>37</v>
      </c>
      <c r="AJ601">
        <v>3</v>
      </c>
      <c r="AK601">
        <v>15</v>
      </c>
      <c r="AL601" t="s">
        <v>378</v>
      </c>
      <c r="AM601" t="s">
        <v>93</v>
      </c>
      <c r="AN601" t="s">
        <v>379</v>
      </c>
      <c r="AO601" t="s">
        <v>1645</v>
      </c>
      <c r="AP601" t="s">
        <v>7153</v>
      </c>
      <c r="AQ601" t="s">
        <v>74</v>
      </c>
      <c r="AR601" t="s">
        <v>1646</v>
      </c>
      <c r="AS601" t="s">
        <v>1647</v>
      </c>
      <c r="AT601" t="s">
        <v>11799</v>
      </c>
      <c r="AU601">
        <v>2019</v>
      </c>
      <c r="AV601">
        <v>206</v>
      </c>
      <c r="AW601" t="s">
        <v>74</v>
      </c>
      <c r="AX601" t="s">
        <v>74</v>
      </c>
      <c r="AY601" t="s">
        <v>74</v>
      </c>
      <c r="AZ601" t="s">
        <v>74</v>
      </c>
      <c r="BA601" t="s">
        <v>74</v>
      </c>
      <c r="BB601">
        <v>65</v>
      </c>
      <c r="BC601">
        <v>80</v>
      </c>
      <c r="BD601" t="s">
        <v>74</v>
      </c>
      <c r="BE601" t="s">
        <v>11884</v>
      </c>
      <c r="BF601" t="str">
        <f>HYPERLINK("http://dx.doi.org/10.1016/j.quascirev.2018.12.024","http://dx.doi.org/10.1016/j.quascirev.2018.12.024")</f>
        <v>http://dx.doi.org/10.1016/j.quascirev.2018.12.024</v>
      </c>
      <c r="BG601" t="s">
        <v>74</v>
      </c>
      <c r="BH601" t="s">
        <v>74</v>
      </c>
      <c r="BI601">
        <v>16</v>
      </c>
      <c r="BJ601" t="s">
        <v>1142</v>
      </c>
      <c r="BK601" t="s">
        <v>337</v>
      </c>
      <c r="BL601" t="s">
        <v>1143</v>
      </c>
      <c r="BM601" t="s">
        <v>11885</v>
      </c>
      <c r="BN601" t="s">
        <v>74</v>
      </c>
      <c r="BO601" t="s">
        <v>1014</v>
      </c>
      <c r="BP601" t="s">
        <v>74</v>
      </c>
      <c r="BQ601" t="s">
        <v>74</v>
      </c>
      <c r="BR601" t="s">
        <v>107</v>
      </c>
      <c r="BS601" t="s">
        <v>11886</v>
      </c>
      <c r="BT601" t="str">
        <f>HYPERLINK("https%3A%2F%2Fwww.webofscience.com%2Fwos%2Fwoscc%2Ffull-record%2FWOS:000458227200006","View Full Record in Web of Science")</f>
        <v>View Full Record in Web of Science</v>
      </c>
    </row>
    <row r="602" spans="1:72" x14ac:dyDescent="0.15">
      <c r="A602" t="s">
        <v>72</v>
      </c>
      <c r="B602" t="s">
        <v>11887</v>
      </c>
      <c r="C602" t="s">
        <v>74</v>
      </c>
      <c r="D602" t="s">
        <v>74</v>
      </c>
      <c r="E602" t="s">
        <v>74</v>
      </c>
      <c r="F602" t="s">
        <v>11888</v>
      </c>
      <c r="G602" t="s">
        <v>74</v>
      </c>
      <c r="H602" t="s">
        <v>74</v>
      </c>
      <c r="I602" t="s">
        <v>11889</v>
      </c>
      <c r="J602" t="s">
        <v>1632</v>
      </c>
      <c r="K602" t="s">
        <v>74</v>
      </c>
      <c r="L602" t="s">
        <v>74</v>
      </c>
      <c r="M602" t="s">
        <v>78</v>
      </c>
      <c r="N602" t="s">
        <v>79</v>
      </c>
      <c r="O602" t="s">
        <v>74</v>
      </c>
      <c r="P602" t="s">
        <v>74</v>
      </c>
      <c r="Q602" t="s">
        <v>74</v>
      </c>
      <c r="R602" t="s">
        <v>74</v>
      </c>
      <c r="S602" t="s">
        <v>74</v>
      </c>
      <c r="T602" t="s">
        <v>74</v>
      </c>
      <c r="U602" t="s">
        <v>11890</v>
      </c>
      <c r="V602" t="s">
        <v>11891</v>
      </c>
      <c r="W602" t="s">
        <v>11892</v>
      </c>
      <c r="X602" t="s">
        <v>11893</v>
      </c>
      <c r="Y602" t="s">
        <v>11894</v>
      </c>
      <c r="Z602" t="s">
        <v>9233</v>
      </c>
      <c r="AA602" t="s">
        <v>11895</v>
      </c>
      <c r="AB602" t="s">
        <v>11896</v>
      </c>
      <c r="AC602" t="s">
        <v>11897</v>
      </c>
      <c r="AD602" t="s">
        <v>11898</v>
      </c>
      <c r="AE602" t="s">
        <v>11899</v>
      </c>
      <c r="AF602" t="s">
        <v>74</v>
      </c>
      <c r="AG602">
        <v>52</v>
      </c>
      <c r="AH602">
        <v>29</v>
      </c>
      <c r="AI602">
        <v>33</v>
      </c>
      <c r="AJ602">
        <v>0</v>
      </c>
      <c r="AK602">
        <v>21</v>
      </c>
      <c r="AL602" t="s">
        <v>378</v>
      </c>
      <c r="AM602" t="s">
        <v>93</v>
      </c>
      <c r="AN602" t="s">
        <v>379</v>
      </c>
      <c r="AO602" t="s">
        <v>1645</v>
      </c>
      <c r="AP602" t="s">
        <v>74</v>
      </c>
      <c r="AQ602" t="s">
        <v>74</v>
      </c>
      <c r="AR602" t="s">
        <v>1646</v>
      </c>
      <c r="AS602" t="s">
        <v>1647</v>
      </c>
      <c r="AT602" t="s">
        <v>11799</v>
      </c>
      <c r="AU602">
        <v>2019</v>
      </c>
      <c r="AV602">
        <v>206</v>
      </c>
      <c r="AW602" t="s">
        <v>74</v>
      </c>
      <c r="AX602" t="s">
        <v>74</v>
      </c>
      <c r="AY602" t="s">
        <v>74</v>
      </c>
      <c r="AZ602" t="s">
        <v>74</v>
      </c>
      <c r="BA602" t="s">
        <v>74</v>
      </c>
      <c r="BB602">
        <v>150</v>
      </c>
      <c r="BC602">
        <v>161</v>
      </c>
      <c r="BD602" t="s">
        <v>74</v>
      </c>
      <c r="BE602" t="s">
        <v>11900</v>
      </c>
      <c r="BF602" t="str">
        <f>HYPERLINK("http://dx.doi.org/10.1016/j.quascirev.2018.11.024","http://dx.doi.org/10.1016/j.quascirev.2018.11.024")</f>
        <v>http://dx.doi.org/10.1016/j.quascirev.2018.11.024</v>
      </c>
      <c r="BG602" t="s">
        <v>74</v>
      </c>
      <c r="BH602" t="s">
        <v>74</v>
      </c>
      <c r="BI602">
        <v>12</v>
      </c>
      <c r="BJ602" t="s">
        <v>1142</v>
      </c>
      <c r="BK602" t="s">
        <v>102</v>
      </c>
      <c r="BL602" t="s">
        <v>1143</v>
      </c>
      <c r="BM602" t="s">
        <v>11885</v>
      </c>
      <c r="BN602" t="s">
        <v>74</v>
      </c>
      <c r="BO602" t="s">
        <v>74</v>
      </c>
      <c r="BP602" t="s">
        <v>74</v>
      </c>
      <c r="BQ602" t="s">
        <v>74</v>
      </c>
      <c r="BR602" t="s">
        <v>107</v>
      </c>
      <c r="BS602" t="s">
        <v>11901</v>
      </c>
      <c r="BT602" t="str">
        <f>HYPERLINK("https%3A%2F%2Fwww.webofscience.com%2Fwos%2Fwoscc%2Ffull-record%2FWOS:000458227200012","View Full Record in Web of Science")</f>
        <v>View Full Record in Web of Science</v>
      </c>
    </row>
    <row r="603" spans="1:72" x14ac:dyDescent="0.15">
      <c r="A603" t="s">
        <v>72</v>
      </c>
      <c r="B603" t="s">
        <v>11902</v>
      </c>
      <c r="C603" t="s">
        <v>74</v>
      </c>
      <c r="D603" t="s">
        <v>74</v>
      </c>
      <c r="E603" t="s">
        <v>74</v>
      </c>
      <c r="F603" t="s">
        <v>11903</v>
      </c>
      <c r="G603" t="s">
        <v>74</v>
      </c>
      <c r="H603" t="s">
        <v>74</v>
      </c>
      <c r="I603" t="s">
        <v>11904</v>
      </c>
      <c r="J603" t="s">
        <v>5578</v>
      </c>
      <c r="K603" t="s">
        <v>74</v>
      </c>
      <c r="L603" t="s">
        <v>74</v>
      </c>
      <c r="M603" t="s">
        <v>78</v>
      </c>
      <c r="N603" t="s">
        <v>79</v>
      </c>
      <c r="O603" t="s">
        <v>74</v>
      </c>
      <c r="P603" t="s">
        <v>74</v>
      </c>
      <c r="Q603" t="s">
        <v>74</v>
      </c>
      <c r="R603" t="s">
        <v>74</v>
      </c>
      <c r="S603" t="s">
        <v>74</v>
      </c>
      <c r="T603" t="s">
        <v>11905</v>
      </c>
      <c r="U603" t="s">
        <v>11906</v>
      </c>
      <c r="V603" t="s">
        <v>11907</v>
      </c>
      <c r="W603" t="s">
        <v>11908</v>
      </c>
      <c r="X603" t="s">
        <v>11909</v>
      </c>
      <c r="Y603" t="s">
        <v>11910</v>
      </c>
      <c r="Z603" t="s">
        <v>11911</v>
      </c>
      <c r="AA603" t="s">
        <v>11912</v>
      </c>
      <c r="AB603" t="s">
        <v>11913</v>
      </c>
      <c r="AC603" t="s">
        <v>11914</v>
      </c>
      <c r="AD603" t="s">
        <v>11915</v>
      </c>
      <c r="AE603" t="s">
        <v>11916</v>
      </c>
      <c r="AF603" t="s">
        <v>74</v>
      </c>
      <c r="AG603">
        <v>76</v>
      </c>
      <c r="AH603">
        <v>17</v>
      </c>
      <c r="AI603">
        <v>17</v>
      </c>
      <c r="AJ603">
        <v>0</v>
      </c>
      <c r="AK603">
        <v>15</v>
      </c>
      <c r="AL603" t="s">
        <v>634</v>
      </c>
      <c r="AM603" t="s">
        <v>635</v>
      </c>
      <c r="AN603" t="s">
        <v>636</v>
      </c>
      <c r="AO603" t="s">
        <v>5591</v>
      </c>
      <c r="AP603" t="s">
        <v>5592</v>
      </c>
      <c r="AQ603" t="s">
        <v>74</v>
      </c>
      <c r="AR603" t="s">
        <v>5578</v>
      </c>
      <c r="AS603" t="s">
        <v>5593</v>
      </c>
      <c r="AT603" t="s">
        <v>11799</v>
      </c>
      <c r="AU603">
        <v>2019</v>
      </c>
      <c r="AV603">
        <v>327</v>
      </c>
      <c r="AW603" t="s">
        <v>74</v>
      </c>
      <c r="AX603" t="s">
        <v>74</v>
      </c>
      <c r="AY603" t="s">
        <v>74</v>
      </c>
      <c r="AZ603" t="s">
        <v>74</v>
      </c>
      <c r="BA603" t="s">
        <v>74</v>
      </c>
      <c r="BB603">
        <v>351</v>
      </c>
      <c r="BC603">
        <v>364</v>
      </c>
      <c r="BD603" t="s">
        <v>74</v>
      </c>
      <c r="BE603" t="s">
        <v>11917</v>
      </c>
      <c r="BF603" t="str">
        <f>HYPERLINK("http://dx.doi.org/10.1016/j.geomorph.2018.11.003","http://dx.doi.org/10.1016/j.geomorph.2018.11.003")</f>
        <v>http://dx.doi.org/10.1016/j.geomorph.2018.11.003</v>
      </c>
      <c r="BG603" t="s">
        <v>74</v>
      </c>
      <c r="BH603" t="s">
        <v>74</v>
      </c>
      <c r="BI603">
        <v>14</v>
      </c>
      <c r="BJ603" t="s">
        <v>1142</v>
      </c>
      <c r="BK603" t="s">
        <v>102</v>
      </c>
      <c r="BL603" t="s">
        <v>1143</v>
      </c>
      <c r="BM603" t="s">
        <v>11918</v>
      </c>
      <c r="BN603" t="s">
        <v>74</v>
      </c>
      <c r="BO603" t="s">
        <v>74</v>
      </c>
      <c r="BP603" t="s">
        <v>74</v>
      </c>
      <c r="BQ603" t="s">
        <v>74</v>
      </c>
      <c r="BR603" t="s">
        <v>107</v>
      </c>
      <c r="BS603" t="s">
        <v>11919</v>
      </c>
      <c r="BT603" t="str">
        <f>HYPERLINK("https%3A%2F%2Fwww.webofscience.com%2Fwos%2Fwoscc%2Ffull-record%2FWOS:000456491600024","View Full Record in Web of Science")</f>
        <v>View Full Record in Web of Science</v>
      </c>
    </row>
    <row r="604" spans="1:72" x14ac:dyDescent="0.15">
      <c r="A604" t="s">
        <v>72</v>
      </c>
      <c r="B604" t="s">
        <v>11920</v>
      </c>
      <c r="C604" t="s">
        <v>74</v>
      </c>
      <c r="D604" t="s">
        <v>74</v>
      </c>
      <c r="E604" t="s">
        <v>74</v>
      </c>
      <c r="F604" t="s">
        <v>11921</v>
      </c>
      <c r="G604" t="s">
        <v>74</v>
      </c>
      <c r="H604" t="s">
        <v>74</v>
      </c>
      <c r="I604" t="s">
        <v>11922</v>
      </c>
      <c r="J604" t="s">
        <v>5578</v>
      </c>
      <c r="K604" t="s">
        <v>74</v>
      </c>
      <c r="L604" t="s">
        <v>74</v>
      </c>
      <c r="M604" t="s">
        <v>78</v>
      </c>
      <c r="N604" t="s">
        <v>79</v>
      </c>
      <c r="O604" t="s">
        <v>74</v>
      </c>
      <c r="P604" t="s">
        <v>74</v>
      </c>
      <c r="Q604" t="s">
        <v>74</v>
      </c>
      <c r="R604" t="s">
        <v>74</v>
      </c>
      <c r="S604" t="s">
        <v>74</v>
      </c>
      <c r="T604" t="s">
        <v>11923</v>
      </c>
      <c r="U604" t="s">
        <v>11924</v>
      </c>
      <c r="V604" t="s">
        <v>11925</v>
      </c>
      <c r="W604" t="s">
        <v>11926</v>
      </c>
      <c r="X604" t="s">
        <v>11927</v>
      </c>
      <c r="Y604" t="s">
        <v>11928</v>
      </c>
      <c r="Z604" t="s">
        <v>11929</v>
      </c>
      <c r="AA604" t="s">
        <v>11930</v>
      </c>
      <c r="AB604" t="s">
        <v>11931</v>
      </c>
      <c r="AC604" t="s">
        <v>11932</v>
      </c>
      <c r="AD604" t="s">
        <v>11933</v>
      </c>
      <c r="AE604" t="s">
        <v>11934</v>
      </c>
      <c r="AF604" t="s">
        <v>74</v>
      </c>
      <c r="AG604">
        <v>65</v>
      </c>
      <c r="AH604">
        <v>12</v>
      </c>
      <c r="AI604">
        <v>12</v>
      </c>
      <c r="AJ604">
        <v>0</v>
      </c>
      <c r="AK604">
        <v>12</v>
      </c>
      <c r="AL604" t="s">
        <v>662</v>
      </c>
      <c r="AM604" t="s">
        <v>635</v>
      </c>
      <c r="AN604" t="s">
        <v>663</v>
      </c>
      <c r="AO604" t="s">
        <v>5591</v>
      </c>
      <c r="AP604" t="s">
        <v>5592</v>
      </c>
      <c r="AQ604" t="s">
        <v>74</v>
      </c>
      <c r="AR604" t="s">
        <v>5578</v>
      </c>
      <c r="AS604" t="s">
        <v>5593</v>
      </c>
      <c r="AT604" t="s">
        <v>11799</v>
      </c>
      <c r="AU604">
        <v>2019</v>
      </c>
      <c r="AV604">
        <v>327</v>
      </c>
      <c r="AW604" t="s">
        <v>74</v>
      </c>
      <c r="AX604" t="s">
        <v>74</v>
      </c>
      <c r="AY604" t="s">
        <v>74</v>
      </c>
      <c r="AZ604" t="s">
        <v>74</v>
      </c>
      <c r="BA604" t="s">
        <v>74</v>
      </c>
      <c r="BB604">
        <v>438</v>
      </c>
      <c r="BC604">
        <v>445</v>
      </c>
      <c r="BD604" t="s">
        <v>74</v>
      </c>
      <c r="BE604" t="s">
        <v>11935</v>
      </c>
      <c r="BF604" t="str">
        <f>HYPERLINK("http://dx.doi.org/10.1016/j.geomorph.2018.11.019","http://dx.doi.org/10.1016/j.geomorph.2018.11.019")</f>
        <v>http://dx.doi.org/10.1016/j.geomorph.2018.11.019</v>
      </c>
      <c r="BG604" t="s">
        <v>74</v>
      </c>
      <c r="BH604" t="s">
        <v>74</v>
      </c>
      <c r="BI604">
        <v>8</v>
      </c>
      <c r="BJ604" t="s">
        <v>1142</v>
      </c>
      <c r="BK604" t="s">
        <v>102</v>
      </c>
      <c r="BL604" t="s">
        <v>1143</v>
      </c>
      <c r="BM604" t="s">
        <v>11918</v>
      </c>
      <c r="BN604" t="s">
        <v>74</v>
      </c>
      <c r="BO604" t="s">
        <v>1014</v>
      </c>
      <c r="BP604" t="s">
        <v>74</v>
      </c>
      <c r="BQ604" t="s">
        <v>74</v>
      </c>
      <c r="BR604" t="s">
        <v>107</v>
      </c>
      <c r="BS604" t="s">
        <v>11936</v>
      </c>
      <c r="BT604" t="str">
        <f>HYPERLINK("https%3A%2F%2Fwww.webofscience.com%2Fwos%2Fwoscc%2Ffull-record%2FWOS:000456491600030","View Full Record in Web of Science")</f>
        <v>View Full Record in Web of Science</v>
      </c>
    </row>
    <row r="605" spans="1:72" x14ac:dyDescent="0.15">
      <c r="A605" t="s">
        <v>72</v>
      </c>
      <c r="B605" t="s">
        <v>11937</v>
      </c>
      <c r="C605" t="s">
        <v>74</v>
      </c>
      <c r="D605" t="s">
        <v>74</v>
      </c>
      <c r="E605" t="s">
        <v>74</v>
      </c>
      <c r="F605" t="s">
        <v>11938</v>
      </c>
      <c r="G605" t="s">
        <v>74</v>
      </c>
      <c r="H605" t="s">
        <v>74</v>
      </c>
      <c r="I605" t="s">
        <v>11939</v>
      </c>
      <c r="J605" t="s">
        <v>11784</v>
      </c>
      <c r="K605" t="s">
        <v>74</v>
      </c>
      <c r="L605" t="s">
        <v>74</v>
      </c>
      <c r="M605" t="s">
        <v>78</v>
      </c>
      <c r="N605" t="s">
        <v>79</v>
      </c>
      <c r="O605" t="s">
        <v>74</v>
      </c>
      <c r="P605" t="s">
        <v>74</v>
      </c>
      <c r="Q605" t="s">
        <v>74</v>
      </c>
      <c r="R605" t="s">
        <v>74</v>
      </c>
      <c r="S605" t="s">
        <v>74</v>
      </c>
      <c r="T605" t="s">
        <v>74</v>
      </c>
      <c r="U605" t="s">
        <v>11940</v>
      </c>
      <c r="V605" t="s">
        <v>11941</v>
      </c>
      <c r="W605" t="s">
        <v>11942</v>
      </c>
      <c r="X605" t="s">
        <v>11943</v>
      </c>
      <c r="Y605" t="s">
        <v>11944</v>
      </c>
      <c r="Z605" t="s">
        <v>11945</v>
      </c>
      <c r="AA605" t="s">
        <v>11946</v>
      </c>
      <c r="AB605" t="s">
        <v>11947</v>
      </c>
      <c r="AC605" t="s">
        <v>11948</v>
      </c>
      <c r="AD605" t="s">
        <v>11949</v>
      </c>
      <c r="AE605" t="s">
        <v>11950</v>
      </c>
      <c r="AF605" t="s">
        <v>74</v>
      </c>
      <c r="AG605">
        <v>67</v>
      </c>
      <c r="AH605">
        <v>35</v>
      </c>
      <c r="AI605">
        <v>38</v>
      </c>
      <c r="AJ605">
        <v>4</v>
      </c>
      <c r="AK605">
        <v>23</v>
      </c>
      <c r="AL605" t="s">
        <v>1393</v>
      </c>
      <c r="AM605" t="s">
        <v>1371</v>
      </c>
      <c r="AN605" t="s">
        <v>1372</v>
      </c>
      <c r="AO605" t="s">
        <v>74</v>
      </c>
      <c r="AP605" t="s">
        <v>11796</v>
      </c>
      <c r="AQ605" t="s">
        <v>74</v>
      </c>
      <c r="AR605" t="s">
        <v>11797</v>
      </c>
      <c r="AS605" t="s">
        <v>11798</v>
      </c>
      <c r="AT605" t="s">
        <v>11799</v>
      </c>
      <c r="AU605">
        <v>2019</v>
      </c>
      <c r="AV605">
        <v>2</v>
      </c>
      <c r="AW605" t="s">
        <v>74</v>
      </c>
      <c r="AX605" t="s">
        <v>74</v>
      </c>
      <c r="AY605" t="s">
        <v>74</v>
      </c>
      <c r="AZ605" t="s">
        <v>74</v>
      </c>
      <c r="BA605" t="s">
        <v>74</v>
      </c>
      <c r="BB605" t="s">
        <v>74</v>
      </c>
      <c r="BC605" t="s">
        <v>74</v>
      </c>
      <c r="BD605">
        <v>62</v>
      </c>
      <c r="BE605" t="s">
        <v>11951</v>
      </c>
      <c r="BF605" t="str">
        <f>HYPERLINK("http://dx.doi.org/10.1038/s42003-018-0274-5","http://dx.doi.org/10.1038/s42003-018-0274-5")</f>
        <v>http://dx.doi.org/10.1038/s42003-018-0274-5</v>
      </c>
      <c r="BG605" t="s">
        <v>74</v>
      </c>
      <c r="BH605" t="s">
        <v>74</v>
      </c>
      <c r="BI605">
        <v>10</v>
      </c>
      <c r="BJ605" t="s">
        <v>5334</v>
      </c>
      <c r="BK605" t="s">
        <v>102</v>
      </c>
      <c r="BL605" t="s">
        <v>5335</v>
      </c>
      <c r="BM605" t="s">
        <v>11801</v>
      </c>
      <c r="BN605">
        <v>30793041</v>
      </c>
      <c r="BO605" t="s">
        <v>851</v>
      </c>
      <c r="BP605" t="s">
        <v>74</v>
      </c>
      <c r="BQ605" t="s">
        <v>74</v>
      </c>
      <c r="BR605" t="s">
        <v>107</v>
      </c>
      <c r="BS605" t="s">
        <v>11952</v>
      </c>
      <c r="BT605" t="str">
        <f>HYPERLINK("https%3A%2F%2Fwww.webofscience.com%2Fwos%2Fwoscc%2Ffull-record%2FWOS:000461154900002","View Full Record in Web of Science")</f>
        <v>View Full Record in Web of Science</v>
      </c>
    </row>
    <row r="606" spans="1:72" x14ac:dyDescent="0.15">
      <c r="A606" t="s">
        <v>72</v>
      </c>
      <c r="B606" t="s">
        <v>11953</v>
      </c>
      <c r="C606" t="s">
        <v>74</v>
      </c>
      <c r="D606" t="s">
        <v>74</v>
      </c>
      <c r="E606" t="s">
        <v>74</v>
      </c>
      <c r="F606" t="s">
        <v>11954</v>
      </c>
      <c r="G606" t="s">
        <v>74</v>
      </c>
      <c r="H606" t="s">
        <v>74</v>
      </c>
      <c r="I606" t="s">
        <v>11955</v>
      </c>
      <c r="J606" t="s">
        <v>884</v>
      </c>
      <c r="K606" t="s">
        <v>74</v>
      </c>
      <c r="L606" t="s">
        <v>74</v>
      </c>
      <c r="M606" t="s">
        <v>78</v>
      </c>
      <c r="N606" t="s">
        <v>469</v>
      </c>
      <c r="O606" t="s">
        <v>74</v>
      </c>
      <c r="P606" t="s">
        <v>74</v>
      </c>
      <c r="Q606" t="s">
        <v>74</v>
      </c>
      <c r="R606" t="s">
        <v>74</v>
      </c>
      <c r="S606" t="s">
        <v>74</v>
      </c>
      <c r="T606" t="s">
        <v>11956</v>
      </c>
      <c r="U606" t="s">
        <v>11957</v>
      </c>
      <c r="V606" t="s">
        <v>11958</v>
      </c>
      <c r="W606" t="s">
        <v>11959</v>
      </c>
      <c r="X606" t="s">
        <v>11960</v>
      </c>
      <c r="Y606" t="s">
        <v>11961</v>
      </c>
      <c r="Z606" t="s">
        <v>11962</v>
      </c>
      <c r="AA606" t="s">
        <v>11963</v>
      </c>
      <c r="AB606" t="s">
        <v>11964</v>
      </c>
      <c r="AC606" t="s">
        <v>11965</v>
      </c>
      <c r="AD606" t="s">
        <v>11966</v>
      </c>
      <c r="AE606" t="s">
        <v>11967</v>
      </c>
      <c r="AF606" t="s">
        <v>74</v>
      </c>
      <c r="AG606">
        <v>205</v>
      </c>
      <c r="AH606">
        <v>34</v>
      </c>
      <c r="AI606">
        <v>37</v>
      </c>
      <c r="AJ606">
        <v>1</v>
      </c>
      <c r="AK606">
        <v>28</v>
      </c>
      <c r="AL606" t="s">
        <v>821</v>
      </c>
      <c r="AM606" t="s">
        <v>822</v>
      </c>
      <c r="AN606" t="s">
        <v>823</v>
      </c>
      <c r="AO606" t="s">
        <v>74</v>
      </c>
      <c r="AP606" t="s">
        <v>897</v>
      </c>
      <c r="AQ606" t="s">
        <v>74</v>
      </c>
      <c r="AR606" t="s">
        <v>898</v>
      </c>
      <c r="AS606" t="s">
        <v>899</v>
      </c>
      <c r="AT606" t="s">
        <v>11799</v>
      </c>
      <c r="AU606">
        <v>2019</v>
      </c>
      <c r="AV606">
        <v>10</v>
      </c>
      <c r="AW606" t="s">
        <v>74</v>
      </c>
      <c r="AX606" t="s">
        <v>74</v>
      </c>
      <c r="AY606" t="s">
        <v>74</v>
      </c>
      <c r="AZ606" t="s">
        <v>74</v>
      </c>
      <c r="BA606" t="s">
        <v>74</v>
      </c>
      <c r="BB606" t="s">
        <v>74</v>
      </c>
      <c r="BC606" t="s">
        <v>74</v>
      </c>
      <c r="BD606">
        <v>242</v>
      </c>
      <c r="BE606" t="s">
        <v>11968</v>
      </c>
      <c r="BF606" t="str">
        <f>HYPERLINK("http://dx.doi.org/10.3389/fmicb.2019.00242","http://dx.doi.org/10.3389/fmicb.2019.00242")</f>
        <v>http://dx.doi.org/10.3389/fmicb.2019.00242</v>
      </c>
      <c r="BG606" t="s">
        <v>74</v>
      </c>
      <c r="BH606" t="s">
        <v>74</v>
      </c>
      <c r="BI606">
        <v>19</v>
      </c>
      <c r="BJ606" t="s">
        <v>901</v>
      </c>
      <c r="BK606" t="s">
        <v>102</v>
      </c>
      <c r="BL606" t="s">
        <v>901</v>
      </c>
      <c r="BM606" t="s">
        <v>11969</v>
      </c>
      <c r="BN606">
        <v>30828325</v>
      </c>
      <c r="BO606" t="s">
        <v>851</v>
      </c>
      <c r="BP606" t="s">
        <v>74</v>
      </c>
      <c r="BQ606" t="s">
        <v>74</v>
      </c>
      <c r="BR606" t="s">
        <v>107</v>
      </c>
      <c r="BS606" t="s">
        <v>11970</v>
      </c>
      <c r="BT606" t="str">
        <f>HYPERLINK("https%3A%2F%2Fwww.webofscience.com%2Fwos%2Fwoscc%2Ffull-record%2FWOS:000458783100001","View Full Record in Web of Science")</f>
        <v>View Full Record in Web of Science</v>
      </c>
    </row>
    <row r="607" spans="1:72" x14ac:dyDescent="0.15">
      <c r="A607" t="s">
        <v>72</v>
      </c>
      <c r="B607" t="s">
        <v>11971</v>
      </c>
      <c r="C607" t="s">
        <v>74</v>
      </c>
      <c r="D607" t="s">
        <v>74</v>
      </c>
      <c r="E607" t="s">
        <v>74</v>
      </c>
      <c r="F607" t="s">
        <v>11972</v>
      </c>
      <c r="G607" t="s">
        <v>74</v>
      </c>
      <c r="H607" t="s">
        <v>74</v>
      </c>
      <c r="I607" t="s">
        <v>11973</v>
      </c>
      <c r="J607" t="s">
        <v>1632</v>
      </c>
      <c r="K607" t="s">
        <v>74</v>
      </c>
      <c r="L607" t="s">
        <v>74</v>
      </c>
      <c r="M607" t="s">
        <v>78</v>
      </c>
      <c r="N607" t="s">
        <v>469</v>
      </c>
      <c r="O607" t="s">
        <v>74</v>
      </c>
      <c r="P607" t="s">
        <v>74</v>
      </c>
      <c r="Q607" t="s">
        <v>74</v>
      </c>
      <c r="R607" t="s">
        <v>74</v>
      </c>
      <c r="S607" t="s">
        <v>74</v>
      </c>
      <c r="T607" t="s">
        <v>11974</v>
      </c>
      <c r="U607" t="s">
        <v>11975</v>
      </c>
      <c r="V607" t="s">
        <v>11976</v>
      </c>
      <c r="W607" t="s">
        <v>11977</v>
      </c>
      <c r="X607" t="s">
        <v>11978</v>
      </c>
      <c r="Y607" t="s">
        <v>11979</v>
      </c>
      <c r="Z607" t="s">
        <v>11980</v>
      </c>
      <c r="AA607" t="s">
        <v>11981</v>
      </c>
      <c r="AB607" t="s">
        <v>11982</v>
      </c>
      <c r="AC607" t="s">
        <v>74</v>
      </c>
      <c r="AD607" t="s">
        <v>74</v>
      </c>
      <c r="AE607" t="s">
        <v>74</v>
      </c>
      <c r="AF607" t="s">
        <v>74</v>
      </c>
      <c r="AG607">
        <v>126</v>
      </c>
      <c r="AH607">
        <v>36</v>
      </c>
      <c r="AI607">
        <v>37</v>
      </c>
      <c r="AJ607">
        <v>0</v>
      </c>
      <c r="AK607">
        <v>29</v>
      </c>
      <c r="AL607" t="s">
        <v>378</v>
      </c>
      <c r="AM607" t="s">
        <v>93</v>
      </c>
      <c r="AN607" t="s">
        <v>379</v>
      </c>
      <c r="AO607" t="s">
        <v>1645</v>
      </c>
      <c r="AP607" t="s">
        <v>74</v>
      </c>
      <c r="AQ607" t="s">
        <v>74</v>
      </c>
      <c r="AR607" t="s">
        <v>1646</v>
      </c>
      <c r="AS607" t="s">
        <v>1647</v>
      </c>
      <c r="AT607" t="s">
        <v>11799</v>
      </c>
      <c r="AU607">
        <v>2019</v>
      </c>
      <c r="AV607">
        <v>206</v>
      </c>
      <c r="AW607" t="s">
        <v>74</v>
      </c>
      <c r="AX607" t="s">
        <v>74</v>
      </c>
      <c r="AY607" t="s">
        <v>74</v>
      </c>
      <c r="AZ607" t="s">
        <v>74</v>
      </c>
      <c r="BA607" t="s">
        <v>74</v>
      </c>
      <c r="BB607">
        <v>1</v>
      </c>
      <c r="BC607">
        <v>20</v>
      </c>
      <c r="BD607" t="s">
        <v>74</v>
      </c>
      <c r="BE607" t="s">
        <v>11983</v>
      </c>
      <c r="BF607" t="str">
        <f>HYPERLINK("http://dx.doi.org/10.1016/j.quascirev.2018.12.020","http://dx.doi.org/10.1016/j.quascirev.2018.12.020")</f>
        <v>http://dx.doi.org/10.1016/j.quascirev.2018.12.020</v>
      </c>
      <c r="BG607" t="s">
        <v>74</v>
      </c>
      <c r="BH607" t="s">
        <v>74</v>
      </c>
      <c r="BI607">
        <v>20</v>
      </c>
      <c r="BJ607" t="s">
        <v>1142</v>
      </c>
      <c r="BK607" t="s">
        <v>102</v>
      </c>
      <c r="BL607" t="s">
        <v>1143</v>
      </c>
      <c r="BM607" t="s">
        <v>11885</v>
      </c>
      <c r="BN607" t="s">
        <v>74</v>
      </c>
      <c r="BO607" t="s">
        <v>74</v>
      </c>
      <c r="BP607" t="s">
        <v>74</v>
      </c>
      <c r="BQ607" t="s">
        <v>74</v>
      </c>
      <c r="BR607" t="s">
        <v>107</v>
      </c>
      <c r="BS607" t="s">
        <v>11984</v>
      </c>
      <c r="BT607" t="str">
        <f>HYPERLINK("https%3A%2F%2Fwww.webofscience.com%2Fwos%2Fwoscc%2Ffull-record%2FWOS:000458227200001","View Full Record in Web of Science")</f>
        <v>View Full Record in Web of Science</v>
      </c>
    </row>
    <row r="608" spans="1:72" x14ac:dyDescent="0.15">
      <c r="A608" t="s">
        <v>72</v>
      </c>
      <c r="B608" t="s">
        <v>11985</v>
      </c>
      <c r="C608" t="s">
        <v>74</v>
      </c>
      <c r="D608" t="s">
        <v>74</v>
      </c>
      <c r="E608" t="s">
        <v>74</v>
      </c>
      <c r="F608" t="s">
        <v>11986</v>
      </c>
      <c r="G608" t="s">
        <v>74</v>
      </c>
      <c r="H608" t="s">
        <v>74</v>
      </c>
      <c r="I608" t="s">
        <v>11987</v>
      </c>
      <c r="J608" t="s">
        <v>1740</v>
      </c>
      <c r="K608" t="s">
        <v>74</v>
      </c>
      <c r="L608" t="s">
        <v>74</v>
      </c>
      <c r="M608" t="s">
        <v>78</v>
      </c>
      <c r="N608" t="s">
        <v>79</v>
      </c>
      <c r="O608" t="s">
        <v>74</v>
      </c>
      <c r="P608" t="s">
        <v>74</v>
      </c>
      <c r="Q608" t="s">
        <v>74</v>
      </c>
      <c r="R608" t="s">
        <v>74</v>
      </c>
      <c r="S608" t="s">
        <v>74</v>
      </c>
      <c r="T608" t="s">
        <v>11988</v>
      </c>
      <c r="U608" t="s">
        <v>11989</v>
      </c>
      <c r="V608" t="s">
        <v>11990</v>
      </c>
      <c r="W608" t="s">
        <v>11991</v>
      </c>
      <c r="X608" t="s">
        <v>11992</v>
      </c>
      <c r="Y608" t="s">
        <v>11993</v>
      </c>
      <c r="Z608" t="s">
        <v>11994</v>
      </c>
      <c r="AA608" t="s">
        <v>11995</v>
      </c>
      <c r="AB608" t="s">
        <v>11996</v>
      </c>
      <c r="AC608" t="s">
        <v>11997</v>
      </c>
      <c r="AD608" t="s">
        <v>11998</v>
      </c>
      <c r="AE608" t="s">
        <v>11999</v>
      </c>
      <c r="AF608" t="s">
        <v>74</v>
      </c>
      <c r="AG608">
        <v>140</v>
      </c>
      <c r="AH608">
        <v>10</v>
      </c>
      <c r="AI608">
        <v>11</v>
      </c>
      <c r="AJ608">
        <v>2</v>
      </c>
      <c r="AK608">
        <v>34</v>
      </c>
      <c r="AL608" t="s">
        <v>634</v>
      </c>
      <c r="AM608" t="s">
        <v>635</v>
      </c>
      <c r="AN608" t="s">
        <v>636</v>
      </c>
      <c r="AO608" t="s">
        <v>1751</v>
      </c>
      <c r="AP608" t="s">
        <v>1752</v>
      </c>
      <c r="AQ608" t="s">
        <v>74</v>
      </c>
      <c r="AR608" t="s">
        <v>1753</v>
      </c>
      <c r="AS608" t="s">
        <v>1754</v>
      </c>
      <c r="AT608" t="s">
        <v>11799</v>
      </c>
      <c r="AU608">
        <v>2019</v>
      </c>
      <c r="AV608">
        <v>516</v>
      </c>
      <c r="AW608" t="s">
        <v>74</v>
      </c>
      <c r="AX608" t="s">
        <v>74</v>
      </c>
      <c r="AY608" t="s">
        <v>74</v>
      </c>
      <c r="AZ608" t="s">
        <v>74</v>
      </c>
      <c r="BA608" t="s">
        <v>74</v>
      </c>
      <c r="BB608">
        <v>71</v>
      </c>
      <c r="BC608">
        <v>89</v>
      </c>
      <c r="BD608" t="s">
        <v>74</v>
      </c>
      <c r="BE608" t="s">
        <v>12000</v>
      </c>
      <c r="BF608" t="str">
        <f>HYPERLINK("http://dx.doi.org/10.1016/j.palaeo.2018.11.028","http://dx.doi.org/10.1016/j.palaeo.2018.11.028")</f>
        <v>http://dx.doi.org/10.1016/j.palaeo.2018.11.028</v>
      </c>
      <c r="BG608" t="s">
        <v>74</v>
      </c>
      <c r="BH608" t="s">
        <v>74</v>
      </c>
      <c r="BI608">
        <v>19</v>
      </c>
      <c r="BJ608" t="s">
        <v>1756</v>
      </c>
      <c r="BK608" t="s">
        <v>102</v>
      </c>
      <c r="BL608" t="s">
        <v>1757</v>
      </c>
      <c r="BM608" t="s">
        <v>12001</v>
      </c>
      <c r="BN608" t="s">
        <v>74</v>
      </c>
      <c r="BO608" t="s">
        <v>5573</v>
      </c>
      <c r="BP608" t="s">
        <v>74</v>
      </c>
      <c r="BQ608" t="s">
        <v>74</v>
      </c>
      <c r="BR608" t="s">
        <v>107</v>
      </c>
      <c r="BS608" t="s">
        <v>12002</v>
      </c>
      <c r="BT608" t="str">
        <f>HYPERLINK("https%3A%2F%2Fwww.webofscience.com%2Fwos%2Fwoscc%2Ffull-record%2FWOS:000456903000008","View Full Record in Web of Science")</f>
        <v>View Full Record in Web of Science</v>
      </c>
    </row>
    <row r="609" spans="1:72" x14ac:dyDescent="0.15">
      <c r="A609" t="s">
        <v>72</v>
      </c>
      <c r="B609" t="s">
        <v>12003</v>
      </c>
      <c r="C609" t="s">
        <v>74</v>
      </c>
      <c r="D609" t="s">
        <v>74</v>
      </c>
      <c r="E609" t="s">
        <v>74</v>
      </c>
      <c r="F609" t="s">
        <v>12004</v>
      </c>
      <c r="G609" t="s">
        <v>74</v>
      </c>
      <c r="H609" t="s">
        <v>74</v>
      </c>
      <c r="I609" t="s">
        <v>12005</v>
      </c>
      <c r="J609" t="s">
        <v>1740</v>
      </c>
      <c r="K609" t="s">
        <v>74</v>
      </c>
      <c r="L609" t="s">
        <v>74</v>
      </c>
      <c r="M609" t="s">
        <v>78</v>
      </c>
      <c r="N609" t="s">
        <v>79</v>
      </c>
      <c r="O609" t="s">
        <v>74</v>
      </c>
      <c r="P609" t="s">
        <v>74</v>
      </c>
      <c r="Q609" t="s">
        <v>74</v>
      </c>
      <c r="R609" t="s">
        <v>74</v>
      </c>
      <c r="S609" t="s">
        <v>74</v>
      </c>
      <c r="T609" t="s">
        <v>12006</v>
      </c>
      <c r="U609" t="s">
        <v>12007</v>
      </c>
      <c r="V609" t="s">
        <v>12008</v>
      </c>
      <c r="W609" t="s">
        <v>12009</v>
      </c>
      <c r="X609" t="s">
        <v>12010</v>
      </c>
      <c r="Y609" t="s">
        <v>12011</v>
      </c>
      <c r="Z609" t="s">
        <v>12012</v>
      </c>
      <c r="AA609" t="s">
        <v>12013</v>
      </c>
      <c r="AB609" t="s">
        <v>12014</v>
      </c>
      <c r="AC609" t="s">
        <v>12015</v>
      </c>
      <c r="AD609" t="s">
        <v>12016</v>
      </c>
      <c r="AE609" t="s">
        <v>12017</v>
      </c>
      <c r="AF609" t="s">
        <v>74</v>
      </c>
      <c r="AG609">
        <v>85</v>
      </c>
      <c r="AH609">
        <v>23</v>
      </c>
      <c r="AI609">
        <v>26</v>
      </c>
      <c r="AJ609">
        <v>6</v>
      </c>
      <c r="AK609">
        <v>75</v>
      </c>
      <c r="AL609" t="s">
        <v>662</v>
      </c>
      <c r="AM609" t="s">
        <v>635</v>
      </c>
      <c r="AN609" t="s">
        <v>663</v>
      </c>
      <c r="AO609" t="s">
        <v>1751</v>
      </c>
      <c r="AP609" t="s">
        <v>1752</v>
      </c>
      <c r="AQ609" t="s">
        <v>74</v>
      </c>
      <c r="AR609" t="s">
        <v>1753</v>
      </c>
      <c r="AS609" t="s">
        <v>1754</v>
      </c>
      <c r="AT609" t="s">
        <v>11799</v>
      </c>
      <c r="AU609">
        <v>2019</v>
      </c>
      <c r="AV609">
        <v>516</v>
      </c>
      <c r="AW609" t="s">
        <v>74</v>
      </c>
      <c r="AX609" t="s">
        <v>74</v>
      </c>
      <c r="AY609" t="s">
        <v>74</v>
      </c>
      <c r="AZ609" t="s">
        <v>74</v>
      </c>
      <c r="BA609" t="s">
        <v>74</v>
      </c>
      <c r="BB609">
        <v>113</v>
      </c>
      <c r="BC609">
        <v>125</v>
      </c>
      <c r="BD609" t="s">
        <v>74</v>
      </c>
      <c r="BE609" t="s">
        <v>12018</v>
      </c>
      <c r="BF609" t="str">
        <f>HYPERLINK("http://dx.doi.org/10.1016/j.palaeo.2018.11.040","http://dx.doi.org/10.1016/j.palaeo.2018.11.040")</f>
        <v>http://dx.doi.org/10.1016/j.palaeo.2018.11.040</v>
      </c>
      <c r="BG609" t="s">
        <v>74</v>
      </c>
      <c r="BH609" t="s">
        <v>74</v>
      </c>
      <c r="BI609">
        <v>13</v>
      </c>
      <c r="BJ609" t="s">
        <v>1756</v>
      </c>
      <c r="BK609" t="s">
        <v>102</v>
      </c>
      <c r="BL609" t="s">
        <v>1757</v>
      </c>
      <c r="BM609" t="s">
        <v>12001</v>
      </c>
      <c r="BN609" t="s">
        <v>74</v>
      </c>
      <c r="BO609" t="s">
        <v>1014</v>
      </c>
      <c r="BP609" t="s">
        <v>74</v>
      </c>
      <c r="BQ609" t="s">
        <v>74</v>
      </c>
      <c r="BR609" t="s">
        <v>107</v>
      </c>
      <c r="BS609" t="s">
        <v>12019</v>
      </c>
      <c r="BT609" t="str">
        <f>HYPERLINK("https%3A%2F%2Fwww.webofscience.com%2Fwos%2Fwoscc%2Ffull-record%2FWOS:000456903000011","View Full Record in Web of Science")</f>
        <v>View Full Record in Web of Science</v>
      </c>
    </row>
    <row r="610" spans="1:72" x14ac:dyDescent="0.15">
      <c r="A610" t="s">
        <v>72</v>
      </c>
      <c r="B610" t="s">
        <v>12020</v>
      </c>
      <c r="C610" t="s">
        <v>74</v>
      </c>
      <c r="D610" t="s">
        <v>74</v>
      </c>
      <c r="E610" t="s">
        <v>74</v>
      </c>
      <c r="F610" t="s">
        <v>12021</v>
      </c>
      <c r="G610" t="s">
        <v>74</v>
      </c>
      <c r="H610" t="s">
        <v>74</v>
      </c>
      <c r="I610" t="s">
        <v>12022</v>
      </c>
      <c r="J610" t="s">
        <v>1740</v>
      </c>
      <c r="K610" t="s">
        <v>74</v>
      </c>
      <c r="L610" t="s">
        <v>74</v>
      </c>
      <c r="M610" t="s">
        <v>78</v>
      </c>
      <c r="N610" t="s">
        <v>79</v>
      </c>
      <c r="O610" t="s">
        <v>74</v>
      </c>
      <c r="P610" t="s">
        <v>74</v>
      </c>
      <c r="Q610" t="s">
        <v>74</v>
      </c>
      <c r="R610" t="s">
        <v>74</v>
      </c>
      <c r="S610" t="s">
        <v>74</v>
      </c>
      <c r="T610" t="s">
        <v>12023</v>
      </c>
      <c r="U610" t="s">
        <v>12024</v>
      </c>
      <c r="V610" t="s">
        <v>12025</v>
      </c>
      <c r="W610" t="s">
        <v>12026</v>
      </c>
      <c r="X610" t="s">
        <v>12027</v>
      </c>
      <c r="Y610" t="s">
        <v>12028</v>
      </c>
      <c r="Z610" t="s">
        <v>12029</v>
      </c>
      <c r="AA610" t="s">
        <v>12030</v>
      </c>
      <c r="AB610" t="s">
        <v>74</v>
      </c>
      <c r="AC610" t="s">
        <v>12031</v>
      </c>
      <c r="AD610" t="s">
        <v>12032</v>
      </c>
      <c r="AE610" t="s">
        <v>12033</v>
      </c>
      <c r="AF610" t="s">
        <v>74</v>
      </c>
      <c r="AG610">
        <v>93</v>
      </c>
      <c r="AH610">
        <v>7</v>
      </c>
      <c r="AI610">
        <v>7</v>
      </c>
      <c r="AJ610">
        <v>3</v>
      </c>
      <c r="AK610">
        <v>45</v>
      </c>
      <c r="AL610" t="s">
        <v>634</v>
      </c>
      <c r="AM610" t="s">
        <v>635</v>
      </c>
      <c r="AN610" t="s">
        <v>636</v>
      </c>
      <c r="AO610" t="s">
        <v>1751</v>
      </c>
      <c r="AP610" t="s">
        <v>1752</v>
      </c>
      <c r="AQ610" t="s">
        <v>74</v>
      </c>
      <c r="AR610" t="s">
        <v>1753</v>
      </c>
      <c r="AS610" t="s">
        <v>1754</v>
      </c>
      <c r="AT610" t="s">
        <v>11799</v>
      </c>
      <c r="AU610">
        <v>2019</v>
      </c>
      <c r="AV610">
        <v>516</v>
      </c>
      <c r="AW610" t="s">
        <v>74</v>
      </c>
      <c r="AX610" t="s">
        <v>74</v>
      </c>
      <c r="AY610" t="s">
        <v>74</v>
      </c>
      <c r="AZ610" t="s">
        <v>74</v>
      </c>
      <c r="BA610" t="s">
        <v>74</v>
      </c>
      <c r="BB610">
        <v>220</v>
      </c>
      <c r="BC610">
        <v>231</v>
      </c>
      <c r="BD610" t="s">
        <v>74</v>
      </c>
      <c r="BE610" t="s">
        <v>12034</v>
      </c>
      <c r="BF610" t="str">
        <f>HYPERLINK("http://dx.doi.org/10.1016/j.palaeo.2018.11.027","http://dx.doi.org/10.1016/j.palaeo.2018.11.027")</f>
        <v>http://dx.doi.org/10.1016/j.palaeo.2018.11.027</v>
      </c>
      <c r="BG610" t="s">
        <v>74</v>
      </c>
      <c r="BH610" t="s">
        <v>74</v>
      </c>
      <c r="BI610">
        <v>12</v>
      </c>
      <c r="BJ610" t="s">
        <v>1756</v>
      </c>
      <c r="BK610" t="s">
        <v>102</v>
      </c>
      <c r="BL610" t="s">
        <v>1757</v>
      </c>
      <c r="BM610" t="s">
        <v>12001</v>
      </c>
      <c r="BN610" t="s">
        <v>74</v>
      </c>
      <c r="BO610" t="s">
        <v>74</v>
      </c>
      <c r="BP610" t="s">
        <v>74</v>
      </c>
      <c r="BQ610" t="s">
        <v>74</v>
      </c>
      <c r="BR610" t="s">
        <v>107</v>
      </c>
      <c r="BS610" t="s">
        <v>12035</v>
      </c>
      <c r="BT610" t="str">
        <f>HYPERLINK("https%3A%2F%2Fwww.webofscience.com%2Fwos%2Fwoscc%2Ffull-record%2FWOS:000456903000019","View Full Record in Web of Science")</f>
        <v>View Full Record in Web of Science</v>
      </c>
    </row>
    <row r="611" spans="1:72" x14ac:dyDescent="0.15">
      <c r="A611" t="s">
        <v>72</v>
      </c>
      <c r="B611" t="s">
        <v>12036</v>
      </c>
      <c r="C611" t="s">
        <v>74</v>
      </c>
      <c r="D611" t="s">
        <v>74</v>
      </c>
      <c r="E611" t="s">
        <v>74</v>
      </c>
      <c r="F611" t="s">
        <v>12037</v>
      </c>
      <c r="G611" t="s">
        <v>74</v>
      </c>
      <c r="H611" t="s">
        <v>74</v>
      </c>
      <c r="I611" t="s">
        <v>12038</v>
      </c>
      <c r="J611" t="s">
        <v>1829</v>
      </c>
      <c r="K611" t="s">
        <v>74</v>
      </c>
      <c r="L611" t="s">
        <v>74</v>
      </c>
      <c r="M611" t="s">
        <v>78</v>
      </c>
      <c r="N611" t="s">
        <v>79</v>
      </c>
      <c r="O611" t="s">
        <v>74</v>
      </c>
      <c r="P611" t="s">
        <v>74</v>
      </c>
      <c r="Q611" t="s">
        <v>74</v>
      </c>
      <c r="R611" t="s">
        <v>74</v>
      </c>
      <c r="S611" t="s">
        <v>74</v>
      </c>
      <c r="T611" t="s">
        <v>12039</v>
      </c>
      <c r="U611" t="s">
        <v>12040</v>
      </c>
      <c r="V611" t="s">
        <v>12041</v>
      </c>
      <c r="W611" t="s">
        <v>12042</v>
      </c>
      <c r="X611" t="s">
        <v>12043</v>
      </c>
      <c r="Y611" t="s">
        <v>12044</v>
      </c>
      <c r="Z611" t="s">
        <v>12045</v>
      </c>
      <c r="AA611" t="s">
        <v>12046</v>
      </c>
      <c r="AB611" t="s">
        <v>12047</v>
      </c>
      <c r="AC611" t="s">
        <v>12048</v>
      </c>
      <c r="AD611" t="s">
        <v>12049</v>
      </c>
      <c r="AE611" t="s">
        <v>12050</v>
      </c>
      <c r="AF611" t="s">
        <v>74</v>
      </c>
      <c r="AG611">
        <v>88</v>
      </c>
      <c r="AH611">
        <v>26</v>
      </c>
      <c r="AI611">
        <v>30</v>
      </c>
      <c r="AJ611">
        <v>3</v>
      </c>
      <c r="AK611">
        <v>52</v>
      </c>
      <c r="AL611" t="s">
        <v>378</v>
      </c>
      <c r="AM611" t="s">
        <v>93</v>
      </c>
      <c r="AN611" t="s">
        <v>379</v>
      </c>
      <c r="AO611" t="s">
        <v>1842</v>
      </c>
      <c r="AP611" t="s">
        <v>1843</v>
      </c>
      <c r="AQ611" t="s">
        <v>74</v>
      </c>
      <c r="AR611" t="s">
        <v>1844</v>
      </c>
      <c r="AS611" t="s">
        <v>1845</v>
      </c>
      <c r="AT611" t="s">
        <v>11799</v>
      </c>
      <c r="AU611">
        <v>2019</v>
      </c>
      <c r="AV611">
        <v>247</v>
      </c>
      <c r="AW611" t="s">
        <v>74</v>
      </c>
      <c r="AX611" t="s">
        <v>74</v>
      </c>
      <c r="AY611" t="s">
        <v>74</v>
      </c>
      <c r="AZ611" t="s">
        <v>74</v>
      </c>
      <c r="BA611" t="s">
        <v>74</v>
      </c>
      <c r="BB611">
        <v>261</v>
      </c>
      <c r="BC611">
        <v>279</v>
      </c>
      <c r="BD611" t="s">
        <v>74</v>
      </c>
      <c r="BE611" t="s">
        <v>12051</v>
      </c>
      <c r="BF611" t="str">
        <f>HYPERLINK("http://dx.doi.org/10.1016/j.gca.2018.12.003","http://dx.doi.org/10.1016/j.gca.2018.12.003")</f>
        <v>http://dx.doi.org/10.1016/j.gca.2018.12.003</v>
      </c>
      <c r="BG611" t="s">
        <v>74</v>
      </c>
      <c r="BH611" t="s">
        <v>74</v>
      </c>
      <c r="BI611">
        <v>19</v>
      </c>
      <c r="BJ611" t="s">
        <v>643</v>
      </c>
      <c r="BK611" t="s">
        <v>102</v>
      </c>
      <c r="BL611" t="s">
        <v>643</v>
      </c>
      <c r="BM611" t="s">
        <v>12052</v>
      </c>
      <c r="BN611" t="s">
        <v>74</v>
      </c>
      <c r="BO611" t="s">
        <v>3785</v>
      </c>
      <c r="BP611" t="s">
        <v>74</v>
      </c>
      <c r="BQ611" t="s">
        <v>74</v>
      </c>
      <c r="BR611" t="s">
        <v>107</v>
      </c>
      <c r="BS611" t="s">
        <v>12053</v>
      </c>
      <c r="BT611" t="str">
        <f>HYPERLINK("https%3A%2F%2Fwww.webofscience.com%2Fwos%2Fwoscc%2Ffull-record%2FWOS:000456159500016","View Full Record in Web of Science")</f>
        <v>View Full Record in Web of Science</v>
      </c>
    </row>
    <row r="612" spans="1:72" x14ac:dyDescent="0.15">
      <c r="A612" t="s">
        <v>72</v>
      </c>
      <c r="B612" t="s">
        <v>12054</v>
      </c>
      <c r="C612" t="s">
        <v>74</v>
      </c>
      <c r="D612" t="s">
        <v>74</v>
      </c>
      <c r="E612" t="s">
        <v>74</v>
      </c>
      <c r="F612" t="s">
        <v>12055</v>
      </c>
      <c r="G612" t="s">
        <v>74</v>
      </c>
      <c r="H612" t="s">
        <v>74</v>
      </c>
      <c r="I612" t="s">
        <v>12056</v>
      </c>
      <c r="J612" t="s">
        <v>5999</v>
      </c>
      <c r="K612" t="s">
        <v>74</v>
      </c>
      <c r="L612" t="s">
        <v>74</v>
      </c>
      <c r="M612" t="s">
        <v>78</v>
      </c>
      <c r="N612" t="s">
        <v>469</v>
      </c>
      <c r="O612" t="s">
        <v>74</v>
      </c>
      <c r="P612" t="s">
        <v>74</v>
      </c>
      <c r="Q612" t="s">
        <v>74</v>
      </c>
      <c r="R612" t="s">
        <v>74</v>
      </c>
      <c r="S612" t="s">
        <v>74</v>
      </c>
      <c r="T612" t="s">
        <v>12057</v>
      </c>
      <c r="U612" t="s">
        <v>12058</v>
      </c>
      <c r="V612" t="s">
        <v>12059</v>
      </c>
      <c r="W612" t="s">
        <v>12060</v>
      </c>
      <c r="X612" t="s">
        <v>12061</v>
      </c>
      <c r="Y612" t="s">
        <v>12062</v>
      </c>
      <c r="Z612" t="s">
        <v>12063</v>
      </c>
      <c r="AA612" t="s">
        <v>12064</v>
      </c>
      <c r="AB612" t="s">
        <v>12065</v>
      </c>
      <c r="AC612" t="s">
        <v>74</v>
      </c>
      <c r="AD612" t="s">
        <v>74</v>
      </c>
      <c r="AE612" t="s">
        <v>74</v>
      </c>
      <c r="AF612" t="s">
        <v>74</v>
      </c>
      <c r="AG612">
        <v>204</v>
      </c>
      <c r="AH612">
        <v>63</v>
      </c>
      <c r="AI612">
        <v>67</v>
      </c>
      <c r="AJ612">
        <v>7</v>
      </c>
      <c r="AK612">
        <v>233</v>
      </c>
      <c r="AL612" t="s">
        <v>634</v>
      </c>
      <c r="AM612" t="s">
        <v>635</v>
      </c>
      <c r="AN612" t="s">
        <v>636</v>
      </c>
      <c r="AO612" t="s">
        <v>6012</v>
      </c>
      <c r="AP612" t="s">
        <v>6013</v>
      </c>
      <c r="AQ612" t="s">
        <v>74</v>
      </c>
      <c r="AR612" t="s">
        <v>6014</v>
      </c>
      <c r="AS612" t="s">
        <v>6015</v>
      </c>
      <c r="AT612" t="s">
        <v>11799</v>
      </c>
      <c r="AU612">
        <v>2019</v>
      </c>
      <c r="AV612">
        <v>651</v>
      </c>
      <c r="AW612" t="s">
        <v>74</v>
      </c>
      <c r="AX612">
        <v>1</v>
      </c>
      <c r="AY612" t="s">
        <v>74</v>
      </c>
      <c r="AZ612" t="s">
        <v>74</v>
      </c>
      <c r="BA612" t="s">
        <v>74</v>
      </c>
      <c r="BB612">
        <v>1534</v>
      </c>
      <c r="BC612">
        <v>1548</v>
      </c>
      <c r="BD612" t="s">
        <v>74</v>
      </c>
      <c r="BE612" t="s">
        <v>12066</v>
      </c>
      <c r="BF612" t="str">
        <f>HYPERLINK("http://dx.doi.org/10.1016/j.scitotenv.2018.09.168","http://dx.doi.org/10.1016/j.scitotenv.2018.09.168")</f>
        <v>http://dx.doi.org/10.1016/j.scitotenv.2018.09.168</v>
      </c>
      <c r="BG612" t="s">
        <v>74</v>
      </c>
      <c r="BH612" t="s">
        <v>74</v>
      </c>
      <c r="BI612">
        <v>15</v>
      </c>
      <c r="BJ612" t="s">
        <v>2296</v>
      </c>
      <c r="BK612" t="s">
        <v>102</v>
      </c>
      <c r="BL612" t="s">
        <v>2297</v>
      </c>
      <c r="BM612" t="s">
        <v>12067</v>
      </c>
      <c r="BN612">
        <v>30360282</v>
      </c>
      <c r="BO612" t="s">
        <v>74</v>
      </c>
      <c r="BP612" t="s">
        <v>74</v>
      </c>
      <c r="BQ612" t="s">
        <v>74</v>
      </c>
      <c r="BR612" t="s">
        <v>107</v>
      </c>
      <c r="BS612" t="s">
        <v>12068</v>
      </c>
      <c r="BT612" t="str">
        <f>HYPERLINK("https%3A%2F%2Fwww.webofscience.com%2Fwos%2Fwoscc%2Ffull-record%2FWOS:000447915400148","View Full Record in Web of Science")</f>
        <v>View Full Record in Web of Science</v>
      </c>
    </row>
    <row r="613" spans="1:72" x14ac:dyDescent="0.15">
      <c r="A613" t="s">
        <v>72</v>
      </c>
      <c r="B613" t="s">
        <v>12069</v>
      </c>
      <c r="C613" t="s">
        <v>74</v>
      </c>
      <c r="D613" t="s">
        <v>74</v>
      </c>
      <c r="E613" t="s">
        <v>74</v>
      </c>
      <c r="F613" t="s">
        <v>12070</v>
      </c>
      <c r="G613" t="s">
        <v>74</v>
      </c>
      <c r="H613" t="s">
        <v>74</v>
      </c>
      <c r="I613" t="s">
        <v>12071</v>
      </c>
      <c r="J613" t="s">
        <v>2189</v>
      </c>
      <c r="K613" t="s">
        <v>74</v>
      </c>
      <c r="L613" t="s">
        <v>74</v>
      </c>
      <c r="M613" t="s">
        <v>78</v>
      </c>
      <c r="N613" t="s">
        <v>79</v>
      </c>
      <c r="O613" t="s">
        <v>74</v>
      </c>
      <c r="P613" t="s">
        <v>74</v>
      </c>
      <c r="Q613" t="s">
        <v>74</v>
      </c>
      <c r="R613" t="s">
        <v>74</v>
      </c>
      <c r="S613" t="s">
        <v>74</v>
      </c>
      <c r="T613" t="s">
        <v>12072</v>
      </c>
      <c r="U613" t="s">
        <v>12073</v>
      </c>
      <c r="V613" t="s">
        <v>12074</v>
      </c>
      <c r="W613" t="s">
        <v>12075</v>
      </c>
      <c r="X613" t="s">
        <v>12076</v>
      </c>
      <c r="Y613" t="s">
        <v>12077</v>
      </c>
      <c r="Z613" t="s">
        <v>12078</v>
      </c>
      <c r="AA613" t="s">
        <v>12079</v>
      </c>
      <c r="AB613" t="s">
        <v>12080</v>
      </c>
      <c r="AC613" t="s">
        <v>12081</v>
      </c>
      <c r="AD613" t="s">
        <v>12082</v>
      </c>
      <c r="AE613" t="s">
        <v>12083</v>
      </c>
      <c r="AF613" t="s">
        <v>74</v>
      </c>
      <c r="AG613">
        <v>31</v>
      </c>
      <c r="AH613">
        <v>1</v>
      </c>
      <c r="AI613">
        <v>1</v>
      </c>
      <c r="AJ613">
        <v>0</v>
      </c>
      <c r="AK613">
        <v>3</v>
      </c>
      <c r="AL613" t="s">
        <v>2055</v>
      </c>
      <c r="AM613" t="s">
        <v>2056</v>
      </c>
      <c r="AN613" t="s">
        <v>2057</v>
      </c>
      <c r="AO613" t="s">
        <v>2201</v>
      </c>
      <c r="AP613" t="s">
        <v>2202</v>
      </c>
      <c r="AQ613" t="s">
        <v>74</v>
      </c>
      <c r="AR613" t="s">
        <v>2203</v>
      </c>
      <c r="AS613" t="s">
        <v>2204</v>
      </c>
      <c r="AT613" t="s">
        <v>12084</v>
      </c>
      <c r="AU613">
        <v>2019</v>
      </c>
      <c r="AV613">
        <v>38</v>
      </c>
      <c r="AW613" t="s">
        <v>74</v>
      </c>
      <c r="AX613" t="s">
        <v>74</v>
      </c>
      <c r="AY613" t="s">
        <v>74</v>
      </c>
      <c r="AZ613" t="s">
        <v>74</v>
      </c>
      <c r="BA613" t="s">
        <v>74</v>
      </c>
      <c r="BB613" t="s">
        <v>74</v>
      </c>
      <c r="BC613" t="s">
        <v>74</v>
      </c>
      <c r="BD613">
        <v>3438</v>
      </c>
      <c r="BE613" t="s">
        <v>12085</v>
      </c>
      <c r="BF613" t="str">
        <f>HYPERLINK("http://dx.doi.org/10.33265/polar.v38.3438","http://dx.doi.org/10.33265/polar.v38.3438")</f>
        <v>http://dx.doi.org/10.33265/polar.v38.3438</v>
      </c>
      <c r="BG613" t="s">
        <v>74</v>
      </c>
      <c r="BH613" t="s">
        <v>74</v>
      </c>
      <c r="BI613">
        <v>5</v>
      </c>
      <c r="BJ613" t="s">
        <v>2207</v>
      </c>
      <c r="BK613" t="s">
        <v>102</v>
      </c>
      <c r="BL613" t="s">
        <v>2208</v>
      </c>
      <c r="BM613" t="s">
        <v>12086</v>
      </c>
      <c r="BN613" t="s">
        <v>74</v>
      </c>
      <c r="BO613" t="s">
        <v>2531</v>
      </c>
      <c r="BP613" t="s">
        <v>74</v>
      </c>
      <c r="BQ613" t="s">
        <v>74</v>
      </c>
      <c r="BR613" t="s">
        <v>107</v>
      </c>
      <c r="BS613" t="s">
        <v>12087</v>
      </c>
      <c r="BT613" t="str">
        <f>HYPERLINK("https%3A%2F%2Fwww.webofscience.com%2Fwos%2Fwoscc%2Ffull-record%2FWOS:000474229100001","View Full Record in Web of Science")</f>
        <v>View Full Record in Web of Science</v>
      </c>
    </row>
    <row r="614" spans="1:72" x14ac:dyDescent="0.15">
      <c r="A614" t="s">
        <v>72</v>
      </c>
      <c r="B614" t="s">
        <v>12088</v>
      </c>
      <c r="C614" t="s">
        <v>74</v>
      </c>
      <c r="D614" t="s">
        <v>74</v>
      </c>
      <c r="E614" t="s">
        <v>74</v>
      </c>
      <c r="F614" t="s">
        <v>12089</v>
      </c>
      <c r="G614" t="s">
        <v>74</v>
      </c>
      <c r="H614" t="s">
        <v>74</v>
      </c>
      <c r="I614" t="s">
        <v>12090</v>
      </c>
      <c r="J614" t="s">
        <v>1125</v>
      </c>
      <c r="K614" t="s">
        <v>74</v>
      </c>
      <c r="L614" t="s">
        <v>74</v>
      </c>
      <c r="M614" t="s">
        <v>78</v>
      </c>
      <c r="N614" t="s">
        <v>79</v>
      </c>
      <c r="O614" t="s">
        <v>74</v>
      </c>
      <c r="P614" t="s">
        <v>74</v>
      </c>
      <c r="Q614" t="s">
        <v>74</v>
      </c>
      <c r="R614" t="s">
        <v>74</v>
      </c>
      <c r="S614" t="s">
        <v>74</v>
      </c>
      <c r="T614" t="s">
        <v>74</v>
      </c>
      <c r="U614" t="s">
        <v>12091</v>
      </c>
      <c r="V614" t="s">
        <v>12092</v>
      </c>
      <c r="W614" t="s">
        <v>12093</v>
      </c>
      <c r="X614" t="s">
        <v>12094</v>
      </c>
      <c r="Y614" t="s">
        <v>12095</v>
      </c>
      <c r="Z614" t="s">
        <v>12096</v>
      </c>
      <c r="AA614" t="s">
        <v>12097</v>
      </c>
      <c r="AB614" t="s">
        <v>12098</v>
      </c>
      <c r="AC614" t="s">
        <v>12099</v>
      </c>
      <c r="AD614" t="s">
        <v>12100</v>
      </c>
      <c r="AE614" t="s">
        <v>12101</v>
      </c>
      <c r="AF614" t="s">
        <v>74</v>
      </c>
      <c r="AG614">
        <v>23</v>
      </c>
      <c r="AH614">
        <v>16</v>
      </c>
      <c r="AI614">
        <v>17</v>
      </c>
      <c r="AJ614">
        <v>0</v>
      </c>
      <c r="AK614">
        <v>3</v>
      </c>
      <c r="AL614" t="s">
        <v>868</v>
      </c>
      <c r="AM614" t="s">
        <v>869</v>
      </c>
      <c r="AN614" t="s">
        <v>870</v>
      </c>
      <c r="AO614" t="s">
        <v>1137</v>
      </c>
      <c r="AP614" t="s">
        <v>1138</v>
      </c>
      <c r="AQ614" t="s">
        <v>74</v>
      </c>
      <c r="AR614" t="s">
        <v>1125</v>
      </c>
      <c r="AS614" t="s">
        <v>1139</v>
      </c>
      <c r="AT614" t="s">
        <v>12084</v>
      </c>
      <c r="AU614">
        <v>2019</v>
      </c>
      <c r="AV614">
        <v>13</v>
      </c>
      <c r="AW614">
        <v>2</v>
      </c>
      <c r="AX614" t="s">
        <v>74</v>
      </c>
      <c r="AY614" t="s">
        <v>74</v>
      </c>
      <c r="AZ614" t="s">
        <v>74</v>
      </c>
      <c r="BA614" t="s">
        <v>74</v>
      </c>
      <c r="BB614">
        <v>545</v>
      </c>
      <c r="BC614">
        <v>556</v>
      </c>
      <c r="BD614" t="s">
        <v>74</v>
      </c>
      <c r="BE614" t="s">
        <v>12102</v>
      </c>
      <c r="BF614" t="str">
        <f>HYPERLINK("http://dx.doi.org/10.5194/tc-13-545-2019","http://dx.doi.org/10.5194/tc-13-545-2019")</f>
        <v>http://dx.doi.org/10.5194/tc-13-545-2019</v>
      </c>
      <c r="BG614" t="s">
        <v>74</v>
      </c>
      <c r="BH614" t="s">
        <v>74</v>
      </c>
      <c r="BI614">
        <v>12</v>
      </c>
      <c r="BJ614" t="s">
        <v>1142</v>
      </c>
      <c r="BK614" t="s">
        <v>102</v>
      </c>
      <c r="BL614" t="s">
        <v>1143</v>
      </c>
      <c r="BM614" t="s">
        <v>12103</v>
      </c>
      <c r="BN614" t="s">
        <v>74</v>
      </c>
      <c r="BO614" t="s">
        <v>3241</v>
      </c>
      <c r="BP614" t="s">
        <v>74</v>
      </c>
      <c r="BQ614" t="s">
        <v>74</v>
      </c>
      <c r="BR614" t="s">
        <v>107</v>
      </c>
      <c r="BS614" t="s">
        <v>12104</v>
      </c>
      <c r="BT614" t="str">
        <f>HYPERLINK("https%3A%2F%2Fwww.webofscience.com%2Fwos%2Fwoscc%2Ffull-record%2FWOS:000458628100002","View Full Record in Web of Science")</f>
        <v>View Full Record in Web of Science</v>
      </c>
    </row>
    <row r="615" spans="1:72" x14ac:dyDescent="0.15">
      <c r="A615" t="s">
        <v>72</v>
      </c>
      <c r="B615" t="s">
        <v>12105</v>
      </c>
      <c r="C615" t="s">
        <v>74</v>
      </c>
      <c r="D615" t="s">
        <v>74</v>
      </c>
      <c r="E615" t="s">
        <v>74</v>
      </c>
      <c r="F615" t="s">
        <v>12106</v>
      </c>
      <c r="G615" t="s">
        <v>74</v>
      </c>
      <c r="H615" t="s">
        <v>74</v>
      </c>
      <c r="I615" t="s">
        <v>12107</v>
      </c>
      <c r="J615" t="s">
        <v>1311</v>
      </c>
      <c r="K615" t="s">
        <v>74</v>
      </c>
      <c r="L615" t="s">
        <v>74</v>
      </c>
      <c r="M615" t="s">
        <v>78</v>
      </c>
      <c r="N615" t="s">
        <v>79</v>
      </c>
      <c r="O615" t="s">
        <v>74</v>
      </c>
      <c r="P615" t="s">
        <v>74</v>
      </c>
      <c r="Q615" t="s">
        <v>74</v>
      </c>
      <c r="R615" t="s">
        <v>74</v>
      </c>
      <c r="S615" t="s">
        <v>74</v>
      </c>
      <c r="T615" t="s">
        <v>12108</v>
      </c>
      <c r="U615" t="s">
        <v>12109</v>
      </c>
      <c r="V615" t="s">
        <v>12110</v>
      </c>
      <c r="W615" t="s">
        <v>12111</v>
      </c>
      <c r="X615" t="s">
        <v>12112</v>
      </c>
      <c r="Y615" t="s">
        <v>12113</v>
      </c>
      <c r="Z615" t="s">
        <v>12114</v>
      </c>
      <c r="AA615" t="s">
        <v>12115</v>
      </c>
      <c r="AB615" t="s">
        <v>12116</v>
      </c>
      <c r="AC615" t="s">
        <v>12117</v>
      </c>
      <c r="AD615" t="s">
        <v>12118</v>
      </c>
      <c r="AE615" t="s">
        <v>12119</v>
      </c>
      <c r="AF615" t="s">
        <v>74</v>
      </c>
      <c r="AG615">
        <v>80</v>
      </c>
      <c r="AH615">
        <v>15</v>
      </c>
      <c r="AI615">
        <v>18</v>
      </c>
      <c r="AJ615">
        <v>6</v>
      </c>
      <c r="AK615">
        <v>31</v>
      </c>
      <c r="AL615" t="s">
        <v>1323</v>
      </c>
      <c r="AM615" t="s">
        <v>1324</v>
      </c>
      <c r="AN615" t="s">
        <v>1325</v>
      </c>
      <c r="AO615" t="s">
        <v>1326</v>
      </c>
      <c r="AP615" t="s">
        <v>1327</v>
      </c>
      <c r="AQ615" t="s">
        <v>74</v>
      </c>
      <c r="AR615" t="s">
        <v>1328</v>
      </c>
      <c r="AS615" t="s">
        <v>1329</v>
      </c>
      <c r="AT615" t="s">
        <v>12084</v>
      </c>
      <c r="AU615">
        <v>2019</v>
      </c>
      <c r="AV615">
        <v>611</v>
      </c>
      <c r="AW615" t="s">
        <v>74</v>
      </c>
      <c r="AX615" t="s">
        <v>74</v>
      </c>
      <c r="AY615" t="s">
        <v>74</v>
      </c>
      <c r="AZ615" t="s">
        <v>74</v>
      </c>
      <c r="BA615" t="s">
        <v>74</v>
      </c>
      <c r="BB615">
        <v>1</v>
      </c>
      <c r="BC615">
        <v>18</v>
      </c>
      <c r="BD615" t="s">
        <v>74</v>
      </c>
      <c r="BE615" t="s">
        <v>12120</v>
      </c>
      <c r="BF615" t="str">
        <f>HYPERLINK("http://dx.doi.org/10.3354/meps12856","http://dx.doi.org/10.3354/meps12856")</f>
        <v>http://dx.doi.org/10.3354/meps12856</v>
      </c>
      <c r="BG615" t="s">
        <v>74</v>
      </c>
      <c r="BH615" t="s">
        <v>74</v>
      </c>
      <c r="BI615">
        <v>18</v>
      </c>
      <c r="BJ615" t="s">
        <v>1332</v>
      </c>
      <c r="BK615" t="s">
        <v>102</v>
      </c>
      <c r="BL615" t="s">
        <v>1333</v>
      </c>
      <c r="BM615" t="s">
        <v>12121</v>
      </c>
      <c r="BN615" t="s">
        <v>74</v>
      </c>
      <c r="BO615" t="s">
        <v>2228</v>
      </c>
      <c r="BP615" t="s">
        <v>74</v>
      </c>
      <c r="BQ615" t="s">
        <v>74</v>
      </c>
      <c r="BR615" t="s">
        <v>107</v>
      </c>
      <c r="BS615" t="s">
        <v>12122</v>
      </c>
      <c r="BT615" t="str">
        <f>HYPERLINK("https%3A%2F%2Fwww.webofscience.com%2Fwos%2Fwoscc%2Ffull-record%2FWOS:000464518200001","View Full Record in Web of Science")</f>
        <v>View Full Record in Web of Science</v>
      </c>
    </row>
    <row r="616" spans="1:72" x14ac:dyDescent="0.15">
      <c r="A616" t="s">
        <v>72</v>
      </c>
      <c r="B616" t="s">
        <v>12123</v>
      </c>
      <c r="C616" t="s">
        <v>74</v>
      </c>
      <c r="D616" t="s">
        <v>74</v>
      </c>
      <c r="E616" t="s">
        <v>74</v>
      </c>
      <c r="F616" t="s">
        <v>12124</v>
      </c>
      <c r="G616" t="s">
        <v>74</v>
      </c>
      <c r="H616" t="s">
        <v>74</v>
      </c>
      <c r="I616" t="s">
        <v>12125</v>
      </c>
      <c r="J616" t="s">
        <v>1042</v>
      </c>
      <c r="K616" t="s">
        <v>74</v>
      </c>
      <c r="L616" t="s">
        <v>74</v>
      </c>
      <c r="M616" t="s">
        <v>78</v>
      </c>
      <c r="N616" t="s">
        <v>79</v>
      </c>
      <c r="O616" t="s">
        <v>74</v>
      </c>
      <c r="P616" t="s">
        <v>74</v>
      </c>
      <c r="Q616" t="s">
        <v>74</v>
      </c>
      <c r="R616" t="s">
        <v>74</v>
      </c>
      <c r="S616" t="s">
        <v>74</v>
      </c>
      <c r="T616" t="s">
        <v>74</v>
      </c>
      <c r="U616" t="s">
        <v>12126</v>
      </c>
      <c r="V616" t="s">
        <v>12127</v>
      </c>
      <c r="W616" t="s">
        <v>12128</v>
      </c>
      <c r="X616" t="s">
        <v>12129</v>
      </c>
      <c r="Y616" t="s">
        <v>12130</v>
      </c>
      <c r="Z616" t="s">
        <v>12131</v>
      </c>
      <c r="AA616" t="s">
        <v>12132</v>
      </c>
      <c r="AB616" t="s">
        <v>12133</v>
      </c>
      <c r="AC616" t="s">
        <v>12134</v>
      </c>
      <c r="AD616" t="s">
        <v>12135</v>
      </c>
      <c r="AE616" t="s">
        <v>12136</v>
      </c>
      <c r="AF616" t="s">
        <v>74</v>
      </c>
      <c r="AG616">
        <v>232</v>
      </c>
      <c r="AH616">
        <v>19</v>
      </c>
      <c r="AI616">
        <v>20</v>
      </c>
      <c r="AJ616">
        <v>0</v>
      </c>
      <c r="AK616">
        <v>14</v>
      </c>
      <c r="AL616" t="s">
        <v>868</v>
      </c>
      <c r="AM616" t="s">
        <v>869</v>
      </c>
      <c r="AN616" t="s">
        <v>870</v>
      </c>
      <c r="AO616" t="s">
        <v>1054</v>
      </c>
      <c r="AP616" t="s">
        <v>1055</v>
      </c>
      <c r="AQ616" t="s">
        <v>74</v>
      </c>
      <c r="AR616" t="s">
        <v>1056</v>
      </c>
      <c r="AS616" t="s">
        <v>1057</v>
      </c>
      <c r="AT616" t="s">
        <v>12137</v>
      </c>
      <c r="AU616">
        <v>2019</v>
      </c>
      <c r="AV616">
        <v>19</v>
      </c>
      <c r="AW616">
        <v>3</v>
      </c>
      <c r="AX616" t="s">
        <v>74</v>
      </c>
      <c r="AY616" t="s">
        <v>74</v>
      </c>
      <c r="AZ616" t="s">
        <v>74</v>
      </c>
      <c r="BA616" t="s">
        <v>74</v>
      </c>
      <c r="BB616">
        <v>1941</v>
      </c>
      <c r="BC616">
        <v>1970</v>
      </c>
      <c r="BD616" t="s">
        <v>74</v>
      </c>
      <c r="BE616" t="s">
        <v>12138</v>
      </c>
      <c r="BF616" t="str">
        <f>HYPERLINK("http://dx.doi.org/10.5194/acp-19-1941-2019","http://dx.doi.org/10.5194/acp-19-1941-2019")</f>
        <v>http://dx.doi.org/10.5194/acp-19-1941-2019</v>
      </c>
      <c r="BG616" t="s">
        <v>74</v>
      </c>
      <c r="BH616" t="s">
        <v>74</v>
      </c>
      <c r="BI616">
        <v>30</v>
      </c>
      <c r="BJ616" t="s">
        <v>1060</v>
      </c>
      <c r="BK616" t="s">
        <v>102</v>
      </c>
      <c r="BL616" t="s">
        <v>338</v>
      </c>
      <c r="BM616" t="s">
        <v>12139</v>
      </c>
      <c r="BN616" t="s">
        <v>74</v>
      </c>
      <c r="BO616" t="s">
        <v>3093</v>
      </c>
      <c r="BP616" t="s">
        <v>74</v>
      </c>
      <c r="BQ616" t="s">
        <v>74</v>
      </c>
      <c r="BR616" t="s">
        <v>107</v>
      </c>
      <c r="BS616" t="s">
        <v>12140</v>
      </c>
      <c r="BT616" t="str">
        <f>HYPERLINK("https%3A%2F%2Fwww.webofscience.com%2Fwos%2Fwoscc%2Ffull-record%2FWOS:000458514200002","View Full Record in Web of Science")</f>
        <v>View Full Record in Web of Science</v>
      </c>
    </row>
    <row r="617" spans="1:72" x14ac:dyDescent="0.15">
      <c r="A617" t="s">
        <v>72</v>
      </c>
      <c r="B617" t="s">
        <v>12141</v>
      </c>
      <c r="C617" t="s">
        <v>74</v>
      </c>
      <c r="D617" t="s">
        <v>74</v>
      </c>
      <c r="E617" t="s">
        <v>74</v>
      </c>
      <c r="F617" t="s">
        <v>12142</v>
      </c>
      <c r="G617" t="s">
        <v>74</v>
      </c>
      <c r="H617" t="s">
        <v>74</v>
      </c>
      <c r="I617" t="s">
        <v>12143</v>
      </c>
      <c r="J617" t="s">
        <v>1938</v>
      </c>
      <c r="K617" t="s">
        <v>74</v>
      </c>
      <c r="L617" t="s">
        <v>74</v>
      </c>
      <c r="M617" t="s">
        <v>78</v>
      </c>
      <c r="N617" t="s">
        <v>79</v>
      </c>
      <c r="O617" t="s">
        <v>74</v>
      </c>
      <c r="P617" t="s">
        <v>74</v>
      </c>
      <c r="Q617" t="s">
        <v>74</v>
      </c>
      <c r="R617" t="s">
        <v>74</v>
      </c>
      <c r="S617" t="s">
        <v>74</v>
      </c>
      <c r="T617" t="s">
        <v>74</v>
      </c>
      <c r="U617" t="s">
        <v>12144</v>
      </c>
      <c r="V617" t="s">
        <v>12145</v>
      </c>
      <c r="W617" t="s">
        <v>12146</v>
      </c>
      <c r="X617" t="s">
        <v>12147</v>
      </c>
      <c r="Y617" t="s">
        <v>12148</v>
      </c>
      <c r="Z617" t="s">
        <v>12149</v>
      </c>
      <c r="AA617" t="s">
        <v>12150</v>
      </c>
      <c r="AB617" t="s">
        <v>12151</v>
      </c>
      <c r="AC617" t="s">
        <v>12152</v>
      </c>
      <c r="AD617" t="s">
        <v>12153</v>
      </c>
      <c r="AE617" t="s">
        <v>12154</v>
      </c>
      <c r="AF617" t="s">
        <v>74</v>
      </c>
      <c r="AG617">
        <v>54</v>
      </c>
      <c r="AH617">
        <v>45</v>
      </c>
      <c r="AI617">
        <v>55</v>
      </c>
      <c r="AJ617">
        <v>6</v>
      </c>
      <c r="AK617">
        <v>18</v>
      </c>
      <c r="AL617" t="s">
        <v>328</v>
      </c>
      <c r="AM617" t="s">
        <v>329</v>
      </c>
      <c r="AN617" t="s">
        <v>330</v>
      </c>
      <c r="AO617" t="s">
        <v>1950</v>
      </c>
      <c r="AP617" t="s">
        <v>74</v>
      </c>
      <c r="AQ617" t="s">
        <v>74</v>
      </c>
      <c r="AR617" t="s">
        <v>1951</v>
      </c>
      <c r="AS617" t="s">
        <v>1952</v>
      </c>
      <c r="AT617" t="s">
        <v>12137</v>
      </c>
      <c r="AU617">
        <v>2019</v>
      </c>
      <c r="AV617">
        <v>10</v>
      </c>
      <c r="AW617" t="s">
        <v>74</v>
      </c>
      <c r="AX617" t="s">
        <v>74</v>
      </c>
      <c r="AY617" t="s">
        <v>74</v>
      </c>
      <c r="AZ617" t="s">
        <v>74</v>
      </c>
      <c r="BA617" t="s">
        <v>74</v>
      </c>
      <c r="BB617" t="s">
        <v>74</v>
      </c>
      <c r="BC617" t="s">
        <v>74</v>
      </c>
      <c r="BD617">
        <v>730</v>
      </c>
      <c r="BE617" t="s">
        <v>12155</v>
      </c>
      <c r="BF617" t="str">
        <f>HYPERLINK("http://dx.doi.org/10.1038/s41467-019-08522-5","http://dx.doi.org/10.1038/s41467-019-08522-5")</f>
        <v>http://dx.doi.org/10.1038/s41467-019-08522-5</v>
      </c>
      <c r="BG617" t="s">
        <v>74</v>
      </c>
      <c r="BH617" t="s">
        <v>74</v>
      </c>
      <c r="BI617">
        <v>10</v>
      </c>
      <c r="BJ617" t="s">
        <v>460</v>
      </c>
      <c r="BK617" t="s">
        <v>102</v>
      </c>
      <c r="BL617" t="s">
        <v>461</v>
      </c>
      <c r="BM617" t="s">
        <v>12156</v>
      </c>
      <c r="BN617">
        <v>30760715</v>
      </c>
      <c r="BO617" t="s">
        <v>1601</v>
      </c>
      <c r="BP617" t="s">
        <v>74</v>
      </c>
      <c r="BQ617" t="s">
        <v>74</v>
      </c>
      <c r="BR617" t="s">
        <v>107</v>
      </c>
      <c r="BS617" t="s">
        <v>12157</v>
      </c>
      <c r="BT617" t="str">
        <f>HYPERLINK("https%3A%2F%2Fwww.webofscience.com%2Fwos%2Fwoscc%2Ffull-record%2FWOS:000458567500010","View Full Record in Web of Science")</f>
        <v>View Full Record in Web of Science</v>
      </c>
    </row>
    <row r="618" spans="1:72" x14ac:dyDescent="0.15">
      <c r="A618" t="s">
        <v>72</v>
      </c>
      <c r="B618" t="s">
        <v>12158</v>
      </c>
      <c r="C618" t="s">
        <v>74</v>
      </c>
      <c r="D618" t="s">
        <v>74</v>
      </c>
      <c r="E618" t="s">
        <v>74</v>
      </c>
      <c r="F618" t="s">
        <v>12159</v>
      </c>
      <c r="G618" t="s">
        <v>74</v>
      </c>
      <c r="H618" t="s">
        <v>74</v>
      </c>
      <c r="I618" t="s">
        <v>12160</v>
      </c>
      <c r="J618" t="s">
        <v>1720</v>
      </c>
      <c r="K618" t="s">
        <v>74</v>
      </c>
      <c r="L618" t="s">
        <v>74</v>
      </c>
      <c r="M618" t="s">
        <v>78</v>
      </c>
      <c r="N618" t="s">
        <v>79</v>
      </c>
      <c r="O618" t="s">
        <v>74</v>
      </c>
      <c r="P618" t="s">
        <v>74</v>
      </c>
      <c r="Q618" t="s">
        <v>74</v>
      </c>
      <c r="R618" t="s">
        <v>74</v>
      </c>
      <c r="S618" t="s">
        <v>74</v>
      </c>
      <c r="T618" t="s">
        <v>74</v>
      </c>
      <c r="U618" t="s">
        <v>12161</v>
      </c>
      <c r="V618" t="s">
        <v>12162</v>
      </c>
      <c r="W618" t="s">
        <v>12163</v>
      </c>
      <c r="X618" t="s">
        <v>12164</v>
      </c>
      <c r="Y618" t="s">
        <v>12165</v>
      </c>
      <c r="Z618" t="s">
        <v>12166</v>
      </c>
      <c r="AA618" t="s">
        <v>12167</v>
      </c>
      <c r="AB618" t="s">
        <v>12168</v>
      </c>
      <c r="AC618" t="s">
        <v>12169</v>
      </c>
      <c r="AD618" t="s">
        <v>12170</v>
      </c>
      <c r="AE618" t="s">
        <v>12171</v>
      </c>
      <c r="AF618" t="s">
        <v>74</v>
      </c>
      <c r="AG618">
        <v>64</v>
      </c>
      <c r="AH618">
        <v>8</v>
      </c>
      <c r="AI618">
        <v>8</v>
      </c>
      <c r="AJ618">
        <v>12</v>
      </c>
      <c r="AK618">
        <v>33</v>
      </c>
      <c r="AL618" t="s">
        <v>1393</v>
      </c>
      <c r="AM618" t="s">
        <v>1371</v>
      </c>
      <c r="AN618" t="s">
        <v>1372</v>
      </c>
      <c r="AO618" t="s">
        <v>1731</v>
      </c>
      <c r="AP618" t="s">
        <v>74</v>
      </c>
      <c r="AQ618" t="s">
        <v>74</v>
      </c>
      <c r="AR618" t="s">
        <v>1732</v>
      </c>
      <c r="AS618" t="s">
        <v>1733</v>
      </c>
      <c r="AT618" t="s">
        <v>12137</v>
      </c>
      <c r="AU618">
        <v>2019</v>
      </c>
      <c r="AV618">
        <v>9</v>
      </c>
      <c r="AW618" t="s">
        <v>74</v>
      </c>
      <c r="AX618" t="s">
        <v>74</v>
      </c>
      <c r="AY618" t="s">
        <v>74</v>
      </c>
      <c r="AZ618" t="s">
        <v>74</v>
      </c>
      <c r="BA618" t="s">
        <v>74</v>
      </c>
      <c r="BB618" t="s">
        <v>74</v>
      </c>
      <c r="BC618" t="s">
        <v>74</v>
      </c>
      <c r="BD618">
        <v>1890</v>
      </c>
      <c r="BE618" t="s">
        <v>12172</v>
      </c>
      <c r="BF618" t="str">
        <f>HYPERLINK("http://dx.doi.org/10.1038/s41598-018-36233-2","http://dx.doi.org/10.1038/s41598-018-36233-2")</f>
        <v>http://dx.doi.org/10.1038/s41598-018-36233-2</v>
      </c>
      <c r="BG618" t="s">
        <v>74</v>
      </c>
      <c r="BH618" t="s">
        <v>74</v>
      </c>
      <c r="BI618">
        <v>13</v>
      </c>
      <c r="BJ618" t="s">
        <v>460</v>
      </c>
      <c r="BK618" t="s">
        <v>102</v>
      </c>
      <c r="BL618" t="s">
        <v>461</v>
      </c>
      <c r="BM618" t="s">
        <v>12173</v>
      </c>
      <c r="BN618">
        <v>30760730</v>
      </c>
      <c r="BO618" t="s">
        <v>851</v>
      </c>
      <c r="BP618" t="s">
        <v>74</v>
      </c>
      <c r="BQ618" t="s">
        <v>74</v>
      </c>
      <c r="BR618" t="s">
        <v>107</v>
      </c>
      <c r="BS618" t="s">
        <v>12174</v>
      </c>
      <c r="BT618" t="str">
        <f>HYPERLINK("https%3A%2F%2Fwww.webofscience.com%2Fwos%2Fwoscc%2Ffull-record%2FWOS:000458570600008","View Full Record in Web of Science")</f>
        <v>View Full Record in Web of Science</v>
      </c>
    </row>
    <row r="619" spans="1:72" x14ac:dyDescent="0.15">
      <c r="A619" t="s">
        <v>72</v>
      </c>
      <c r="B619" t="s">
        <v>12175</v>
      </c>
      <c r="C619" t="s">
        <v>74</v>
      </c>
      <c r="D619" t="s">
        <v>74</v>
      </c>
      <c r="E619" t="s">
        <v>74</v>
      </c>
      <c r="F619" t="s">
        <v>12176</v>
      </c>
      <c r="G619" t="s">
        <v>74</v>
      </c>
      <c r="H619" t="s">
        <v>74</v>
      </c>
      <c r="I619" t="s">
        <v>12177</v>
      </c>
      <c r="J619" t="s">
        <v>1720</v>
      </c>
      <c r="K619" t="s">
        <v>74</v>
      </c>
      <c r="L619" t="s">
        <v>74</v>
      </c>
      <c r="M619" t="s">
        <v>78</v>
      </c>
      <c r="N619" t="s">
        <v>79</v>
      </c>
      <c r="O619" t="s">
        <v>74</v>
      </c>
      <c r="P619" t="s">
        <v>74</v>
      </c>
      <c r="Q619" t="s">
        <v>74</v>
      </c>
      <c r="R619" t="s">
        <v>74</v>
      </c>
      <c r="S619" t="s">
        <v>74</v>
      </c>
      <c r="T619" t="s">
        <v>74</v>
      </c>
      <c r="U619" t="s">
        <v>12178</v>
      </c>
      <c r="V619" t="s">
        <v>12179</v>
      </c>
      <c r="W619" t="s">
        <v>12180</v>
      </c>
      <c r="X619" t="s">
        <v>12181</v>
      </c>
      <c r="Y619" t="s">
        <v>12182</v>
      </c>
      <c r="Z619" t="s">
        <v>12183</v>
      </c>
      <c r="AA619" t="s">
        <v>12184</v>
      </c>
      <c r="AB619" t="s">
        <v>12185</v>
      </c>
      <c r="AC619" t="s">
        <v>12186</v>
      </c>
      <c r="AD619" t="s">
        <v>12186</v>
      </c>
      <c r="AE619" t="s">
        <v>12187</v>
      </c>
      <c r="AF619" t="s">
        <v>74</v>
      </c>
      <c r="AG619">
        <v>64</v>
      </c>
      <c r="AH619">
        <v>15</v>
      </c>
      <c r="AI619">
        <v>15</v>
      </c>
      <c r="AJ619">
        <v>0</v>
      </c>
      <c r="AK619">
        <v>27</v>
      </c>
      <c r="AL619" t="s">
        <v>1393</v>
      </c>
      <c r="AM619" t="s">
        <v>1371</v>
      </c>
      <c r="AN619" t="s">
        <v>1372</v>
      </c>
      <c r="AO619" t="s">
        <v>1731</v>
      </c>
      <c r="AP619" t="s">
        <v>74</v>
      </c>
      <c r="AQ619" t="s">
        <v>74</v>
      </c>
      <c r="AR619" t="s">
        <v>1732</v>
      </c>
      <c r="AS619" t="s">
        <v>1733</v>
      </c>
      <c r="AT619" t="s">
        <v>12137</v>
      </c>
      <c r="AU619">
        <v>2019</v>
      </c>
      <c r="AV619">
        <v>9</v>
      </c>
      <c r="AW619" t="s">
        <v>74</v>
      </c>
      <c r="AX619" t="s">
        <v>74</v>
      </c>
      <c r="AY619" t="s">
        <v>74</v>
      </c>
      <c r="AZ619" t="s">
        <v>74</v>
      </c>
      <c r="BA619" t="s">
        <v>74</v>
      </c>
      <c r="BB619" t="s">
        <v>74</v>
      </c>
      <c r="BC619" t="s">
        <v>74</v>
      </c>
      <c r="BD619">
        <v>1904</v>
      </c>
      <c r="BE619" t="s">
        <v>12188</v>
      </c>
      <c r="BF619" t="str">
        <f>HYPERLINK("http://dx.doi.org/10.1038/s41598-018-36389-x","http://dx.doi.org/10.1038/s41598-018-36389-x")</f>
        <v>http://dx.doi.org/10.1038/s41598-018-36389-x</v>
      </c>
      <c r="BG619" t="s">
        <v>74</v>
      </c>
      <c r="BH619" t="s">
        <v>74</v>
      </c>
      <c r="BI619">
        <v>11</v>
      </c>
      <c r="BJ619" t="s">
        <v>460</v>
      </c>
      <c r="BK619" t="s">
        <v>102</v>
      </c>
      <c r="BL619" t="s">
        <v>461</v>
      </c>
      <c r="BM619" t="s">
        <v>12189</v>
      </c>
      <c r="BN619">
        <v>30760725</v>
      </c>
      <c r="BO619" t="s">
        <v>12190</v>
      </c>
      <c r="BP619" t="s">
        <v>74</v>
      </c>
      <c r="BQ619" t="s">
        <v>74</v>
      </c>
      <c r="BR619" t="s">
        <v>107</v>
      </c>
      <c r="BS619" t="s">
        <v>12191</v>
      </c>
      <c r="BT619" t="str">
        <f>HYPERLINK("https%3A%2F%2Fwww.webofscience.com%2Fwos%2Fwoscc%2Ffull-record%2FWOS:000458571300012","View Full Record in Web of Science")</f>
        <v>View Full Record in Web of Science</v>
      </c>
    </row>
    <row r="620" spans="1:72" x14ac:dyDescent="0.15">
      <c r="A620" t="s">
        <v>72</v>
      </c>
      <c r="B620" t="s">
        <v>12192</v>
      </c>
      <c r="C620" t="s">
        <v>74</v>
      </c>
      <c r="D620" t="s">
        <v>74</v>
      </c>
      <c r="E620" t="s">
        <v>74</v>
      </c>
      <c r="F620" t="s">
        <v>12193</v>
      </c>
      <c r="G620" t="s">
        <v>74</v>
      </c>
      <c r="H620" t="s">
        <v>74</v>
      </c>
      <c r="I620" t="s">
        <v>12194</v>
      </c>
      <c r="J620" t="s">
        <v>7460</v>
      </c>
      <c r="K620" t="s">
        <v>74</v>
      </c>
      <c r="L620" t="s">
        <v>74</v>
      </c>
      <c r="M620" t="s">
        <v>78</v>
      </c>
      <c r="N620" t="s">
        <v>79</v>
      </c>
      <c r="O620" t="s">
        <v>74</v>
      </c>
      <c r="P620" t="s">
        <v>74</v>
      </c>
      <c r="Q620" t="s">
        <v>74</v>
      </c>
      <c r="R620" t="s">
        <v>74</v>
      </c>
      <c r="S620" t="s">
        <v>74</v>
      </c>
      <c r="T620" t="s">
        <v>74</v>
      </c>
      <c r="U620" t="s">
        <v>12195</v>
      </c>
      <c r="V620" t="s">
        <v>12196</v>
      </c>
      <c r="W620" t="s">
        <v>12197</v>
      </c>
      <c r="X620" t="s">
        <v>12198</v>
      </c>
      <c r="Y620" t="s">
        <v>12199</v>
      </c>
      <c r="Z620" t="s">
        <v>12200</v>
      </c>
      <c r="AA620" t="s">
        <v>74</v>
      </c>
      <c r="AB620" t="s">
        <v>74</v>
      </c>
      <c r="AC620" t="s">
        <v>12201</v>
      </c>
      <c r="AD620" t="s">
        <v>12202</v>
      </c>
      <c r="AE620" t="s">
        <v>12203</v>
      </c>
      <c r="AF620" t="s">
        <v>74</v>
      </c>
      <c r="AG620">
        <v>73</v>
      </c>
      <c r="AH620">
        <v>6</v>
      </c>
      <c r="AI620">
        <v>7</v>
      </c>
      <c r="AJ620">
        <v>0</v>
      </c>
      <c r="AK620">
        <v>6</v>
      </c>
      <c r="AL620" t="s">
        <v>868</v>
      </c>
      <c r="AM620" t="s">
        <v>869</v>
      </c>
      <c r="AN620" t="s">
        <v>870</v>
      </c>
      <c r="AO620" t="s">
        <v>7472</v>
      </c>
      <c r="AP620" t="s">
        <v>7473</v>
      </c>
      <c r="AQ620" t="s">
        <v>74</v>
      </c>
      <c r="AR620" t="s">
        <v>7460</v>
      </c>
      <c r="AS620" t="s">
        <v>7474</v>
      </c>
      <c r="AT620" t="s">
        <v>12137</v>
      </c>
      <c r="AU620">
        <v>2019</v>
      </c>
      <c r="AV620">
        <v>16</v>
      </c>
      <c r="AW620">
        <v>3</v>
      </c>
      <c r="AX620" t="s">
        <v>74</v>
      </c>
      <c r="AY620" t="s">
        <v>74</v>
      </c>
      <c r="AZ620" t="s">
        <v>74</v>
      </c>
      <c r="BA620" t="s">
        <v>74</v>
      </c>
      <c r="BB620">
        <v>797</v>
      </c>
      <c r="BC620">
        <v>810</v>
      </c>
      <c r="BD620" t="s">
        <v>74</v>
      </c>
      <c r="BE620" t="s">
        <v>12204</v>
      </c>
      <c r="BF620" t="str">
        <f>HYPERLINK("http://dx.doi.org/10.5194/bg-16-797-2019","http://dx.doi.org/10.5194/bg-16-797-2019")</f>
        <v>http://dx.doi.org/10.5194/bg-16-797-2019</v>
      </c>
      <c r="BG620" t="s">
        <v>74</v>
      </c>
      <c r="BH620" t="s">
        <v>74</v>
      </c>
      <c r="BI620">
        <v>14</v>
      </c>
      <c r="BJ620" t="s">
        <v>7476</v>
      </c>
      <c r="BK620" t="s">
        <v>102</v>
      </c>
      <c r="BL620" t="s">
        <v>221</v>
      </c>
      <c r="BM620" t="s">
        <v>12205</v>
      </c>
      <c r="BN620" t="s">
        <v>74</v>
      </c>
      <c r="BO620" t="s">
        <v>135</v>
      </c>
      <c r="BP620" t="s">
        <v>74</v>
      </c>
      <c r="BQ620" t="s">
        <v>74</v>
      </c>
      <c r="BR620" t="s">
        <v>107</v>
      </c>
      <c r="BS620" t="s">
        <v>12206</v>
      </c>
      <c r="BT620" t="str">
        <f>HYPERLINK("https%3A%2F%2Fwww.webofscience.com%2Fwos%2Fwoscc%2Ffull-record%2FWOS:000519738800001","View Full Record in Web of Science")</f>
        <v>View Full Record in Web of Science</v>
      </c>
    </row>
    <row r="621" spans="1:72" x14ac:dyDescent="0.15">
      <c r="A621" t="s">
        <v>72</v>
      </c>
      <c r="B621" t="s">
        <v>12207</v>
      </c>
      <c r="C621" t="s">
        <v>74</v>
      </c>
      <c r="D621" t="s">
        <v>74</v>
      </c>
      <c r="E621" t="s">
        <v>74</v>
      </c>
      <c r="F621" t="s">
        <v>12208</v>
      </c>
      <c r="G621" t="s">
        <v>74</v>
      </c>
      <c r="H621" t="s">
        <v>74</v>
      </c>
      <c r="I621" t="s">
        <v>12209</v>
      </c>
      <c r="J621" t="s">
        <v>7763</v>
      </c>
      <c r="K621" t="s">
        <v>74</v>
      </c>
      <c r="L621" t="s">
        <v>74</v>
      </c>
      <c r="M621" t="s">
        <v>78</v>
      </c>
      <c r="N621" t="s">
        <v>8563</v>
      </c>
      <c r="O621" t="s">
        <v>74</v>
      </c>
      <c r="P621" t="s">
        <v>74</v>
      </c>
      <c r="Q621" t="s">
        <v>74</v>
      </c>
      <c r="R621" t="s">
        <v>74</v>
      </c>
      <c r="S621" t="s">
        <v>74</v>
      </c>
      <c r="T621" t="s">
        <v>74</v>
      </c>
      <c r="U621" t="s">
        <v>74</v>
      </c>
      <c r="V621" t="s">
        <v>74</v>
      </c>
      <c r="W621" t="s">
        <v>12210</v>
      </c>
      <c r="X621" t="s">
        <v>12211</v>
      </c>
      <c r="Y621" t="s">
        <v>12212</v>
      </c>
      <c r="Z621" t="s">
        <v>12213</v>
      </c>
      <c r="AA621" t="s">
        <v>12214</v>
      </c>
      <c r="AB621" t="s">
        <v>12215</v>
      </c>
      <c r="AC621" t="s">
        <v>12216</v>
      </c>
      <c r="AD621" t="s">
        <v>12217</v>
      </c>
      <c r="AE621" t="s">
        <v>12218</v>
      </c>
      <c r="AF621" t="s">
        <v>74</v>
      </c>
      <c r="AG621">
        <v>9</v>
      </c>
      <c r="AH621">
        <v>9</v>
      </c>
      <c r="AI621">
        <v>9</v>
      </c>
      <c r="AJ621">
        <v>0</v>
      </c>
      <c r="AK621">
        <v>9</v>
      </c>
      <c r="AL621" t="s">
        <v>7776</v>
      </c>
      <c r="AM621" t="s">
        <v>126</v>
      </c>
      <c r="AN621" t="s">
        <v>7777</v>
      </c>
      <c r="AO621" t="s">
        <v>7778</v>
      </c>
      <c r="AP621" t="s">
        <v>74</v>
      </c>
      <c r="AQ621" t="s">
        <v>74</v>
      </c>
      <c r="AR621" t="s">
        <v>7779</v>
      </c>
      <c r="AS621" t="s">
        <v>7780</v>
      </c>
      <c r="AT621" t="s">
        <v>12219</v>
      </c>
      <c r="AU621">
        <v>2019</v>
      </c>
      <c r="AV621">
        <v>116</v>
      </c>
      <c r="AW621">
        <v>7</v>
      </c>
      <c r="AX621" t="s">
        <v>74</v>
      </c>
      <c r="AY621" t="s">
        <v>74</v>
      </c>
      <c r="AZ621" t="s">
        <v>74</v>
      </c>
      <c r="BA621" t="s">
        <v>74</v>
      </c>
      <c r="BB621">
        <v>2390</v>
      </c>
      <c r="BC621">
        <v>2392</v>
      </c>
      <c r="BD621" t="s">
        <v>74</v>
      </c>
      <c r="BE621" t="s">
        <v>12220</v>
      </c>
      <c r="BF621" t="str">
        <f>HYPERLINK("http://dx.doi.org/10.1073/pnas.1817295116","http://dx.doi.org/10.1073/pnas.1817295116")</f>
        <v>http://dx.doi.org/10.1073/pnas.1817295116</v>
      </c>
      <c r="BG621" t="s">
        <v>74</v>
      </c>
      <c r="BH621" t="s">
        <v>74</v>
      </c>
      <c r="BI621">
        <v>3</v>
      </c>
      <c r="BJ621" t="s">
        <v>460</v>
      </c>
      <c r="BK621" t="s">
        <v>102</v>
      </c>
      <c r="BL621" t="s">
        <v>461</v>
      </c>
      <c r="BM621" t="s">
        <v>12221</v>
      </c>
      <c r="BN621">
        <v>30674685</v>
      </c>
      <c r="BO621" t="s">
        <v>12222</v>
      </c>
      <c r="BP621" t="s">
        <v>74</v>
      </c>
      <c r="BQ621" t="s">
        <v>74</v>
      </c>
      <c r="BR621" t="s">
        <v>107</v>
      </c>
      <c r="BS621" t="s">
        <v>12223</v>
      </c>
      <c r="BT621" t="str">
        <f>HYPERLINK("https%3A%2F%2Fwww.webofscience.com%2Fwos%2Fwoscc%2Ffull-record%2FWOS:000458365600001","View Full Record in Web of Science")</f>
        <v>View Full Record in Web of Science</v>
      </c>
    </row>
    <row r="622" spans="1:72" x14ac:dyDescent="0.15">
      <c r="A622" t="s">
        <v>72</v>
      </c>
      <c r="B622" t="s">
        <v>12224</v>
      </c>
      <c r="C622" t="s">
        <v>74</v>
      </c>
      <c r="D622" t="s">
        <v>74</v>
      </c>
      <c r="E622" t="s">
        <v>74</v>
      </c>
      <c r="F622" t="s">
        <v>12225</v>
      </c>
      <c r="G622" t="s">
        <v>74</v>
      </c>
      <c r="H622" t="s">
        <v>74</v>
      </c>
      <c r="I622" t="s">
        <v>12226</v>
      </c>
      <c r="J622" t="s">
        <v>1938</v>
      </c>
      <c r="K622" t="s">
        <v>74</v>
      </c>
      <c r="L622" t="s">
        <v>74</v>
      </c>
      <c r="M622" t="s">
        <v>78</v>
      </c>
      <c r="N622" t="s">
        <v>79</v>
      </c>
      <c r="O622" t="s">
        <v>74</v>
      </c>
      <c r="P622" t="s">
        <v>74</v>
      </c>
      <c r="Q622" t="s">
        <v>74</v>
      </c>
      <c r="R622" t="s">
        <v>74</v>
      </c>
      <c r="S622" t="s">
        <v>74</v>
      </c>
      <c r="T622" t="s">
        <v>74</v>
      </c>
      <c r="U622" t="s">
        <v>12227</v>
      </c>
      <c r="V622" t="s">
        <v>12228</v>
      </c>
      <c r="W622" t="s">
        <v>12229</v>
      </c>
      <c r="X622" t="s">
        <v>12230</v>
      </c>
      <c r="Y622" t="s">
        <v>12231</v>
      </c>
      <c r="Z622" t="s">
        <v>12232</v>
      </c>
      <c r="AA622" t="s">
        <v>12233</v>
      </c>
      <c r="AB622" t="s">
        <v>12234</v>
      </c>
      <c r="AC622" t="s">
        <v>12235</v>
      </c>
      <c r="AD622" t="s">
        <v>12236</v>
      </c>
      <c r="AE622" t="s">
        <v>12237</v>
      </c>
      <c r="AF622" t="s">
        <v>74</v>
      </c>
      <c r="AG622">
        <v>58</v>
      </c>
      <c r="AH622">
        <v>57</v>
      </c>
      <c r="AI622">
        <v>59</v>
      </c>
      <c r="AJ622">
        <v>4</v>
      </c>
      <c r="AK622">
        <v>8</v>
      </c>
      <c r="AL622" t="s">
        <v>1393</v>
      </c>
      <c r="AM622" t="s">
        <v>1371</v>
      </c>
      <c r="AN622" t="s">
        <v>1372</v>
      </c>
      <c r="AO622" t="s">
        <v>74</v>
      </c>
      <c r="AP622" t="s">
        <v>1950</v>
      </c>
      <c r="AQ622" t="s">
        <v>74</v>
      </c>
      <c r="AR622" t="s">
        <v>1951</v>
      </c>
      <c r="AS622" t="s">
        <v>1952</v>
      </c>
      <c r="AT622" t="s">
        <v>12219</v>
      </c>
      <c r="AU622">
        <v>2019</v>
      </c>
      <c r="AV622">
        <v>10</v>
      </c>
      <c r="AW622" t="s">
        <v>74</v>
      </c>
      <c r="AX622" t="s">
        <v>74</v>
      </c>
      <c r="AY622" t="s">
        <v>74</v>
      </c>
      <c r="AZ622" t="s">
        <v>74</v>
      </c>
      <c r="BA622" t="s">
        <v>74</v>
      </c>
      <c r="BB622" t="s">
        <v>74</v>
      </c>
      <c r="BC622" t="s">
        <v>74</v>
      </c>
      <c r="BD622">
        <v>615</v>
      </c>
      <c r="BE622" t="s">
        <v>12238</v>
      </c>
      <c r="BF622" t="str">
        <f>HYPERLINK("http://dx.doi.org/10.1038/s41467-018-08134-5","http://dx.doi.org/10.1038/s41467-018-08134-5")</f>
        <v>http://dx.doi.org/10.1038/s41467-018-08134-5</v>
      </c>
      <c r="BG622" t="s">
        <v>74</v>
      </c>
      <c r="BH622" t="s">
        <v>74</v>
      </c>
      <c r="BI622">
        <v>11</v>
      </c>
      <c r="BJ622" t="s">
        <v>460</v>
      </c>
      <c r="BK622" t="s">
        <v>102</v>
      </c>
      <c r="BL622" t="s">
        <v>461</v>
      </c>
      <c r="BM622" t="s">
        <v>12239</v>
      </c>
      <c r="BN622">
        <v>30755606</v>
      </c>
      <c r="BO622" t="s">
        <v>2020</v>
      </c>
      <c r="BP622" t="s">
        <v>74</v>
      </c>
      <c r="BQ622" t="s">
        <v>74</v>
      </c>
      <c r="BR622" t="s">
        <v>107</v>
      </c>
      <c r="BS622" t="s">
        <v>12240</v>
      </c>
      <c r="BT622" t="str">
        <f>HYPERLINK("https%3A%2F%2Fwww.webofscience.com%2Fwos%2Fwoscc%2Ffull-record%2FWOS:000458398500002","View Full Record in Web of Science")</f>
        <v>View Full Record in Web of Science</v>
      </c>
    </row>
    <row r="623" spans="1:72" x14ac:dyDescent="0.15">
      <c r="A623" t="s">
        <v>72</v>
      </c>
      <c r="B623" t="s">
        <v>12241</v>
      </c>
      <c r="C623" t="s">
        <v>74</v>
      </c>
      <c r="D623" t="s">
        <v>74</v>
      </c>
      <c r="E623" t="s">
        <v>74</v>
      </c>
      <c r="F623" t="s">
        <v>12242</v>
      </c>
      <c r="G623" t="s">
        <v>74</v>
      </c>
      <c r="H623" t="s">
        <v>74</v>
      </c>
      <c r="I623" t="s">
        <v>12243</v>
      </c>
      <c r="J623" t="s">
        <v>5999</v>
      </c>
      <c r="K623" t="s">
        <v>74</v>
      </c>
      <c r="L623" t="s">
        <v>74</v>
      </c>
      <c r="M623" t="s">
        <v>78</v>
      </c>
      <c r="N623" t="s">
        <v>79</v>
      </c>
      <c r="O623" t="s">
        <v>74</v>
      </c>
      <c r="P623" t="s">
        <v>74</v>
      </c>
      <c r="Q623" t="s">
        <v>74</v>
      </c>
      <c r="R623" t="s">
        <v>74</v>
      </c>
      <c r="S623" t="s">
        <v>74</v>
      </c>
      <c r="T623" t="s">
        <v>12244</v>
      </c>
      <c r="U623" t="s">
        <v>12245</v>
      </c>
      <c r="V623" t="s">
        <v>12246</v>
      </c>
      <c r="W623" t="s">
        <v>12247</v>
      </c>
      <c r="X623" t="s">
        <v>12248</v>
      </c>
      <c r="Y623" t="s">
        <v>12249</v>
      </c>
      <c r="Z623" t="s">
        <v>12250</v>
      </c>
      <c r="AA623" t="s">
        <v>12251</v>
      </c>
      <c r="AB623" t="s">
        <v>12252</v>
      </c>
      <c r="AC623" t="s">
        <v>12253</v>
      </c>
      <c r="AD623" t="s">
        <v>12254</v>
      </c>
      <c r="AE623" t="s">
        <v>12255</v>
      </c>
      <c r="AF623" t="s">
        <v>74</v>
      </c>
      <c r="AG623">
        <v>80</v>
      </c>
      <c r="AH623">
        <v>22</v>
      </c>
      <c r="AI623">
        <v>24</v>
      </c>
      <c r="AJ623">
        <v>4</v>
      </c>
      <c r="AK623">
        <v>89</v>
      </c>
      <c r="AL623" t="s">
        <v>634</v>
      </c>
      <c r="AM623" t="s">
        <v>635</v>
      </c>
      <c r="AN623" t="s">
        <v>636</v>
      </c>
      <c r="AO623" t="s">
        <v>6012</v>
      </c>
      <c r="AP623" t="s">
        <v>6013</v>
      </c>
      <c r="AQ623" t="s">
        <v>74</v>
      </c>
      <c r="AR623" t="s">
        <v>6014</v>
      </c>
      <c r="AS623" t="s">
        <v>6015</v>
      </c>
      <c r="AT623" t="s">
        <v>12256</v>
      </c>
      <c r="AU623">
        <v>2019</v>
      </c>
      <c r="AV623">
        <v>650</v>
      </c>
      <c r="AW623" t="s">
        <v>74</v>
      </c>
      <c r="AX623">
        <v>2</v>
      </c>
      <c r="AY623" t="s">
        <v>74</v>
      </c>
      <c r="AZ623" t="s">
        <v>74</v>
      </c>
      <c r="BA623" t="s">
        <v>74</v>
      </c>
      <c r="BB623">
        <v>1889</v>
      </c>
      <c r="BC623">
        <v>1897</v>
      </c>
      <c r="BD623" t="s">
        <v>74</v>
      </c>
      <c r="BE623" t="s">
        <v>12257</v>
      </c>
      <c r="BF623" t="str">
        <f>HYPERLINK("http://dx.doi.org/10.1016/j.scitotenv.2018.09.287","http://dx.doi.org/10.1016/j.scitotenv.2018.09.287")</f>
        <v>http://dx.doi.org/10.1016/j.scitotenv.2018.09.287</v>
      </c>
      <c r="BG623" t="s">
        <v>74</v>
      </c>
      <c r="BH623" t="s">
        <v>74</v>
      </c>
      <c r="BI623">
        <v>9</v>
      </c>
      <c r="BJ623" t="s">
        <v>2296</v>
      </c>
      <c r="BK623" t="s">
        <v>102</v>
      </c>
      <c r="BL623" t="s">
        <v>2297</v>
      </c>
      <c r="BM623" t="s">
        <v>12258</v>
      </c>
      <c r="BN623">
        <v>30286355</v>
      </c>
      <c r="BO623" t="s">
        <v>403</v>
      </c>
      <c r="BP623" t="s">
        <v>74</v>
      </c>
      <c r="BQ623" t="s">
        <v>74</v>
      </c>
      <c r="BR623" t="s">
        <v>107</v>
      </c>
      <c r="BS623" t="s">
        <v>12259</v>
      </c>
      <c r="BT623" t="str">
        <f>HYPERLINK("https%3A%2F%2Fwww.webofscience.com%2Fwos%2Fwoscc%2Ffull-record%2FWOS:000447871400023","View Full Record in Web of Science")</f>
        <v>View Full Record in Web of Science</v>
      </c>
    </row>
    <row r="624" spans="1:72" x14ac:dyDescent="0.15">
      <c r="A624" t="s">
        <v>72</v>
      </c>
      <c r="B624" t="s">
        <v>12260</v>
      </c>
      <c r="C624" t="s">
        <v>74</v>
      </c>
      <c r="D624" t="s">
        <v>74</v>
      </c>
      <c r="E624" t="s">
        <v>74</v>
      </c>
      <c r="F624" t="s">
        <v>12261</v>
      </c>
      <c r="G624" t="s">
        <v>74</v>
      </c>
      <c r="H624" t="s">
        <v>74</v>
      </c>
      <c r="I624" t="s">
        <v>12262</v>
      </c>
      <c r="J624" t="s">
        <v>5999</v>
      </c>
      <c r="K624" t="s">
        <v>74</v>
      </c>
      <c r="L624" t="s">
        <v>74</v>
      </c>
      <c r="M624" t="s">
        <v>78</v>
      </c>
      <c r="N624" t="s">
        <v>79</v>
      </c>
      <c r="O624" t="s">
        <v>74</v>
      </c>
      <c r="P624" t="s">
        <v>74</v>
      </c>
      <c r="Q624" t="s">
        <v>74</v>
      </c>
      <c r="R624" t="s">
        <v>74</v>
      </c>
      <c r="S624" t="s">
        <v>74</v>
      </c>
      <c r="T624" t="s">
        <v>12263</v>
      </c>
      <c r="U624" t="s">
        <v>12264</v>
      </c>
      <c r="V624" t="s">
        <v>12265</v>
      </c>
      <c r="W624" t="s">
        <v>12266</v>
      </c>
      <c r="X624" t="s">
        <v>12267</v>
      </c>
      <c r="Y624" t="s">
        <v>12268</v>
      </c>
      <c r="Z624" t="s">
        <v>12269</v>
      </c>
      <c r="AA624" t="s">
        <v>12270</v>
      </c>
      <c r="AB624" t="s">
        <v>12271</v>
      </c>
      <c r="AC624" t="s">
        <v>12272</v>
      </c>
      <c r="AD624" t="s">
        <v>12273</v>
      </c>
      <c r="AE624" t="s">
        <v>12274</v>
      </c>
      <c r="AF624" t="s">
        <v>74</v>
      </c>
      <c r="AG624">
        <v>53</v>
      </c>
      <c r="AH624">
        <v>8</v>
      </c>
      <c r="AI624">
        <v>10</v>
      </c>
      <c r="AJ624">
        <v>2</v>
      </c>
      <c r="AK624">
        <v>50</v>
      </c>
      <c r="AL624" t="s">
        <v>634</v>
      </c>
      <c r="AM624" t="s">
        <v>635</v>
      </c>
      <c r="AN624" t="s">
        <v>636</v>
      </c>
      <c r="AO624" t="s">
        <v>6012</v>
      </c>
      <c r="AP624" t="s">
        <v>6013</v>
      </c>
      <c r="AQ624" t="s">
        <v>74</v>
      </c>
      <c r="AR624" t="s">
        <v>6014</v>
      </c>
      <c r="AS624" t="s">
        <v>6015</v>
      </c>
      <c r="AT624" t="s">
        <v>12256</v>
      </c>
      <c r="AU624">
        <v>2019</v>
      </c>
      <c r="AV624">
        <v>650</v>
      </c>
      <c r="AW624" t="s">
        <v>74</v>
      </c>
      <c r="AX624">
        <v>2</v>
      </c>
      <c r="AY624" t="s">
        <v>74</v>
      </c>
      <c r="AZ624" t="s">
        <v>74</v>
      </c>
      <c r="BA624" t="s">
        <v>74</v>
      </c>
      <c r="BB624">
        <v>2117</v>
      </c>
      <c r="BC624">
        <v>2128</v>
      </c>
      <c r="BD624" t="s">
        <v>74</v>
      </c>
      <c r="BE624" t="s">
        <v>12275</v>
      </c>
      <c r="BF624" t="str">
        <f>HYPERLINK("http://dx.doi.org/10.1016/j.scitotenv.2018.09.360","http://dx.doi.org/10.1016/j.scitotenv.2018.09.360")</f>
        <v>http://dx.doi.org/10.1016/j.scitotenv.2018.09.360</v>
      </c>
      <c r="BG624" t="s">
        <v>74</v>
      </c>
      <c r="BH624" t="s">
        <v>74</v>
      </c>
      <c r="BI624">
        <v>12</v>
      </c>
      <c r="BJ624" t="s">
        <v>2296</v>
      </c>
      <c r="BK624" t="s">
        <v>102</v>
      </c>
      <c r="BL624" t="s">
        <v>2297</v>
      </c>
      <c r="BM624" t="s">
        <v>12258</v>
      </c>
      <c r="BN624">
        <v>30290353</v>
      </c>
      <c r="BO624" t="s">
        <v>403</v>
      </c>
      <c r="BP624" t="s">
        <v>74</v>
      </c>
      <c r="BQ624" t="s">
        <v>74</v>
      </c>
      <c r="BR624" t="s">
        <v>107</v>
      </c>
      <c r="BS624" t="s">
        <v>12276</v>
      </c>
      <c r="BT624" t="str">
        <f>HYPERLINK("https%3A%2F%2Fwww.webofscience.com%2Fwos%2Fwoscc%2Ffull-record%2FWOS:000447871400045","View Full Record in Web of Science")</f>
        <v>View Full Record in Web of Science</v>
      </c>
    </row>
    <row r="625" spans="1:72" x14ac:dyDescent="0.15">
      <c r="A625" t="s">
        <v>72</v>
      </c>
      <c r="B625" t="s">
        <v>12277</v>
      </c>
      <c r="C625" t="s">
        <v>74</v>
      </c>
      <c r="D625" t="s">
        <v>74</v>
      </c>
      <c r="E625" t="s">
        <v>74</v>
      </c>
      <c r="F625" t="s">
        <v>12278</v>
      </c>
      <c r="G625" t="s">
        <v>74</v>
      </c>
      <c r="H625" t="s">
        <v>74</v>
      </c>
      <c r="I625" t="s">
        <v>12279</v>
      </c>
      <c r="J625" t="s">
        <v>1720</v>
      </c>
      <c r="K625" t="s">
        <v>74</v>
      </c>
      <c r="L625" t="s">
        <v>74</v>
      </c>
      <c r="M625" t="s">
        <v>78</v>
      </c>
      <c r="N625" t="s">
        <v>79</v>
      </c>
      <c r="O625" t="s">
        <v>74</v>
      </c>
      <c r="P625" t="s">
        <v>74</v>
      </c>
      <c r="Q625" t="s">
        <v>74</v>
      </c>
      <c r="R625" t="s">
        <v>74</v>
      </c>
      <c r="S625" t="s">
        <v>74</v>
      </c>
      <c r="T625" t="s">
        <v>74</v>
      </c>
      <c r="U625" t="s">
        <v>12280</v>
      </c>
      <c r="V625" t="s">
        <v>12281</v>
      </c>
      <c r="W625" t="s">
        <v>12282</v>
      </c>
      <c r="X625" t="s">
        <v>2352</v>
      </c>
      <c r="Y625" t="s">
        <v>12283</v>
      </c>
      <c r="Z625" t="s">
        <v>12284</v>
      </c>
      <c r="AA625" t="s">
        <v>12285</v>
      </c>
      <c r="AB625" t="s">
        <v>12286</v>
      </c>
      <c r="AC625" t="s">
        <v>12287</v>
      </c>
      <c r="AD625" t="s">
        <v>12288</v>
      </c>
      <c r="AE625" t="s">
        <v>12289</v>
      </c>
      <c r="AF625" t="s">
        <v>74</v>
      </c>
      <c r="AG625">
        <v>82</v>
      </c>
      <c r="AH625">
        <v>17</v>
      </c>
      <c r="AI625">
        <v>20</v>
      </c>
      <c r="AJ625">
        <v>1</v>
      </c>
      <c r="AK625">
        <v>19</v>
      </c>
      <c r="AL625" t="s">
        <v>328</v>
      </c>
      <c r="AM625" t="s">
        <v>329</v>
      </c>
      <c r="AN625" t="s">
        <v>330</v>
      </c>
      <c r="AO625" t="s">
        <v>1731</v>
      </c>
      <c r="AP625" t="s">
        <v>74</v>
      </c>
      <c r="AQ625" t="s">
        <v>74</v>
      </c>
      <c r="AR625" t="s">
        <v>1732</v>
      </c>
      <c r="AS625" t="s">
        <v>1733</v>
      </c>
      <c r="AT625" t="s">
        <v>12290</v>
      </c>
      <c r="AU625">
        <v>2019</v>
      </c>
      <c r="AV625">
        <v>9</v>
      </c>
      <c r="AW625" t="s">
        <v>74</v>
      </c>
      <c r="AX625" t="s">
        <v>74</v>
      </c>
      <c r="AY625" t="s">
        <v>74</v>
      </c>
      <c r="AZ625" t="s">
        <v>74</v>
      </c>
      <c r="BA625" t="s">
        <v>74</v>
      </c>
      <c r="BB625" t="s">
        <v>74</v>
      </c>
      <c r="BC625" t="s">
        <v>74</v>
      </c>
      <c r="BD625">
        <v>1677</v>
      </c>
      <c r="BE625" t="s">
        <v>12291</v>
      </c>
      <c r="BF625" t="str">
        <f>HYPERLINK("http://dx.doi.org/10.1038/s41598-019-39149-7","http://dx.doi.org/10.1038/s41598-019-39149-7")</f>
        <v>http://dx.doi.org/10.1038/s41598-019-39149-7</v>
      </c>
      <c r="BG625" t="s">
        <v>74</v>
      </c>
      <c r="BH625" t="s">
        <v>74</v>
      </c>
      <c r="BI625">
        <v>13</v>
      </c>
      <c r="BJ625" t="s">
        <v>460</v>
      </c>
      <c r="BK625" t="s">
        <v>102</v>
      </c>
      <c r="BL625" t="s">
        <v>461</v>
      </c>
      <c r="BM625" t="s">
        <v>12292</v>
      </c>
      <c r="BN625">
        <v>30737466</v>
      </c>
      <c r="BO625" t="s">
        <v>1100</v>
      </c>
      <c r="BP625" t="s">
        <v>74</v>
      </c>
      <c r="BQ625" t="s">
        <v>74</v>
      </c>
      <c r="BR625" t="s">
        <v>107</v>
      </c>
      <c r="BS625" t="s">
        <v>12293</v>
      </c>
      <c r="BT625" t="str">
        <f>HYPERLINK("https%3A%2F%2Fwww.webofscience.com%2Fwos%2Fwoscc%2Ffull-record%2FWOS:000458178100009","View Full Record in Web of Science")</f>
        <v>View Full Record in Web of Science</v>
      </c>
    </row>
    <row r="626" spans="1:72" x14ac:dyDescent="0.15">
      <c r="A626" t="s">
        <v>72</v>
      </c>
      <c r="B626" t="s">
        <v>12294</v>
      </c>
      <c r="C626" t="s">
        <v>74</v>
      </c>
      <c r="D626" t="s">
        <v>74</v>
      </c>
      <c r="E626" t="s">
        <v>74</v>
      </c>
      <c r="F626" t="s">
        <v>12295</v>
      </c>
      <c r="G626" t="s">
        <v>74</v>
      </c>
      <c r="H626" t="s">
        <v>74</v>
      </c>
      <c r="I626" t="s">
        <v>12296</v>
      </c>
      <c r="J626" t="s">
        <v>808</v>
      </c>
      <c r="K626" t="s">
        <v>74</v>
      </c>
      <c r="L626" t="s">
        <v>74</v>
      </c>
      <c r="M626" t="s">
        <v>78</v>
      </c>
      <c r="N626" t="s">
        <v>79</v>
      </c>
      <c r="O626" t="s">
        <v>74</v>
      </c>
      <c r="P626" t="s">
        <v>74</v>
      </c>
      <c r="Q626" t="s">
        <v>74</v>
      </c>
      <c r="R626" t="s">
        <v>74</v>
      </c>
      <c r="S626" t="s">
        <v>74</v>
      </c>
      <c r="T626" t="s">
        <v>12297</v>
      </c>
      <c r="U626" t="s">
        <v>12298</v>
      </c>
      <c r="V626" t="s">
        <v>12299</v>
      </c>
      <c r="W626" t="s">
        <v>12300</v>
      </c>
      <c r="X626" t="s">
        <v>12301</v>
      </c>
      <c r="Y626" t="s">
        <v>12302</v>
      </c>
      <c r="Z626" t="s">
        <v>12303</v>
      </c>
      <c r="AA626" t="s">
        <v>12304</v>
      </c>
      <c r="AB626" t="s">
        <v>12305</v>
      </c>
      <c r="AC626" t="s">
        <v>12306</v>
      </c>
      <c r="AD626" t="s">
        <v>12307</v>
      </c>
      <c r="AE626" t="s">
        <v>12308</v>
      </c>
      <c r="AF626" t="s">
        <v>74</v>
      </c>
      <c r="AG626">
        <v>66</v>
      </c>
      <c r="AH626">
        <v>18</v>
      </c>
      <c r="AI626">
        <v>18</v>
      </c>
      <c r="AJ626">
        <v>1</v>
      </c>
      <c r="AK626">
        <v>13</v>
      </c>
      <c r="AL626" t="s">
        <v>821</v>
      </c>
      <c r="AM626" t="s">
        <v>822</v>
      </c>
      <c r="AN626" t="s">
        <v>823</v>
      </c>
      <c r="AO626" t="s">
        <v>74</v>
      </c>
      <c r="AP626" t="s">
        <v>824</v>
      </c>
      <c r="AQ626" t="s">
        <v>74</v>
      </c>
      <c r="AR626" t="s">
        <v>825</v>
      </c>
      <c r="AS626" t="s">
        <v>826</v>
      </c>
      <c r="AT626" t="s">
        <v>12309</v>
      </c>
      <c r="AU626">
        <v>2019</v>
      </c>
      <c r="AV626">
        <v>6</v>
      </c>
      <c r="AW626" t="s">
        <v>74</v>
      </c>
      <c r="AX626" t="s">
        <v>74</v>
      </c>
      <c r="AY626" t="s">
        <v>74</v>
      </c>
      <c r="AZ626" t="s">
        <v>74</v>
      </c>
      <c r="BA626" t="s">
        <v>74</v>
      </c>
      <c r="BB626" t="s">
        <v>74</v>
      </c>
      <c r="BC626" t="s">
        <v>74</v>
      </c>
      <c r="BD626">
        <v>24</v>
      </c>
      <c r="BE626" t="s">
        <v>12310</v>
      </c>
      <c r="BF626" t="str">
        <f>HYPERLINK("http://dx.doi.org/10.3389/fmars.2019.00024","http://dx.doi.org/10.3389/fmars.2019.00024")</f>
        <v>http://dx.doi.org/10.3389/fmars.2019.00024</v>
      </c>
      <c r="BG626" t="s">
        <v>74</v>
      </c>
      <c r="BH626" t="s">
        <v>74</v>
      </c>
      <c r="BI626">
        <v>12</v>
      </c>
      <c r="BJ626" t="s">
        <v>829</v>
      </c>
      <c r="BK626" t="s">
        <v>102</v>
      </c>
      <c r="BL626" t="s">
        <v>830</v>
      </c>
      <c r="BM626" t="s">
        <v>12311</v>
      </c>
      <c r="BN626" t="s">
        <v>74</v>
      </c>
      <c r="BO626" t="s">
        <v>851</v>
      </c>
      <c r="BP626" t="s">
        <v>74</v>
      </c>
      <c r="BQ626" t="s">
        <v>74</v>
      </c>
      <c r="BR626" t="s">
        <v>107</v>
      </c>
      <c r="BS626" t="s">
        <v>12312</v>
      </c>
      <c r="BT626" t="str">
        <f>HYPERLINK("https%3A%2F%2Fwww.webofscience.com%2Fwos%2Fwoscc%2Ffull-record%2FWOS:000462663400001","View Full Record in Web of Science")</f>
        <v>View Full Record in Web of Science</v>
      </c>
    </row>
    <row r="627" spans="1:72" x14ac:dyDescent="0.15">
      <c r="A627" t="s">
        <v>72</v>
      </c>
      <c r="B627" t="s">
        <v>12313</v>
      </c>
      <c r="C627" t="s">
        <v>74</v>
      </c>
      <c r="D627" t="s">
        <v>74</v>
      </c>
      <c r="E627" t="s">
        <v>74</v>
      </c>
      <c r="F627" t="s">
        <v>12314</v>
      </c>
      <c r="G627" t="s">
        <v>74</v>
      </c>
      <c r="H627" t="s">
        <v>74</v>
      </c>
      <c r="I627" t="s">
        <v>12315</v>
      </c>
      <c r="J627" t="s">
        <v>12316</v>
      </c>
      <c r="K627" t="s">
        <v>74</v>
      </c>
      <c r="L627" t="s">
        <v>74</v>
      </c>
      <c r="M627" t="s">
        <v>78</v>
      </c>
      <c r="N627" t="s">
        <v>79</v>
      </c>
      <c r="O627" t="s">
        <v>74</v>
      </c>
      <c r="P627" t="s">
        <v>74</v>
      </c>
      <c r="Q627" t="s">
        <v>74</v>
      </c>
      <c r="R627" t="s">
        <v>74</v>
      </c>
      <c r="S627" t="s">
        <v>74</v>
      </c>
      <c r="T627" t="s">
        <v>74</v>
      </c>
      <c r="U627" t="s">
        <v>12317</v>
      </c>
      <c r="V627" t="s">
        <v>12318</v>
      </c>
      <c r="W627" t="s">
        <v>12319</v>
      </c>
      <c r="X627" t="s">
        <v>12320</v>
      </c>
      <c r="Y627" t="s">
        <v>12321</v>
      </c>
      <c r="Z627" t="s">
        <v>12322</v>
      </c>
      <c r="AA627" t="s">
        <v>74</v>
      </c>
      <c r="AB627" t="s">
        <v>12323</v>
      </c>
      <c r="AC627" t="s">
        <v>74</v>
      </c>
      <c r="AD627" t="s">
        <v>74</v>
      </c>
      <c r="AE627" t="s">
        <v>74</v>
      </c>
      <c r="AF627" t="s">
        <v>74</v>
      </c>
      <c r="AG627">
        <v>40</v>
      </c>
      <c r="AH627">
        <v>16</v>
      </c>
      <c r="AI627">
        <v>18</v>
      </c>
      <c r="AJ627">
        <v>1</v>
      </c>
      <c r="AK627">
        <v>44</v>
      </c>
      <c r="AL627" t="s">
        <v>1486</v>
      </c>
      <c r="AM627" t="s">
        <v>126</v>
      </c>
      <c r="AN627" t="s">
        <v>1487</v>
      </c>
      <c r="AO627" t="s">
        <v>12324</v>
      </c>
      <c r="AP627" t="s">
        <v>74</v>
      </c>
      <c r="AQ627" t="s">
        <v>74</v>
      </c>
      <c r="AR627" t="s">
        <v>12325</v>
      </c>
      <c r="AS627" t="s">
        <v>12326</v>
      </c>
      <c r="AT627" t="s">
        <v>12309</v>
      </c>
      <c r="AU627">
        <v>2019</v>
      </c>
      <c r="AV627">
        <v>10</v>
      </c>
      <c r="AW627">
        <v>3</v>
      </c>
      <c r="AX627" t="s">
        <v>74</v>
      </c>
      <c r="AY627" t="s">
        <v>74</v>
      </c>
      <c r="AZ627" t="s">
        <v>74</v>
      </c>
      <c r="BA627" t="s">
        <v>74</v>
      </c>
      <c r="BB627">
        <v>352</v>
      </c>
      <c r="BC627">
        <v>357</v>
      </c>
      <c r="BD627" t="s">
        <v>74</v>
      </c>
      <c r="BE627" t="s">
        <v>12327</v>
      </c>
      <c r="BF627" t="str">
        <f>HYPERLINK("http://dx.doi.org/10.1021/acs.jpclett.8b03468","http://dx.doi.org/10.1021/acs.jpclett.8b03468")</f>
        <v>http://dx.doi.org/10.1021/acs.jpclett.8b03468</v>
      </c>
      <c r="BG627" t="s">
        <v>74</v>
      </c>
      <c r="BH627" t="s">
        <v>74</v>
      </c>
      <c r="BI627">
        <v>11</v>
      </c>
      <c r="BJ627" t="s">
        <v>12328</v>
      </c>
      <c r="BK627" t="s">
        <v>102</v>
      </c>
      <c r="BL627" t="s">
        <v>12329</v>
      </c>
      <c r="BM627" t="s">
        <v>12330</v>
      </c>
      <c r="BN627">
        <v>30615465</v>
      </c>
      <c r="BO627" t="s">
        <v>645</v>
      </c>
      <c r="BP627" t="s">
        <v>74</v>
      </c>
      <c r="BQ627" t="s">
        <v>74</v>
      </c>
      <c r="BR627" t="s">
        <v>107</v>
      </c>
      <c r="BS627" t="s">
        <v>12331</v>
      </c>
      <c r="BT627" t="str">
        <f>HYPERLINK("https%3A%2F%2Fwww.webofscience.com%2Fwos%2Fwoscc%2Ffull-record%2FWOS:000458704800006","View Full Record in Web of Science")</f>
        <v>View Full Record in Web of Science</v>
      </c>
    </row>
    <row r="628" spans="1:72" x14ac:dyDescent="0.15">
      <c r="A628" t="s">
        <v>72</v>
      </c>
      <c r="B628" t="s">
        <v>12332</v>
      </c>
      <c r="C628" t="s">
        <v>74</v>
      </c>
      <c r="D628" t="s">
        <v>74</v>
      </c>
      <c r="E628" t="s">
        <v>74</v>
      </c>
      <c r="F628" t="s">
        <v>12333</v>
      </c>
      <c r="G628" t="s">
        <v>74</v>
      </c>
      <c r="H628" t="s">
        <v>74</v>
      </c>
      <c r="I628" t="s">
        <v>12334</v>
      </c>
      <c r="J628" t="s">
        <v>12335</v>
      </c>
      <c r="K628" t="s">
        <v>74</v>
      </c>
      <c r="L628" t="s">
        <v>74</v>
      </c>
      <c r="M628" t="s">
        <v>78</v>
      </c>
      <c r="N628" t="s">
        <v>79</v>
      </c>
      <c r="O628" t="s">
        <v>74</v>
      </c>
      <c r="P628" t="s">
        <v>74</v>
      </c>
      <c r="Q628" t="s">
        <v>74</v>
      </c>
      <c r="R628" t="s">
        <v>74</v>
      </c>
      <c r="S628" t="s">
        <v>74</v>
      </c>
      <c r="T628" t="s">
        <v>12336</v>
      </c>
      <c r="U628" t="s">
        <v>12337</v>
      </c>
      <c r="V628" t="s">
        <v>12338</v>
      </c>
      <c r="W628" t="s">
        <v>12339</v>
      </c>
      <c r="X628" t="s">
        <v>12340</v>
      </c>
      <c r="Y628" t="s">
        <v>12341</v>
      </c>
      <c r="Z628" t="s">
        <v>12342</v>
      </c>
      <c r="AA628" t="s">
        <v>12343</v>
      </c>
      <c r="AB628" t="s">
        <v>12344</v>
      </c>
      <c r="AC628" t="s">
        <v>74</v>
      </c>
      <c r="AD628" t="s">
        <v>74</v>
      </c>
      <c r="AE628" t="s">
        <v>74</v>
      </c>
      <c r="AF628" t="s">
        <v>74</v>
      </c>
      <c r="AG628">
        <v>25</v>
      </c>
      <c r="AH628">
        <v>1</v>
      </c>
      <c r="AI628">
        <v>2</v>
      </c>
      <c r="AJ628">
        <v>0</v>
      </c>
      <c r="AK628">
        <v>3</v>
      </c>
      <c r="AL628" t="s">
        <v>2055</v>
      </c>
      <c r="AM628" t="s">
        <v>2056</v>
      </c>
      <c r="AN628" t="s">
        <v>2057</v>
      </c>
      <c r="AO628" t="s">
        <v>12345</v>
      </c>
      <c r="AP628" t="s">
        <v>12346</v>
      </c>
      <c r="AQ628" t="s">
        <v>74</v>
      </c>
      <c r="AR628" t="s">
        <v>12347</v>
      </c>
      <c r="AS628" t="s">
        <v>12348</v>
      </c>
      <c r="AT628" t="s">
        <v>12309</v>
      </c>
      <c r="AU628">
        <v>2019</v>
      </c>
      <c r="AV628">
        <v>31</v>
      </c>
      <c r="AW628">
        <v>2</v>
      </c>
      <c r="AX628" t="s">
        <v>74</v>
      </c>
      <c r="AY628" t="s">
        <v>74</v>
      </c>
      <c r="AZ628" t="s">
        <v>74</v>
      </c>
      <c r="BA628" t="s">
        <v>74</v>
      </c>
      <c r="BB628">
        <v>177</v>
      </c>
      <c r="BC628">
        <v>180</v>
      </c>
      <c r="BD628" t="s">
        <v>74</v>
      </c>
      <c r="BE628" t="s">
        <v>12349</v>
      </c>
      <c r="BF628" t="str">
        <f>HYPERLINK("http://dx.doi.org/10.1080/08912963.2017.1353606","http://dx.doi.org/10.1080/08912963.2017.1353606")</f>
        <v>http://dx.doi.org/10.1080/08912963.2017.1353606</v>
      </c>
      <c r="BG628" t="s">
        <v>74</v>
      </c>
      <c r="BH628" t="s">
        <v>74</v>
      </c>
      <c r="BI628">
        <v>4</v>
      </c>
      <c r="BJ628" t="s">
        <v>12350</v>
      </c>
      <c r="BK628" t="s">
        <v>102</v>
      </c>
      <c r="BL628" t="s">
        <v>12351</v>
      </c>
      <c r="BM628" t="s">
        <v>12352</v>
      </c>
      <c r="BN628" t="s">
        <v>74</v>
      </c>
      <c r="BO628" t="s">
        <v>74</v>
      </c>
      <c r="BP628" t="s">
        <v>74</v>
      </c>
      <c r="BQ628" t="s">
        <v>74</v>
      </c>
      <c r="BR628" t="s">
        <v>107</v>
      </c>
      <c r="BS628" t="s">
        <v>12353</v>
      </c>
      <c r="BT628" t="str">
        <f>HYPERLINK("https%3A%2F%2Fwww.webofscience.com%2Fwos%2Fwoscc%2Ffull-record%2FWOS:000456012500008","View Full Record in Web of Science")</f>
        <v>View Full Record in Web of Science</v>
      </c>
    </row>
    <row r="629" spans="1:72" x14ac:dyDescent="0.15">
      <c r="A629" t="s">
        <v>72</v>
      </c>
      <c r="B629" t="s">
        <v>12354</v>
      </c>
      <c r="C629" t="s">
        <v>74</v>
      </c>
      <c r="D629" t="s">
        <v>74</v>
      </c>
      <c r="E629" t="s">
        <v>74</v>
      </c>
      <c r="F629" t="s">
        <v>12355</v>
      </c>
      <c r="G629" t="s">
        <v>74</v>
      </c>
      <c r="H629" t="s">
        <v>74</v>
      </c>
      <c r="I629" t="s">
        <v>12356</v>
      </c>
      <c r="J629" t="s">
        <v>1358</v>
      </c>
      <c r="K629" t="s">
        <v>74</v>
      </c>
      <c r="L629" t="s">
        <v>74</v>
      </c>
      <c r="M629" t="s">
        <v>78</v>
      </c>
      <c r="N629" t="s">
        <v>79</v>
      </c>
      <c r="O629" t="s">
        <v>74</v>
      </c>
      <c r="P629" t="s">
        <v>74</v>
      </c>
      <c r="Q629" t="s">
        <v>74</v>
      </c>
      <c r="R629" t="s">
        <v>74</v>
      </c>
      <c r="S629" t="s">
        <v>74</v>
      </c>
      <c r="T629" t="s">
        <v>74</v>
      </c>
      <c r="U629" t="s">
        <v>12357</v>
      </c>
      <c r="V629" t="s">
        <v>12358</v>
      </c>
      <c r="W629" t="s">
        <v>12359</v>
      </c>
      <c r="X629" t="s">
        <v>12360</v>
      </c>
      <c r="Y629" t="s">
        <v>12361</v>
      </c>
      <c r="Z629" t="s">
        <v>12362</v>
      </c>
      <c r="AA629" t="s">
        <v>12363</v>
      </c>
      <c r="AB629" t="s">
        <v>12364</v>
      </c>
      <c r="AC629" t="s">
        <v>12365</v>
      </c>
      <c r="AD629" t="s">
        <v>12366</v>
      </c>
      <c r="AE629" t="s">
        <v>12367</v>
      </c>
      <c r="AF629" t="s">
        <v>74</v>
      </c>
      <c r="AG629">
        <v>50</v>
      </c>
      <c r="AH629">
        <v>195</v>
      </c>
      <c r="AI629">
        <v>210</v>
      </c>
      <c r="AJ629">
        <v>2</v>
      </c>
      <c r="AK629">
        <v>139</v>
      </c>
      <c r="AL629" t="s">
        <v>328</v>
      </c>
      <c r="AM629" t="s">
        <v>329</v>
      </c>
      <c r="AN629" t="s">
        <v>330</v>
      </c>
      <c r="AO629" t="s">
        <v>1373</v>
      </c>
      <c r="AP629" t="s">
        <v>1374</v>
      </c>
      <c r="AQ629" t="s">
        <v>74</v>
      </c>
      <c r="AR629" t="s">
        <v>1358</v>
      </c>
      <c r="AS629" t="s">
        <v>1375</v>
      </c>
      <c r="AT629" t="s">
        <v>12309</v>
      </c>
      <c r="AU629">
        <v>2019</v>
      </c>
      <c r="AV629">
        <v>566</v>
      </c>
      <c r="AW629">
        <v>7742</v>
      </c>
      <c r="AX629" t="s">
        <v>74</v>
      </c>
      <c r="AY629" t="s">
        <v>74</v>
      </c>
      <c r="AZ629" t="s">
        <v>74</v>
      </c>
      <c r="BA629" t="s">
        <v>74</v>
      </c>
      <c r="BB629">
        <v>58</v>
      </c>
      <c r="BC629" t="s">
        <v>1394</v>
      </c>
      <c r="BD629" t="s">
        <v>74</v>
      </c>
      <c r="BE629" t="s">
        <v>12368</v>
      </c>
      <c r="BF629" t="str">
        <f>HYPERLINK("http://dx.doi.org/10.1038/s41586-019-0901-4","http://dx.doi.org/10.1038/s41586-019-0901-4")</f>
        <v>http://dx.doi.org/10.1038/s41586-019-0901-4</v>
      </c>
      <c r="BG629" t="s">
        <v>74</v>
      </c>
      <c r="BH629" t="s">
        <v>74</v>
      </c>
      <c r="BI629">
        <v>16</v>
      </c>
      <c r="BJ629" t="s">
        <v>460</v>
      </c>
      <c r="BK629" t="s">
        <v>102</v>
      </c>
      <c r="BL629" t="s">
        <v>461</v>
      </c>
      <c r="BM629" t="s">
        <v>12369</v>
      </c>
      <c r="BN629">
        <v>30728522</v>
      </c>
      <c r="BO629" t="s">
        <v>6520</v>
      </c>
      <c r="BP629" t="s">
        <v>105</v>
      </c>
      <c r="BQ629" t="s">
        <v>106</v>
      </c>
      <c r="BR629" t="s">
        <v>107</v>
      </c>
      <c r="BS629" t="s">
        <v>12370</v>
      </c>
      <c r="BT629" t="str">
        <f>HYPERLINK("https%3A%2F%2Fwww.webofscience.com%2Fwos%2Fwoscc%2Ffull-record%2FWOS:000457981800039","View Full Record in Web of Science")</f>
        <v>View Full Record in Web of Science</v>
      </c>
    </row>
    <row r="630" spans="1:72" x14ac:dyDescent="0.15">
      <c r="A630" t="s">
        <v>72</v>
      </c>
      <c r="B630" t="s">
        <v>12371</v>
      </c>
      <c r="C630" t="s">
        <v>74</v>
      </c>
      <c r="D630" t="s">
        <v>74</v>
      </c>
      <c r="E630" t="s">
        <v>74</v>
      </c>
      <c r="F630" t="s">
        <v>12372</v>
      </c>
      <c r="G630" t="s">
        <v>74</v>
      </c>
      <c r="H630" t="s">
        <v>74</v>
      </c>
      <c r="I630" t="s">
        <v>12373</v>
      </c>
      <c r="J630" t="s">
        <v>1358</v>
      </c>
      <c r="K630" t="s">
        <v>74</v>
      </c>
      <c r="L630" t="s">
        <v>74</v>
      </c>
      <c r="M630" t="s">
        <v>78</v>
      </c>
      <c r="N630" t="s">
        <v>79</v>
      </c>
      <c r="O630" t="s">
        <v>74</v>
      </c>
      <c r="P630" t="s">
        <v>74</v>
      </c>
      <c r="Q630" t="s">
        <v>74</v>
      </c>
      <c r="R630" t="s">
        <v>74</v>
      </c>
      <c r="S630" t="s">
        <v>74</v>
      </c>
      <c r="T630" t="s">
        <v>74</v>
      </c>
      <c r="U630" t="s">
        <v>12374</v>
      </c>
      <c r="V630" t="s">
        <v>12375</v>
      </c>
      <c r="W630" t="s">
        <v>12376</v>
      </c>
      <c r="X630" t="s">
        <v>12377</v>
      </c>
      <c r="Y630" t="s">
        <v>12378</v>
      </c>
      <c r="Z630" t="s">
        <v>12379</v>
      </c>
      <c r="AA630" t="s">
        <v>12380</v>
      </c>
      <c r="AB630" t="s">
        <v>12381</v>
      </c>
      <c r="AC630" t="s">
        <v>12382</v>
      </c>
      <c r="AD630" t="s">
        <v>12383</v>
      </c>
      <c r="AE630" t="s">
        <v>12384</v>
      </c>
      <c r="AF630" t="s">
        <v>74</v>
      </c>
      <c r="AG630">
        <v>119</v>
      </c>
      <c r="AH630">
        <v>228</v>
      </c>
      <c r="AI630">
        <v>250</v>
      </c>
      <c r="AJ630">
        <v>30</v>
      </c>
      <c r="AK630">
        <v>447</v>
      </c>
      <c r="AL630" t="s">
        <v>1393</v>
      </c>
      <c r="AM630" t="s">
        <v>1371</v>
      </c>
      <c r="AN630" t="s">
        <v>1372</v>
      </c>
      <c r="AO630" t="s">
        <v>1373</v>
      </c>
      <c r="AP630" t="s">
        <v>1374</v>
      </c>
      <c r="AQ630" t="s">
        <v>74</v>
      </c>
      <c r="AR630" t="s">
        <v>1358</v>
      </c>
      <c r="AS630" t="s">
        <v>1375</v>
      </c>
      <c r="AT630" t="s">
        <v>12309</v>
      </c>
      <c r="AU630">
        <v>2019</v>
      </c>
      <c r="AV630">
        <v>566</v>
      </c>
      <c r="AW630">
        <v>7742</v>
      </c>
      <c r="AX630" t="s">
        <v>74</v>
      </c>
      <c r="AY630" t="s">
        <v>74</v>
      </c>
      <c r="AZ630" t="s">
        <v>74</v>
      </c>
      <c r="BA630" t="s">
        <v>74</v>
      </c>
      <c r="BB630">
        <v>65</v>
      </c>
      <c r="BC630" t="s">
        <v>1394</v>
      </c>
      <c r="BD630" t="s">
        <v>74</v>
      </c>
      <c r="BE630" t="s">
        <v>12385</v>
      </c>
      <c r="BF630" t="str">
        <f>HYPERLINK("http://dx.doi.org/10.1038/s41586-019-0889-9","http://dx.doi.org/10.1038/s41586-019-0889-9")</f>
        <v>http://dx.doi.org/10.1038/s41586-019-0889-9</v>
      </c>
      <c r="BG630" t="s">
        <v>74</v>
      </c>
      <c r="BH630" t="s">
        <v>74</v>
      </c>
      <c r="BI630">
        <v>23</v>
      </c>
      <c r="BJ630" t="s">
        <v>460</v>
      </c>
      <c r="BK630" t="s">
        <v>102</v>
      </c>
      <c r="BL630" t="s">
        <v>461</v>
      </c>
      <c r="BM630" t="s">
        <v>12369</v>
      </c>
      <c r="BN630">
        <v>30728520</v>
      </c>
      <c r="BO630" t="s">
        <v>6520</v>
      </c>
      <c r="BP630" t="s">
        <v>105</v>
      </c>
      <c r="BQ630" t="s">
        <v>106</v>
      </c>
      <c r="BR630" t="s">
        <v>107</v>
      </c>
      <c r="BS630" t="s">
        <v>12386</v>
      </c>
      <c r="BT630" t="str">
        <f>HYPERLINK("https%3A%2F%2Fwww.webofscience.com%2Fwos%2Fwoscc%2Ffull-record%2FWOS:000457981800040","View Full Record in Web of Science")</f>
        <v>View Full Record in Web of Science</v>
      </c>
    </row>
    <row r="631" spans="1:72" x14ac:dyDescent="0.15">
      <c r="A631" t="s">
        <v>72</v>
      </c>
      <c r="B631" t="s">
        <v>12387</v>
      </c>
      <c r="C631" t="s">
        <v>74</v>
      </c>
      <c r="D631" t="s">
        <v>74</v>
      </c>
      <c r="E631" t="s">
        <v>74</v>
      </c>
      <c r="F631" t="s">
        <v>12388</v>
      </c>
      <c r="G631" t="s">
        <v>74</v>
      </c>
      <c r="H631" t="s">
        <v>74</v>
      </c>
      <c r="I631" t="s">
        <v>12389</v>
      </c>
      <c r="J631" t="s">
        <v>1720</v>
      </c>
      <c r="K631" t="s">
        <v>74</v>
      </c>
      <c r="L631" t="s">
        <v>74</v>
      </c>
      <c r="M631" t="s">
        <v>78</v>
      </c>
      <c r="N631" t="s">
        <v>79</v>
      </c>
      <c r="O631" t="s">
        <v>74</v>
      </c>
      <c r="P631" t="s">
        <v>74</v>
      </c>
      <c r="Q631" t="s">
        <v>74</v>
      </c>
      <c r="R631" t="s">
        <v>74</v>
      </c>
      <c r="S631" t="s">
        <v>74</v>
      </c>
      <c r="T631" t="s">
        <v>74</v>
      </c>
      <c r="U631" t="s">
        <v>12390</v>
      </c>
      <c r="V631" t="s">
        <v>12391</v>
      </c>
      <c r="W631" t="s">
        <v>12392</v>
      </c>
      <c r="X631" t="s">
        <v>12393</v>
      </c>
      <c r="Y631" t="s">
        <v>12394</v>
      </c>
      <c r="Z631" t="s">
        <v>12395</v>
      </c>
      <c r="AA631" t="s">
        <v>12396</v>
      </c>
      <c r="AB631" t="s">
        <v>12397</v>
      </c>
      <c r="AC631" t="s">
        <v>12398</v>
      </c>
      <c r="AD631" t="s">
        <v>12399</v>
      </c>
      <c r="AE631" t="s">
        <v>12400</v>
      </c>
      <c r="AF631" t="s">
        <v>74</v>
      </c>
      <c r="AG631">
        <v>64</v>
      </c>
      <c r="AH631">
        <v>66</v>
      </c>
      <c r="AI631">
        <v>67</v>
      </c>
      <c r="AJ631">
        <v>0</v>
      </c>
      <c r="AK631">
        <v>29</v>
      </c>
      <c r="AL631" t="s">
        <v>1393</v>
      </c>
      <c r="AM631" t="s">
        <v>1371</v>
      </c>
      <c r="AN631" t="s">
        <v>1372</v>
      </c>
      <c r="AO631" t="s">
        <v>1731</v>
      </c>
      <c r="AP631" t="s">
        <v>74</v>
      </c>
      <c r="AQ631" t="s">
        <v>74</v>
      </c>
      <c r="AR631" t="s">
        <v>1732</v>
      </c>
      <c r="AS631" t="s">
        <v>1733</v>
      </c>
      <c r="AT631" t="s">
        <v>12309</v>
      </c>
      <c r="AU631">
        <v>2019</v>
      </c>
      <c r="AV631">
        <v>9</v>
      </c>
      <c r="AW631" t="s">
        <v>74</v>
      </c>
      <c r="AX631" t="s">
        <v>74</v>
      </c>
      <c r="AY631" t="s">
        <v>74</v>
      </c>
      <c r="AZ631" t="s">
        <v>74</v>
      </c>
      <c r="BA631" t="s">
        <v>74</v>
      </c>
      <c r="BB631" t="s">
        <v>74</v>
      </c>
      <c r="BC631" t="s">
        <v>74</v>
      </c>
      <c r="BD631">
        <v>1627</v>
      </c>
      <c r="BE631" t="s">
        <v>12401</v>
      </c>
      <c r="BF631" t="str">
        <f>HYPERLINK("http://dx.doi.org/10.1038/s41598-019-38626-3","http://dx.doi.org/10.1038/s41598-019-38626-3")</f>
        <v>http://dx.doi.org/10.1038/s41598-019-38626-3</v>
      </c>
      <c r="BG631" t="s">
        <v>74</v>
      </c>
      <c r="BH631" t="s">
        <v>74</v>
      </c>
      <c r="BI631">
        <v>9</v>
      </c>
      <c r="BJ631" t="s">
        <v>460</v>
      </c>
      <c r="BK631" t="s">
        <v>102</v>
      </c>
      <c r="BL631" t="s">
        <v>461</v>
      </c>
      <c r="BM631" t="s">
        <v>12402</v>
      </c>
      <c r="BN631">
        <v>30733569</v>
      </c>
      <c r="BO631" t="s">
        <v>1100</v>
      </c>
      <c r="BP631" t="s">
        <v>74</v>
      </c>
      <c r="BQ631" t="s">
        <v>74</v>
      </c>
      <c r="BR631" t="s">
        <v>107</v>
      </c>
      <c r="BS631" t="s">
        <v>12403</v>
      </c>
      <c r="BT631" t="str">
        <f>HYPERLINK("https%3A%2F%2Fwww.webofscience.com%2Fwos%2Fwoscc%2Ffull-record%2FWOS:000458017800095","View Full Record in Web of Science")</f>
        <v>View Full Record in Web of Science</v>
      </c>
    </row>
    <row r="632" spans="1:72" x14ac:dyDescent="0.15">
      <c r="A632" t="s">
        <v>72</v>
      </c>
      <c r="B632" t="s">
        <v>12404</v>
      </c>
      <c r="C632" t="s">
        <v>74</v>
      </c>
      <c r="D632" t="s">
        <v>74</v>
      </c>
      <c r="E632" t="s">
        <v>74</v>
      </c>
      <c r="F632" t="s">
        <v>12405</v>
      </c>
      <c r="G632" t="s">
        <v>74</v>
      </c>
      <c r="H632" t="s">
        <v>74</v>
      </c>
      <c r="I632" t="s">
        <v>12406</v>
      </c>
      <c r="J632" t="s">
        <v>12335</v>
      </c>
      <c r="K632" t="s">
        <v>74</v>
      </c>
      <c r="L632" t="s">
        <v>74</v>
      </c>
      <c r="M632" t="s">
        <v>78</v>
      </c>
      <c r="N632" t="s">
        <v>79</v>
      </c>
      <c r="O632" t="s">
        <v>74</v>
      </c>
      <c r="P632" t="s">
        <v>74</v>
      </c>
      <c r="Q632" t="s">
        <v>74</v>
      </c>
      <c r="R632" t="s">
        <v>74</v>
      </c>
      <c r="S632" t="s">
        <v>74</v>
      </c>
      <c r="T632" t="s">
        <v>12407</v>
      </c>
      <c r="U632" t="s">
        <v>12408</v>
      </c>
      <c r="V632" t="s">
        <v>12409</v>
      </c>
      <c r="W632" t="s">
        <v>12410</v>
      </c>
      <c r="X632" t="s">
        <v>12411</v>
      </c>
      <c r="Y632" t="s">
        <v>12412</v>
      </c>
      <c r="Z632" t="s">
        <v>12413</v>
      </c>
      <c r="AA632" t="s">
        <v>74</v>
      </c>
      <c r="AB632" t="s">
        <v>74</v>
      </c>
      <c r="AC632" t="s">
        <v>12414</v>
      </c>
      <c r="AD632" t="s">
        <v>12415</v>
      </c>
      <c r="AE632" t="s">
        <v>12416</v>
      </c>
      <c r="AF632" t="s">
        <v>74</v>
      </c>
      <c r="AG632">
        <v>40</v>
      </c>
      <c r="AH632">
        <v>7</v>
      </c>
      <c r="AI632">
        <v>9</v>
      </c>
      <c r="AJ632">
        <v>0</v>
      </c>
      <c r="AK632">
        <v>7</v>
      </c>
      <c r="AL632" t="s">
        <v>2055</v>
      </c>
      <c r="AM632" t="s">
        <v>2056</v>
      </c>
      <c r="AN632" t="s">
        <v>2057</v>
      </c>
      <c r="AO632" t="s">
        <v>12345</v>
      </c>
      <c r="AP632" t="s">
        <v>12346</v>
      </c>
      <c r="AQ632" t="s">
        <v>74</v>
      </c>
      <c r="AR632" t="s">
        <v>12347</v>
      </c>
      <c r="AS632" t="s">
        <v>12348</v>
      </c>
      <c r="AT632" t="s">
        <v>12309</v>
      </c>
      <c r="AU632">
        <v>2019</v>
      </c>
      <c r="AV632">
        <v>31</v>
      </c>
      <c r="AW632">
        <v>2</v>
      </c>
      <c r="AX632" t="s">
        <v>74</v>
      </c>
      <c r="AY632" t="s">
        <v>74</v>
      </c>
      <c r="AZ632" t="s">
        <v>74</v>
      </c>
      <c r="BA632" t="s">
        <v>74</v>
      </c>
      <c r="BB632">
        <v>163</v>
      </c>
      <c r="BC632">
        <v>167</v>
      </c>
      <c r="BD632" t="s">
        <v>74</v>
      </c>
      <c r="BE632" t="s">
        <v>12417</v>
      </c>
      <c r="BF632" t="str">
        <f>HYPERLINK("http://dx.doi.org/10.1080/08912963.2017.1348503","http://dx.doi.org/10.1080/08912963.2017.1348503")</f>
        <v>http://dx.doi.org/10.1080/08912963.2017.1348503</v>
      </c>
      <c r="BG632" t="s">
        <v>74</v>
      </c>
      <c r="BH632" t="s">
        <v>74</v>
      </c>
      <c r="BI632">
        <v>5</v>
      </c>
      <c r="BJ632" t="s">
        <v>12350</v>
      </c>
      <c r="BK632" t="s">
        <v>102</v>
      </c>
      <c r="BL632" t="s">
        <v>12351</v>
      </c>
      <c r="BM632" t="s">
        <v>12352</v>
      </c>
      <c r="BN632" t="s">
        <v>74</v>
      </c>
      <c r="BO632" t="s">
        <v>74</v>
      </c>
      <c r="BP632" t="s">
        <v>74</v>
      </c>
      <c r="BQ632" t="s">
        <v>74</v>
      </c>
      <c r="BR632" t="s">
        <v>107</v>
      </c>
      <c r="BS632" t="s">
        <v>12418</v>
      </c>
      <c r="BT632" t="str">
        <f>HYPERLINK("https%3A%2F%2Fwww.webofscience.com%2Fwos%2Fwoscc%2Ffull-record%2FWOS:000456012500006","View Full Record in Web of Science")</f>
        <v>View Full Record in Web of Science</v>
      </c>
    </row>
    <row r="633" spans="1:72" x14ac:dyDescent="0.15">
      <c r="A633" t="s">
        <v>72</v>
      </c>
      <c r="B633" t="s">
        <v>12419</v>
      </c>
      <c r="C633" t="s">
        <v>74</v>
      </c>
      <c r="D633" t="s">
        <v>74</v>
      </c>
      <c r="E633" t="s">
        <v>74</v>
      </c>
      <c r="F633" t="s">
        <v>12420</v>
      </c>
      <c r="G633" t="s">
        <v>74</v>
      </c>
      <c r="H633" t="s">
        <v>74</v>
      </c>
      <c r="I633" t="s">
        <v>12421</v>
      </c>
      <c r="J633" t="s">
        <v>2511</v>
      </c>
      <c r="K633" t="s">
        <v>74</v>
      </c>
      <c r="L633" t="s">
        <v>74</v>
      </c>
      <c r="M633" t="s">
        <v>78</v>
      </c>
      <c r="N633" t="s">
        <v>79</v>
      </c>
      <c r="O633" t="s">
        <v>74</v>
      </c>
      <c r="P633" t="s">
        <v>74</v>
      </c>
      <c r="Q633" t="s">
        <v>74</v>
      </c>
      <c r="R633" t="s">
        <v>74</v>
      </c>
      <c r="S633" t="s">
        <v>74</v>
      </c>
      <c r="T633" t="s">
        <v>74</v>
      </c>
      <c r="U633" t="s">
        <v>12422</v>
      </c>
      <c r="V633" t="s">
        <v>12423</v>
      </c>
      <c r="W633" t="s">
        <v>12424</v>
      </c>
      <c r="X633" t="s">
        <v>12425</v>
      </c>
      <c r="Y633" t="s">
        <v>12426</v>
      </c>
      <c r="Z633" t="s">
        <v>12427</v>
      </c>
      <c r="AA633" t="s">
        <v>12428</v>
      </c>
      <c r="AB633" t="s">
        <v>12429</v>
      </c>
      <c r="AC633" t="s">
        <v>12430</v>
      </c>
      <c r="AD633" t="s">
        <v>12431</v>
      </c>
      <c r="AE633" t="s">
        <v>12432</v>
      </c>
      <c r="AF633" t="s">
        <v>74</v>
      </c>
      <c r="AG633">
        <v>85</v>
      </c>
      <c r="AH633">
        <v>17</v>
      </c>
      <c r="AI633">
        <v>19</v>
      </c>
      <c r="AJ633">
        <v>0</v>
      </c>
      <c r="AK633">
        <v>9</v>
      </c>
      <c r="AL633" t="s">
        <v>2523</v>
      </c>
      <c r="AM633" t="s">
        <v>2524</v>
      </c>
      <c r="AN633" t="s">
        <v>2525</v>
      </c>
      <c r="AO633" t="s">
        <v>2526</v>
      </c>
      <c r="AP633" t="s">
        <v>74</v>
      </c>
      <c r="AQ633" t="s">
        <v>74</v>
      </c>
      <c r="AR633" t="s">
        <v>2511</v>
      </c>
      <c r="AS633" t="s">
        <v>2527</v>
      </c>
      <c r="AT633" t="s">
        <v>12433</v>
      </c>
      <c r="AU633">
        <v>2019</v>
      </c>
      <c r="AV633">
        <v>14</v>
      </c>
      <c r="AW633">
        <v>2</v>
      </c>
      <c r="AX633" t="s">
        <v>74</v>
      </c>
      <c r="AY633" t="s">
        <v>74</v>
      </c>
      <c r="AZ633" t="s">
        <v>74</v>
      </c>
      <c r="BA633" t="s">
        <v>74</v>
      </c>
      <c r="BB633" t="s">
        <v>74</v>
      </c>
      <c r="BC633" t="s">
        <v>74</v>
      </c>
      <c r="BD633" t="s">
        <v>12434</v>
      </c>
      <c r="BE633" t="s">
        <v>12435</v>
      </c>
      <c r="BF633" t="str">
        <f>HYPERLINK("http://dx.doi.org/10.1371/journal.pone.0211107","http://dx.doi.org/10.1371/journal.pone.0211107")</f>
        <v>http://dx.doi.org/10.1371/journal.pone.0211107</v>
      </c>
      <c r="BG633" t="s">
        <v>74</v>
      </c>
      <c r="BH633" t="s">
        <v>74</v>
      </c>
      <c r="BI633">
        <v>30</v>
      </c>
      <c r="BJ633" t="s">
        <v>460</v>
      </c>
      <c r="BK633" t="s">
        <v>102</v>
      </c>
      <c r="BL633" t="s">
        <v>461</v>
      </c>
      <c r="BM633" t="s">
        <v>12436</v>
      </c>
      <c r="BN633">
        <v>30726270</v>
      </c>
      <c r="BO633" t="s">
        <v>2020</v>
      </c>
      <c r="BP633" t="s">
        <v>74</v>
      </c>
      <c r="BQ633" t="s">
        <v>74</v>
      </c>
      <c r="BR633" t="s">
        <v>107</v>
      </c>
      <c r="BS633" t="s">
        <v>12437</v>
      </c>
      <c r="BT633" t="str">
        <f>HYPERLINK("https%3A%2F%2Fwww.webofscience.com%2Fwos%2Fwoscc%2Ffull-record%2FWOS:000457874000053","View Full Record in Web of Science")</f>
        <v>View Full Record in Web of Science</v>
      </c>
    </row>
    <row r="634" spans="1:72" x14ac:dyDescent="0.15">
      <c r="A634" t="s">
        <v>72</v>
      </c>
      <c r="B634" t="s">
        <v>12438</v>
      </c>
      <c r="C634" t="s">
        <v>74</v>
      </c>
      <c r="D634" t="s">
        <v>74</v>
      </c>
      <c r="E634" t="s">
        <v>74</v>
      </c>
      <c r="F634" t="s">
        <v>12439</v>
      </c>
      <c r="G634" t="s">
        <v>74</v>
      </c>
      <c r="H634" t="s">
        <v>74</v>
      </c>
      <c r="I634" t="s">
        <v>12440</v>
      </c>
      <c r="J634" t="s">
        <v>12441</v>
      </c>
      <c r="K634" t="s">
        <v>74</v>
      </c>
      <c r="L634" t="s">
        <v>74</v>
      </c>
      <c r="M634" t="s">
        <v>78</v>
      </c>
      <c r="N634" t="s">
        <v>79</v>
      </c>
      <c r="O634" t="s">
        <v>74</v>
      </c>
      <c r="P634" t="s">
        <v>74</v>
      </c>
      <c r="Q634" t="s">
        <v>74</v>
      </c>
      <c r="R634" t="s">
        <v>74</v>
      </c>
      <c r="S634" t="s">
        <v>74</v>
      </c>
      <c r="T634" t="s">
        <v>12442</v>
      </c>
      <c r="U634" t="s">
        <v>12443</v>
      </c>
      <c r="V634" t="s">
        <v>12444</v>
      </c>
      <c r="W634" t="s">
        <v>12445</v>
      </c>
      <c r="X634" t="s">
        <v>12446</v>
      </c>
      <c r="Y634" t="s">
        <v>12447</v>
      </c>
      <c r="Z634" t="s">
        <v>12448</v>
      </c>
      <c r="AA634" t="s">
        <v>12449</v>
      </c>
      <c r="AB634" t="s">
        <v>12450</v>
      </c>
      <c r="AC634" t="s">
        <v>12451</v>
      </c>
      <c r="AD634" t="s">
        <v>12452</v>
      </c>
      <c r="AE634" t="s">
        <v>12453</v>
      </c>
      <c r="AF634" t="s">
        <v>74</v>
      </c>
      <c r="AG634">
        <v>62</v>
      </c>
      <c r="AH634">
        <v>27</v>
      </c>
      <c r="AI634">
        <v>30</v>
      </c>
      <c r="AJ634">
        <v>3</v>
      </c>
      <c r="AK634">
        <v>45</v>
      </c>
      <c r="AL634" t="s">
        <v>378</v>
      </c>
      <c r="AM634" t="s">
        <v>93</v>
      </c>
      <c r="AN634" t="s">
        <v>379</v>
      </c>
      <c r="AO634" t="s">
        <v>12454</v>
      </c>
      <c r="AP634" t="s">
        <v>12455</v>
      </c>
      <c r="AQ634" t="s">
        <v>74</v>
      </c>
      <c r="AR634" t="s">
        <v>12456</v>
      </c>
      <c r="AS634" t="s">
        <v>12457</v>
      </c>
      <c r="AT634" t="s">
        <v>12458</v>
      </c>
      <c r="AU634">
        <v>2019</v>
      </c>
      <c r="AV634">
        <v>44</v>
      </c>
      <c r="AW634">
        <v>7</v>
      </c>
      <c r="AX634" t="s">
        <v>74</v>
      </c>
      <c r="AY634" t="s">
        <v>74</v>
      </c>
      <c r="AZ634" t="s">
        <v>74</v>
      </c>
      <c r="BA634" t="s">
        <v>74</v>
      </c>
      <c r="BB634">
        <v>3433</v>
      </c>
      <c r="BC634">
        <v>3449</v>
      </c>
      <c r="BD634" t="s">
        <v>74</v>
      </c>
      <c r="BE634" t="s">
        <v>12459</v>
      </c>
      <c r="BF634" t="str">
        <f>HYPERLINK("http://dx.doi.org/10.1016/j.ijhydene.2018.12.001","http://dx.doi.org/10.1016/j.ijhydene.2018.12.001")</f>
        <v>http://dx.doi.org/10.1016/j.ijhydene.2018.12.001</v>
      </c>
      <c r="BG634" t="s">
        <v>74</v>
      </c>
      <c r="BH634" t="s">
        <v>74</v>
      </c>
      <c r="BI634">
        <v>17</v>
      </c>
      <c r="BJ634" t="s">
        <v>12460</v>
      </c>
      <c r="BK634" t="s">
        <v>102</v>
      </c>
      <c r="BL634" t="s">
        <v>12461</v>
      </c>
      <c r="BM634" t="s">
        <v>12462</v>
      </c>
      <c r="BN634" t="s">
        <v>74</v>
      </c>
      <c r="BO634" t="s">
        <v>198</v>
      </c>
      <c r="BP634" t="s">
        <v>74</v>
      </c>
      <c r="BQ634" t="s">
        <v>74</v>
      </c>
      <c r="BR634" t="s">
        <v>107</v>
      </c>
      <c r="BS634" t="s">
        <v>12463</v>
      </c>
      <c r="BT634" t="str">
        <f>HYPERLINK("https%3A%2F%2Fwww.webofscience.com%2Fwos%2Fwoscc%2Ffull-record%2FWOS:000457952100001","View Full Record in Web of Science")</f>
        <v>View Full Record in Web of Science</v>
      </c>
    </row>
    <row r="635" spans="1:72" x14ac:dyDescent="0.15">
      <c r="A635" t="s">
        <v>72</v>
      </c>
      <c r="B635" t="s">
        <v>12464</v>
      </c>
      <c r="C635" t="s">
        <v>74</v>
      </c>
      <c r="D635" t="s">
        <v>74</v>
      </c>
      <c r="E635" t="s">
        <v>74</v>
      </c>
      <c r="F635" t="s">
        <v>12465</v>
      </c>
      <c r="G635" t="s">
        <v>74</v>
      </c>
      <c r="H635" t="s">
        <v>74</v>
      </c>
      <c r="I635" t="s">
        <v>12466</v>
      </c>
      <c r="J635" t="s">
        <v>1042</v>
      </c>
      <c r="K635" t="s">
        <v>74</v>
      </c>
      <c r="L635" t="s">
        <v>74</v>
      </c>
      <c r="M635" t="s">
        <v>78</v>
      </c>
      <c r="N635" t="s">
        <v>79</v>
      </c>
      <c r="O635" t="s">
        <v>74</v>
      </c>
      <c r="P635" t="s">
        <v>74</v>
      </c>
      <c r="Q635" t="s">
        <v>74</v>
      </c>
      <c r="R635" t="s">
        <v>74</v>
      </c>
      <c r="S635" t="s">
        <v>74</v>
      </c>
      <c r="T635" t="s">
        <v>74</v>
      </c>
      <c r="U635" t="s">
        <v>12467</v>
      </c>
      <c r="V635" t="s">
        <v>12468</v>
      </c>
      <c r="W635" t="s">
        <v>12469</v>
      </c>
      <c r="X635" t="s">
        <v>12470</v>
      </c>
      <c r="Y635" t="s">
        <v>12471</v>
      </c>
      <c r="Z635" t="s">
        <v>12472</v>
      </c>
      <c r="AA635" t="s">
        <v>12473</v>
      </c>
      <c r="AB635" t="s">
        <v>12474</v>
      </c>
      <c r="AC635" t="s">
        <v>12475</v>
      </c>
      <c r="AD635" t="s">
        <v>12476</v>
      </c>
      <c r="AE635" t="s">
        <v>12477</v>
      </c>
      <c r="AF635" t="s">
        <v>74</v>
      </c>
      <c r="AG635">
        <v>59</v>
      </c>
      <c r="AH635">
        <v>16</v>
      </c>
      <c r="AI635">
        <v>21</v>
      </c>
      <c r="AJ635">
        <v>0</v>
      </c>
      <c r="AK635">
        <v>7</v>
      </c>
      <c r="AL635" t="s">
        <v>868</v>
      </c>
      <c r="AM635" t="s">
        <v>869</v>
      </c>
      <c r="AN635" t="s">
        <v>870</v>
      </c>
      <c r="AO635" t="s">
        <v>1054</v>
      </c>
      <c r="AP635" t="s">
        <v>1055</v>
      </c>
      <c r="AQ635" t="s">
        <v>74</v>
      </c>
      <c r="AR635" t="s">
        <v>1056</v>
      </c>
      <c r="AS635" t="s">
        <v>1057</v>
      </c>
      <c r="AT635" t="s">
        <v>12458</v>
      </c>
      <c r="AU635">
        <v>2019</v>
      </c>
      <c r="AV635">
        <v>19</v>
      </c>
      <c r="AW635">
        <v>3</v>
      </c>
      <c r="AX635" t="s">
        <v>74</v>
      </c>
      <c r="AY635" t="s">
        <v>74</v>
      </c>
      <c r="AZ635" t="s">
        <v>74</v>
      </c>
      <c r="BA635" t="s">
        <v>74</v>
      </c>
      <c r="BB635">
        <v>1505</v>
      </c>
      <c r="BC635">
        <v>1520</v>
      </c>
      <c r="BD635" t="s">
        <v>74</v>
      </c>
      <c r="BE635" t="s">
        <v>12478</v>
      </c>
      <c r="BF635" t="str">
        <f>HYPERLINK("http://dx.doi.org/10.5194/acp-19-1505-2019","http://dx.doi.org/10.5194/acp-19-1505-2019")</f>
        <v>http://dx.doi.org/10.5194/acp-19-1505-2019</v>
      </c>
      <c r="BG635" t="s">
        <v>74</v>
      </c>
      <c r="BH635" t="s">
        <v>74</v>
      </c>
      <c r="BI635">
        <v>16</v>
      </c>
      <c r="BJ635" t="s">
        <v>1060</v>
      </c>
      <c r="BK635" t="s">
        <v>102</v>
      </c>
      <c r="BL635" t="s">
        <v>338</v>
      </c>
      <c r="BM635" t="s">
        <v>12479</v>
      </c>
      <c r="BN635" t="s">
        <v>74</v>
      </c>
      <c r="BO635" t="s">
        <v>135</v>
      </c>
      <c r="BP635" t="s">
        <v>74</v>
      </c>
      <c r="BQ635" t="s">
        <v>74</v>
      </c>
      <c r="BR635" t="s">
        <v>107</v>
      </c>
      <c r="BS635" t="s">
        <v>12480</v>
      </c>
      <c r="BT635" t="str">
        <f>HYPERLINK("https%3A%2F%2Fwww.webofscience.com%2Fwos%2Fwoscc%2Ffull-record%2FWOS:000457831900001","View Full Record in Web of Science")</f>
        <v>View Full Record in Web of Science</v>
      </c>
    </row>
    <row r="636" spans="1:72" x14ac:dyDescent="0.15">
      <c r="A636" t="s">
        <v>72</v>
      </c>
      <c r="B636" t="s">
        <v>12481</v>
      </c>
      <c r="C636" t="s">
        <v>74</v>
      </c>
      <c r="D636" t="s">
        <v>74</v>
      </c>
      <c r="E636" t="s">
        <v>74</v>
      </c>
      <c r="F636" t="s">
        <v>12482</v>
      </c>
      <c r="G636" t="s">
        <v>74</v>
      </c>
      <c r="H636" t="s">
        <v>74</v>
      </c>
      <c r="I636" t="s">
        <v>12483</v>
      </c>
      <c r="J636" t="s">
        <v>1125</v>
      </c>
      <c r="K636" t="s">
        <v>74</v>
      </c>
      <c r="L636" t="s">
        <v>74</v>
      </c>
      <c r="M636" t="s">
        <v>78</v>
      </c>
      <c r="N636" t="s">
        <v>79</v>
      </c>
      <c r="O636" t="s">
        <v>74</v>
      </c>
      <c r="P636" t="s">
        <v>74</v>
      </c>
      <c r="Q636" t="s">
        <v>74</v>
      </c>
      <c r="R636" t="s">
        <v>74</v>
      </c>
      <c r="S636" t="s">
        <v>74</v>
      </c>
      <c r="T636" t="s">
        <v>74</v>
      </c>
      <c r="U636" t="s">
        <v>12484</v>
      </c>
      <c r="V636" t="s">
        <v>12485</v>
      </c>
      <c r="W636" t="s">
        <v>12486</v>
      </c>
      <c r="X636" t="s">
        <v>12487</v>
      </c>
      <c r="Y636" t="s">
        <v>12488</v>
      </c>
      <c r="Z636" t="s">
        <v>12489</v>
      </c>
      <c r="AA636" t="s">
        <v>12490</v>
      </c>
      <c r="AB636" t="s">
        <v>12491</v>
      </c>
      <c r="AC636" t="s">
        <v>12492</v>
      </c>
      <c r="AD636" t="s">
        <v>12493</v>
      </c>
      <c r="AE636" t="s">
        <v>12494</v>
      </c>
      <c r="AF636" t="s">
        <v>74</v>
      </c>
      <c r="AG636">
        <v>82</v>
      </c>
      <c r="AH636">
        <v>75</v>
      </c>
      <c r="AI636">
        <v>89</v>
      </c>
      <c r="AJ636">
        <v>2</v>
      </c>
      <c r="AK636">
        <v>43</v>
      </c>
      <c r="AL636" t="s">
        <v>868</v>
      </c>
      <c r="AM636" t="s">
        <v>869</v>
      </c>
      <c r="AN636" t="s">
        <v>870</v>
      </c>
      <c r="AO636" t="s">
        <v>1137</v>
      </c>
      <c r="AP636" t="s">
        <v>1138</v>
      </c>
      <c r="AQ636" t="s">
        <v>74</v>
      </c>
      <c r="AR636" t="s">
        <v>1125</v>
      </c>
      <c r="AS636" t="s">
        <v>1139</v>
      </c>
      <c r="AT636" t="s">
        <v>12458</v>
      </c>
      <c r="AU636">
        <v>2019</v>
      </c>
      <c r="AV636">
        <v>13</v>
      </c>
      <c r="AW636">
        <v>2</v>
      </c>
      <c r="AX636" t="s">
        <v>74</v>
      </c>
      <c r="AY636" t="s">
        <v>74</v>
      </c>
      <c r="AZ636" t="s">
        <v>74</v>
      </c>
      <c r="BA636" t="s">
        <v>74</v>
      </c>
      <c r="BB636">
        <v>427</v>
      </c>
      <c r="BC636">
        <v>449</v>
      </c>
      <c r="BD636" t="s">
        <v>74</v>
      </c>
      <c r="BE636" t="s">
        <v>12495</v>
      </c>
      <c r="BF636" t="str">
        <f>HYPERLINK("http://dx.doi.org/10.5194/tc-13-427-2019","http://dx.doi.org/10.5194/tc-13-427-2019")</f>
        <v>http://dx.doi.org/10.5194/tc-13-427-2019</v>
      </c>
      <c r="BG636" t="s">
        <v>74</v>
      </c>
      <c r="BH636" t="s">
        <v>74</v>
      </c>
      <c r="BI636">
        <v>23</v>
      </c>
      <c r="BJ636" t="s">
        <v>1142</v>
      </c>
      <c r="BK636" t="s">
        <v>102</v>
      </c>
      <c r="BL636" t="s">
        <v>1143</v>
      </c>
      <c r="BM636" t="s">
        <v>12496</v>
      </c>
      <c r="BN636" t="s">
        <v>74</v>
      </c>
      <c r="BO636" t="s">
        <v>3093</v>
      </c>
      <c r="BP636" t="s">
        <v>74</v>
      </c>
      <c r="BQ636" t="s">
        <v>74</v>
      </c>
      <c r="BR636" t="s">
        <v>107</v>
      </c>
      <c r="BS636" t="s">
        <v>12497</v>
      </c>
      <c r="BT636" t="str">
        <f>HYPERLINK("https%3A%2F%2Fwww.webofscience.com%2Fwos%2Fwoscc%2Ffull-record%2FWOS:000457833200001","View Full Record in Web of Science")</f>
        <v>View Full Record in Web of Science</v>
      </c>
    </row>
    <row r="637" spans="1:72" x14ac:dyDescent="0.15">
      <c r="A637" t="s">
        <v>72</v>
      </c>
      <c r="B637" t="s">
        <v>12498</v>
      </c>
      <c r="C637" t="s">
        <v>74</v>
      </c>
      <c r="D637" t="s">
        <v>74</v>
      </c>
      <c r="E637" t="s">
        <v>74</v>
      </c>
      <c r="F637" t="s">
        <v>12499</v>
      </c>
      <c r="G637" t="s">
        <v>74</v>
      </c>
      <c r="H637" t="s">
        <v>74</v>
      </c>
      <c r="I637" t="s">
        <v>12500</v>
      </c>
      <c r="J637" t="s">
        <v>12501</v>
      </c>
      <c r="K637" t="s">
        <v>74</v>
      </c>
      <c r="L637" t="s">
        <v>74</v>
      </c>
      <c r="M637" t="s">
        <v>78</v>
      </c>
      <c r="N637" t="s">
        <v>79</v>
      </c>
      <c r="O637" t="s">
        <v>74</v>
      </c>
      <c r="P637" t="s">
        <v>74</v>
      </c>
      <c r="Q637" t="s">
        <v>74</v>
      </c>
      <c r="R637" t="s">
        <v>74</v>
      </c>
      <c r="S637" t="s">
        <v>74</v>
      </c>
      <c r="T637" t="s">
        <v>12502</v>
      </c>
      <c r="U637" t="s">
        <v>12503</v>
      </c>
      <c r="V637" t="s">
        <v>12504</v>
      </c>
      <c r="W637" t="s">
        <v>12505</v>
      </c>
      <c r="X637" t="s">
        <v>12506</v>
      </c>
      <c r="Y637" t="s">
        <v>12507</v>
      </c>
      <c r="Z637" t="s">
        <v>12508</v>
      </c>
      <c r="AA637" t="s">
        <v>12509</v>
      </c>
      <c r="AB637" t="s">
        <v>12510</v>
      </c>
      <c r="AC637" t="s">
        <v>12511</v>
      </c>
      <c r="AD637" t="s">
        <v>12512</v>
      </c>
      <c r="AE637" t="s">
        <v>12513</v>
      </c>
      <c r="AF637" t="s">
        <v>74</v>
      </c>
      <c r="AG637">
        <v>40</v>
      </c>
      <c r="AH637">
        <v>136</v>
      </c>
      <c r="AI637">
        <v>150</v>
      </c>
      <c r="AJ637">
        <v>12</v>
      </c>
      <c r="AK637">
        <v>317</v>
      </c>
      <c r="AL637" t="s">
        <v>634</v>
      </c>
      <c r="AM637" t="s">
        <v>635</v>
      </c>
      <c r="AN637" t="s">
        <v>636</v>
      </c>
      <c r="AO637" t="s">
        <v>12514</v>
      </c>
      <c r="AP637" t="s">
        <v>12515</v>
      </c>
      <c r="AQ637" t="s">
        <v>74</v>
      </c>
      <c r="AR637" t="s">
        <v>12516</v>
      </c>
      <c r="AS637" t="s">
        <v>12517</v>
      </c>
      <c r="AT637" t="s">
        <v>12458</v>
      </c>
      <c r="AU637">
        <v>2019</v>
      </c>
      <c r="AV637">
        <v>363</v>
      </c>
      <c r="AW637" t="s">
        <v>74</v>
      </c>
      <c r="AX637" t="s">
        <v>74</v>
      </c>
      <c r="AY637" t="s">
        <v>74</v>
      </c>
      <c r="AZ637" t="s">
        <v>74</v>
      </c>
      <c r="BA637" t="s">
        <v>74</v>
      </c>
      <c r="BB637">
        <v>447</v>
      </c>
      <c r="BC637">
        <v>456</v>
      </c>
      <c r="BD637" t="s">
        <v>74</v>
      </c>
      <c r="BE637" t="s">
        <v>12518</v>
      </c>
      <c r="BF637" t="str">
        <f>HYPERLINK("http://dx.doi.org/10.1016/j.jhazmat.2018.07.027","http://dx.doi.org/10.1016/j.jhazmat.2018.07.027")</f>
        <v>http://dx.doi.org/10.1016/j.jhazmat.2018.07.027</v>
      </c>
      <c r="BG637" t="s">
        <v>74</v>
      </c>
      <c r="BH637" t="s">
        <v>74</v>
      </c>
      <c r="BI637">
        <v>10</v>
      </c>
      <c r="BJ637" t="s">
        <v>4077</v>
      </c>
      <c r="BK637" t="s">
        <v>102</v>
      </c>
      <c r="BL637" t="s">
        <v>4078</v>
      </c>
      <c r="BM637" t="s">
        <v>12519</v>
      </c>
      <c r="BN637">
        <v>30342348</v>
      </c>
      <c r="BO637" t="s">
        <v>925</v>
      </c>
      <c r="BP637" t="s">
        <v>74</v>
      </c>
      <c r="BQ637" t="s">
        <v>74</v>
      </c>
      <c r="BR637" t="s">
        <v>107</v>
      </c>
      <c r="BS637" t="s">
        <v>12520</v>
      </c>
      <c r="BT637" t="str">
        <f>HYPERLINK("https%3A%2F%2Fwww.webofscience.com%2Fwos%2Fwoscc%2Ffull-record%2FWOS:000449891900049","View Full Record in Web of Science")</f>
        <v>View Full Record in Web of Science</v>
      </c>
    </row>
    <row r="638" spans="1:72" x14ac:dyDescent="0.15">
      <c r="A638" t="s">
        <v>72</v>
      </c>
      <c r="B638" t="s">
        <v>12521</v>
      </c>
      <c r="C638" t="s">
        <v>74</v>
      </c>
      <c r="D638" t="s">
        <v>74</v>
      </c>
      <c r="E638" t="s">
        <v>74</v>
      </c>
      <c r="F638" t="s">
        <v>12522</v>
      </c>
      <c r="G638" t="s">
        <v>74</v>
      </c>
      <c r="H638" t="s">
        <v>74</v>
      </c>
      <c r="I638" t="s">
        <v>12523</v>
      </c>
      <c r="J638" t="s">
        <v>1720</v>
      </c>
      <c r="K638" t="s">
        <v>74</v>
      </c>
      <c r="L638" t="s">
        <v>74</v>
      </c>
      <c r="M638" t="s">
        <v>78</v>
      </c>
      <c r="N638" t="s">
        <v>79</v>
      </c>
      <c r="O638" t="s">
        <v>74</v>
      </c>
      <c r="P638" t="s">
        <v>74</v>
      </c>
      <c r="Q638" t="s">
        <v>74</v>
      </c>
      <c r="R638" t="s">
        <v>74</v>
      </c>
      <c r="S638" t="s">
        <v>74</v>
      </c>
      <c r="T638" t="s">
        <v>74</v>
      </c>
      <c r="U638" t="s">
        <v>12524</v>
      </c>
      <c r="V638" t="s">
        <v>12525</v>
      </c>
      <c r="W638" t="s">
        <v>12526</v>
      </c>
      <c r="X638" t="s">
        <v>12527</v>
      </c>
      <c r="Y638" t="s">
        <v>12528</v>
      </c>
      <c r="Z638" t="s">
        <v>12529</v>
      </c>
      <c r="AA638" t="s">
        <v>12530</v>
      </c>
      <c r="AB638" t="s">
        <v>12531</v>
      </c>
      <c r="AC638" t="s">
        <v>12532</v>
      </c>
      <c r="AD638" t="s">
        <v>12533</v>
      </c>
      <c r="AE638" t="s">
        <v>12534</v>
      </c>
      <c r="AF638" t="s">
        <v>74</v>
      </c>
      <c r="AG638">
        <v>43</v>
      </c>
      <c r="AH638">
        <v>60</v>
      </c>
      <c r="AI638">
        <v>64</v>
      </c>
      <c r="AJ638">
        <v>0</v>
      </c>
      <c r="AK638">
        <v>13</v>
      </c>
      <c r="AL638" t="s">
        <v>328</v>
      </c>
      <c r="AM638" t="s">
        <v>329</v>
      </c>
      <c r="AN638" t="s">
        <v>330</v>
      </c>
      <c r="AO638" t="s">
        <v>1731</v>
      </c>
      <c r="AP638" t="s">
        <v>74</v>
      </c>
      <c r="AQ638" t="s">
        <v>74</v>
      </c>
      <c r="AR638" t="s">
        <v>1732</v>
      </c>
      <c r="AS638" t="s">
        <v>1733</v>
      </c>
      <c r="AT638" t="s">
        <v>12458</v>
      </c>
      <c r="AU638">
        <v>2019</v>
      </c>
      <c r="AV638">
        <v>9</v>
      </c>
      <c r="AW638" t="s">
        <v>74</v>
      </c>
      <c r="AX638" t="s">
        <v>74</v>
      </c>
      <c r="AY638" t="s">
        <v>74</v>
      </c>
      <c r="AZ638" t="s">
        <v>74</v>
      </c>
      <c r="BA638" t="s">
        <v>74</v>
      </c>
      <c r="BB638" t="s">
        <v>74</v>
      </c>
      <c r="BC638" t="s">
        <v>74</v>
      </c>
      <c r="BD638">
        <v>1423</v>
      </c>
      <c r="BE638" t="s">
        <v>12535</v>
      </c>
      <c r="BF638" t="str">
        <f>HYPERLINK("http://dx.doi.org/10.1038/s41598-018-38094-1","http://dx.doi.org/10.1038/s41598-018-38094-1")</f>
        <v>http://dx.doi.org/10.1038/s41598-018-38094-1</v>
      </c>
      <c r="BG638" t="s">
        <v>74</v>
      </c>
      <c r="BH638" t="s">
        <v>74</v>
      </c>
      <c r="BI638">
        <v>10</v>
      </c>
      <c r="BJ638" t="s">
        <v>460</v>
      </c>
      <c r="BK638" t="s">
        <v>102</v>
      </c>
      <c r="BL638" t="s">
        <v>461</v>
      </c>
      <c r="BM638" t="s">
        <v>12536</v>
      </c>
      <c r="BN638">
        <v>30723240</v>
      </c>
      <c r="BO638" t="s">
        <v>10732</v>
      </c>
      <c r="BP638" t="s">
        <v>74</v>
      </c>
      <c r="BQ638" t="s">
        <v>74</v>
      </c>
      <c r="BR638" t="s">
        <v>107</v>
      </c>
      <c r="BS638" t="s">
        <v>12537</v>
      </c>
      <c r="BT638" t="str">
        <f>HYPERLINK("https%3A%2F%2Fwww.webofscience.com%2Fwos%2Fwoscc%2Ffull-record%2FWOS:000457753000020","View Full Record in Web of Science")</f>
        <v>View Full Record in Web of Science</v>
      </c>
    </row>
    <row r="639" spans="1:72" x14ac:dyDescent="0.15">
      <c r="A639" t="s">
        <v>72</v>
      </c>
      <c r="B639" t="s">
        <v>12538</v>
      </c>
      <c r="C639" t="s">
        <v>74</v>
      </c>
      <c r="D639" t="s">
        <v>74</v>
      </c>
      <c r="E639" t="s">
        <v>74</v>
      </c>
      <c r="F639" t="s">
        <v>12539</v>
      </c>
      <c r="G639" t="s">
        <v>74</v>
      </c>
      <c r="H639" t="s">
        <v>74</v>
      </c>
      <c r="I639" t="s">
        <v>12540</v>
      </c>
      <c r="J639" t="s">
        <v>12541</v>
      </c>
      <c r="K639" t="s">
        <v>74</v>
      </c>
      <c r="L639" t="s">
        <v>74</v>
      </c>
      <c r="M639" t="s">
        <v>78</v>
      </c>
      <c r="N639" t="s">
        <v>79</v>
      </c>
      <c r="O639" t="s">
        <v>74</v>
      </c>
      <c r="P639" t="s">
        <v>74</v>
      </c>
      <c r="Q639" t="s">
        <v>74</v>
      </c>
      <c r="R639" t="s">
        <v>74</v>
      </c>
      <c r="S639" t="s">
        <v>74</v>
      </c>
      <c r="T639" t="s">
        <v>12542</v>
      </c>
      <c r="U639" t="s">
        <v>12543</v>
      </c>
      <c r="V639" t="s">
        <v>12544</v>
      </c>
      <c r="W639" t="s">
        <v>12545</v>
      </c>
      <c r="X639" t="s">
        <v>12546</v>
      </c>
      <c r="Y639" t="s">
        <v>12547</v>
      </c>
      <c r="Z639" t="s">
        <v>12548</v>
      </c>
      <c r="AA639" t="s">
        <v>12549</v>
      </c>
      <c r="AB639" t="s">
        <v>12550</v>
      </c>
      <c r="AC639" t="s">
        <v>12551</v>
      </c>
      <c r="AD639" t="s">
        <v>12552</v>
      </c>
      <c r="AE639" t="s">
        <v>12553</v>
      </c>
      <c r="AF639" t="s">
        <v>74</v>
      </c>
      <c r="AG639">
        <v>79</v>
      </c>
      <c r="AH639">
        <v>6</v>
      </c>
      <c r="AI639">
        <v>6</v>
      </c>
      <c r="AJ639">
        <v>1</v>
      </c>
      <c r="AK639">
        <v>75</v>
      </c>
      <c r="AL639" t="s">
        <v>378</v>
      </c>
      <c r="AM639" t="s">
        <v>93</v>
      </c>
      <c r="AN639" t="s">
        <v>379</v>
      </c>
      <c r="AO639" t="s">
        <v>12554</v>
      </c>
      <c r="AP639" t="s">
        <v>12555</v>
      </c>
      <c r="AQ639" t="s">
        <v>74</v>
      </c>
      <c r="AR639" t="s">
        <v>12556</v>
      </c>
      <c r="AS639" t="s">
        <v>12557</v>
      </c>
      <c r="AT639" t="s">
        <v>12458</v>
      </c>
      <c r="AU639">
        <v>2019</v>
      </c>
      <c r="AV639">
        <v>208</v>
      </c>
      <c r="AW639" t="s">
        <v>74</v>
      </c>
      <c r="AX639" t="s">
        <v>74</v>
      </c>
      <c r="AY639" t="s">
        <v>74</v>
      </c>
      <c r="AZ639" t="s">
        <v>74</v>
      </c>
      <c r="BA639" t="s">
        <v>74</v>
      </c>
      <c r="BB639">
        <v>13</v>
      </c>
      <c r="BC639">
        <v>23</v>
      </c>
      <c r="BD639" t="s">
        <v>74</v>
      </c>
      <c r="BE639" t="s">
        <v>12558</v>
      </c>
      <c r="BF639" t="str">
        <f>HYPERLINK("http://dx.doi.org/10.1016/j.saa.2018.09.036","http://dx.doi.org/10.1016/j.saa.2018.09.036")</f>
        <v>http://dx.doi.org/10.1016/j.saa.2018.09.036</v>
      </c>
      <c r="BG639" t="s">
        <v>74</v>
      </c>
      <c r="BH639" t="s">
        <v>74</v>
      </c>
      <c r="BI639">
        <v>11</v>
      </c>
      <c r="BJ639" t="s">
        <v>12559</v>
      </c>
      <c r="BK639" t="s">
        <v>102</v>
      </c>
      <c r="BL639" t="s">
        <v>12559</v>
      </c>
      <c r="BM639" t="s">
        <v>12560</v>
      </c>
      <c r="BN639">
        <v>30282060</v>
      </c>
      <c r="BO639" t="s">
        <v>74</v>
      </c>
      <c r="BP639" t="s">
        <v>74</v>
      </c>
      <c r="BQ639" t="s">
        <v>74</v>
      </c>
      <c r="BR639" t="s">
        <v>107</v>
      </c>
      <c r="BS639" t="s">
        <v>12561</v>
      </c>
      <c r="BT639" t="str">
        <f>HYPERLINK("https%3A%2F%2Fwww.webofscience.com%2Fwos%2Fwoscc%2Ffull-record%2FWOS:000449900700003","View Full Record in Web of Science")</f>
        <v>View Full Record in Web of Science</v>
      </c>
    </row>
    <row r="640" spans="1:72" x14ac:dyDescent="0.15">
      <c r="A640" t="s">
        <v>72</v>
      </c>
      <c r="B640" t="s">
        <v>12562</v>
      </c>
      <c r="C640" t="s">
        <v>74</v>
      </c>
      <c r="D640" t="s">
        <v>74</v>
      </c>
      <c r="E640" t="s">
        <v>74</v>
      </c>
      <c r="F640" t="s">
        <v>12563</v>
      </c>
      <c r="G640" t="s">
        <v>74</v>
      </c>
      <c r="H640" t="s">
        <v>74</v>
      </c>
      <c r="I640" t="s">
        <v>12564</v>
      </c>
      <c r="J640" t="s">
        <v>1720</v>
      </c>
      <c r="K640" t="s">
        <v>74</v>
      </c>
      <c r="L640" t="s">
        <v>74</v>
      </c>
      <c r="M640" t="s">
        <v>78</v>
      </c>
      <c r="N640" t="s">
        <v>79</v>
      </c>
      <c r="O640" t="s">
        <v>74</v>
      </c>
      <c r="P640" t="s">
        <v>74</v>
      </c>
      <c r="Q640" t="s">
        <v>74</v>
      </c>
      <c r="R640" t="s">
        <v>74</v>
      </c>
      <c r="S640" t="s">
        <v>74</v>
      </c>
      <c r="T640" t="s">
        <v>74</v>
      </c>
      <c r="U640" t="s">
        <v>12565</v>
      </c>
      <c r="V640" t="s">
        <v>12566</v>
      </c>
      <c r="W640" t="s">
        <v>12567</v>
      </c>
      <c r="X640" t="s">
        <v>12568</v>
      </c>
      <c r="Y640" t="s">
        <v>12569</v>
      </c>
      <c r="Z640" t="s">
        <v>12570</v>
      </c>
      <c r="AA640" t="s">
        <v>12571</v>
      </c>
      <c r="AB640" t="s">
        <v>12572</v>
      </c>
      <c r="AC640" t="s">
        <v>12573</v>
      </c>
      <c r="AD640" t="s">
        <v>12574</v>
      </c>
      <c r="AE640" t="s">
        <v>12575</v>
      </c>
      <c r="AF640" t="s">
        <v>74</v>
      </c>
      <c r="AG640">
        <v>26</v>
      </c>
      <c r="AH640">
        <v>52</v>
      </c>
      <c r="AI640">
        <v>52</v>
      </c>
      <c r="AJ640">
        <v>3</v>
      </c>
      <c r="AK640">
        <v>23</v>
      </c>
      <c r="AL640" t="s">
        <v>328</v>
      </c>
      <c r="AM640" t="s">
        <v>329</v>
      </c>
      <c r="AN640" t="s">
        <v>330</v>
      </c>
      <c r="AO640" t="s">
        <v>1731</v>
      </c>
      <c r="AP640" t="s">
        <v>74</v>
      </c>
      <c r="AQ640" t="s">
        <v>74</v>
      </c>
      <c r="AR640" t="s">
        <v>1732</v>
      </c>
      <c r="AS640" t="s">
        <v>1733</v>
      </c>
      <c r="AT640" t="s">
        <v>12576</v>
      </c>
      <c r="AU640">
        <v>2019</v>
      </c>
      <c r="AV640">
        <v>9</v>
      </c>
      <c r="AW640" t="s">
        <v>74</v>
      </c>
      <c r="AX640" t="s">
        <v>74</v>
      </c>
      <c r="AY640" t="s">
        <v>74</v>
      </c>
      <c r="AZ640" t="s">
        <v>74</v>
      </c>
      <c r="BA640" t="s">
        <v>74</v>
      </c>
      <c r="BB640" t="s">
        <v>74</v>
      </c>
      <c r="BC640" t="s">
        <v>74</v>
      </c>
      <c r="BD640">
        <v>1345</v>
      </c>
      <c r="BE640" t="s">
        <v>12577</v>
      </c>
      <c r="BF640" t="str">
        <f>HYPERLINK("http://dx.doi.org/10.1038/s41598-018-38069-2","http://dx.doi.org/10.1038/s41598-018-38069-2")</f>
        <v>http://dx.doi.org/10.1038/s41598-018-38069-2</v>
      </c>
      <c r="BG640" t="s">
        <v>74</v>
      </c>
      <c r="BH640" t="s">
        <v>74</v>
      </c>
      <c r="BI640">
        <v>10</v>
      </c>
      <c r="BJ640" t="s">
        <v>460</v>
      </c>
      <c r="BK640" t="s">
        <v>102</v>
      </c>
      <c r="BL640" t="s">
        <v>461</v>
      </c>
      <c r="BM640" t="s">
        <v>12578</v>
      </c>
      <c r="BN640">
        <v>30718895</v>
      </c>
      <c r="BO640" t="s">
        <v>851</v>
      </c>
      <c r="BP640" t="s">
        <v>74</v>
      </c>
      <c r="BQ640" t="s">
        <v>74</v>
      </c>
      <c r="BR640" t="s">
        <v>107</v>
      </c>
      <c r="BS640" t="s">
        <v>12579</v>
      </c>
      <c r="BT640" t="str">
        <f>HYPERLINK("https%3A%2F%2Fwww.webofscience.com%2Fwos%2Fwoscc%2Ffull-record%2FWOS:000457616300233","View Full Record in Web of Science")</f>
        <v>View Full Record in Web of Science</v>
      </c>
    </row>
    <row r="641" spans="1:72" x14ac:dyDescent="0.15">
      <c r="A641" t="s">
        <v>72</v>
      </c>
      <c r="B641" t="s">
        <v>12580</v>
      </c>
      <c r="C641" t="s">
        <v>74</v>
      </c>
      <c r="D641" t="s">
        <v>74</v>
      </c>
      <c r="E641" t="s">
        <v>74</v>
      </c>
      <c r="F641" t="s">
        <v>12581</v>
      </c>
      <c r="G641" t="s">
        <v>74</v>
      </c>
      <c r="H641" t="s">
        <v>74</v>
      </c>
      <c r="I641" t="s">
        <v>12582</v>
      </c>
      <c r="J641" t="s">
        <v>1999</v>
      </c>
      <c r="K641" t="s">
        <v>74</v>
      </c>
      <c r="L641" t="s">
        <v>74</v>
      </c>
      <c r="M641" t="s">
        <v>78</v>
      </c>
      <c r="N641" t="s">
        <v>79</v>
      </c>
      <c r="O641" t="s">
        <v>74</v>
      </c>
      <c r="P641" t="s">
        <v>74</v>
      </c>
      <c r="Q641" t="s">
        <v>74</v>
      </c>
      <c r="R641" t="s">
        <v>74</v>
      </c>
      <c r="S641" t="s">
        <v>74</v>
      </c>
      <c r="T641" t="s">
        <v>12583</v>
      </c>
      <c r="U641" t="s">
        <v>12584</v>
      </c>
      <c r="V641" t="s">
        <v>12585</v>
      </c>
      <c r="W641" t="s">
        <v>12586</v>
      </c>
      <c r="X641" t="s">
        <v>12587</v>
      </c>
      <c r="Y641" t="s">
        <v>7443</v>
      </c>
      <c r="Z641" t="s">
        <v>12588</v>
      </c>
      <c r="AA641" t="s">
        <v>12589</v>
      </c>
      <c r="AB641" t="s">
        <v>12590</v>
      </c>
      <c r="AC641" t="s">
        <v>12591</v>
      </c>
      <c r="AD641" t="s">
        <v>12592</v>
      </c>
      <c r="AE641" t="s">
        <v>12593</v>
      </c>
      <c r="AF641" t="s">
        <v>74</v>
      </c>
      <c r="AG641">
        <v>61</v>
      </c>
      <c r="AH641">
        <v>34</v>
      </c>
      <c r="AI641">
        <v>37</v>
      </c>
      <c r="AJ641">
        <v>0</v>
      </c>
      <c r="AK641">
        <v>34</v>
      </c>
      <c r="AL641" t="s">
        <v>2011</v>
      </c>
      <c r="AM641" t="s">
        <v>2012</v>
      </c>
      <c r="AN641" t="s">
        <v>2013</v>
      </c>
      <c r="AO641" t="s">
        <v>74</v>
      </c>
      <c r="AP641" t="s">
        <v>2014</v>
      </c>
      <c r="AQ641" t="s">
        <v>74</v>
      </c>
      <c r="AR641" t="s">
        <v>1999</v>
      </c>
      <c r="AS641" t="s">
        <v>2015</v>
      </c>
      <c r="AT641" t="s">
        <v>12594</v>
      </c>
      <c r="AU641">
        <v>2019</v>
      </c>
      <c r="AV641">
        <v>24</v>
      </c>
      <c r="AW641">
        <v>4</v>
      </c>
      <c r="AX641" t="s">
        <v>74</v>
      </c>
      <c r="AY641" t="s">
        <v>74</v>
      </c>
      <c r="AZ641" t="s">
        <v>74</v>
      </c>
      <c r="BA641" t="s">
        <v>74</v>
      </c>
      <c r="BB641" t="s">
        <v>74</v>
      </c>
      <c r="BC641" t="s">
        <v>74</v>
      </c>
      <c r="BD641">
        <v>715</v>
      </c>
      <c r="BE641" t="s">
        <v>12595</v>
      </c>
      <c r="BF641" t="str">
        <f>HYPERLINK("http://dx.doi.org/10.3390/molecules24040715","http://dx.doi.org/10.3390/molecules24040715")</f>
        <v>http://dx.doi.org/10.3390/molecules24040715</v>
      </c>
      <c r="BG641" t="s">
        <v>74</v>
      </c>
      <c r="BH641" t="s">
        <v>74</v>
      </c>
      <c r="BI641">
        <v>14</v>
      </c>
      <c r="BJ641" t="s">
        <v>2017</v>
      </c>
      <c r="BK641" t="s">
        <v>102</v>
      </c>
      <c r="BL641" t="s">
        <v>2018</v>
      </c>
      <c r="BM641" t="s">
        <v>12596</v>
      </c>
      <c r="BN641">
        <v>30781467</v>
      </c>
      <c r="BO641" t="s">
        <v>1566</v>
      </c>
      <c r="BP641" t="s">
        <v>74</v>
      </c>
      <c r="BQ641" t="s">
        <v>74</v>
      </c>
      <c r="BR641" t="s">
        <v>107</v>
      </c>
      <c r="BS641" t="s">
        <v>12597</v>
      </c>
      <c r="BT641" t="str">
        <f>HYPERLINK("https%3A%2F%2Fwww.webofscience.com%2Fwos%2Fwoscc%2Ffull-record%2FWOS:000460805900061","View Full Record in Web of Science")</f>
        <v>View Full Record in Web of Science</v>
      </c>
    </row>
    <row r="642" spans="1:72" x14ac:dyDescent="0.15">
      <c r="A642" t="s">
        <v>72</v>
      </c>
      <c r="B642" t="s">
        <v>12598</v>
      </c>
      <c r="C642" t="s">
        <v>74</v>
      </c>
      <c r="D642" t="s">
        <v>74</v>
      </c>
      <c r="E642" t="s">
        <v>74</v>
      </c>
      <c r="F642" t="s">
        <v>12599</v>
      </c>
      <c r="G642" t="s">
        <v>74</v>
      </c>
      <c r="H642" t="s">
        <v>74</v>
      </c>
      <c r="I642" t="s">
        <v>12600</v>
      </c>
      <c r="J642" t="s">
        <v>1999</v>
      </c>
      <c r="K642" t="s">
        <v>74</v>
      </c>
      <c r="L642" t="s">
        <v>74</v>
      </c>
      <c r="M642" t="s">
        <v>78</v>
      </c>
      <c r="N642" t="s">
        <v>79</v>
      </c>
      <c r="O642" t="s">
        <v>74</v>
      </c>
      <c r="P642" t="s">
        <v>74</v>
      </c>
      <c r="Q642" t="s">
        <v>74</v>
      </c>
      <c r="R642" t="s">
        <v>74</v>
      </c>
      <c r="S642" t="s">
        <v>74</v>
      </c>
      <c r="T642" t="s">
        <v>12601</v>
      </c>
      <c r="U642" t="s">
        <v>12602</v>
      </c>
      <c r="V642" t="s">
        <v>12603</v>
      </c>
      <c r="W642" t="s">
        <v>12604</v>
      </c>
      <c r="X642" t="s">
        <v>12605</v>
      </c>
      <c r="Y642" t="s">
        <v>12606</v>
      </c>
      <c r="Z642" t="s">
        <v>12607</v>
      </c>
      <c r="AA642" t="s">
        <v>12608</v>
      </c>
      <c r="AB642" t="s">
        <v>74</v>
      </c>
      <c r="AC642" t="s">
        <v>12609</v>
      </c>
      <c r="AD642" t="s">
        <v>12610</v>
      </c>
      <c r="AE642" t="s">
        <v>12611</v>
      </c>
      <c r="AF642" t="s">
        <v>74</v>
      </c>
      <c r="AG642">
        <v>32</v>
      </c>
      <c r="AH642">
        <v>17</v>
      </c>
      <c r="AI642">
        <v>18</v>
      </c>
      <c r="AJ642">
        <v>1</v>
      </c>
      <c r="AK642">
        <v>19</v>
      </c>
      <c r="AL642" t="s">
        <v>2011</v>
      </c>
      <c r="AM642" t="s">
        <v>2012</v>
      </c>
      <c r="AN642" t="s">
        <v>2013</v>
      </c>
      <c r="AO642" t="s">
        <v>74</v>
      </c>
      <c r="AP642" t="s">
        <v>2014</v>
      </c>
      <c r="AQ642" t="s">
        <v>74</v>
      </c>
      <c r="AR642" t="s">
        <v>1999</v>
      </c>
      <c r="AS642" t="s">
        <v>2015</v>
      </c>
      <c r="AT642" t="s">
        <v>12594</v>
      </c>
      <c r="AU642">
        <v>2019</v>
      </c>
      <c r="AV642">
        <v>24</v>
      </c>
      <c r="AW642">
        <v>4</v>
      </c>
      <c r="AX642" t="s">
        <v>74</v>
      </c>
      <c r="AY642" t="s">
        <v>74</v>
      </c>
      <c r="AZ642" t="s">
        <v>74</v>
      </c>
      <c r="BA642" t="s">
        <v>74</v>
      </c>
      <c r="BB642" t="s">
        <v>74</v>
      </c>
      <c r="BC642" t="s">
        <v>74</v>
      </c>
      <c r="BD642">
        <v>768</v>
      </c>
      <c r="BE642" t="s">
        <v>12612</v>
      </c>
      <c r="BF642" t="str">
        <f>HYPERLINK("http://dx.doi.org/10.3390/molecules24040768","http://dx.doi.org/10.3390/molecules24040768")</f>
        <v>http://dx.doi.org/10.3390/molecules24040768</v>
      </c>
      <c r="BG642" t="s">
        <v>74</v>
      </c>
      <c r="BH642" t="s">
        <v>74</v>
      </c>
      <c r="BI642">
        <v>15</v>
      </c>
      <c r="BJ642" t="s">
        <v>2017</v>
      </c>
      <c r="BK642" t="s">
        <v>102</v>
      </c>
      <c r="BL642" t="s">
        <v>2018</v>
      </c>
      <c r="BM642" t="s">
        <v>12596</v>
      </c>
      <c r="BN642">
        <v>30791605</v>
      </c>
      <c r="BO642" t="s">
        <v>2020</v>
      </c>
      <c r="BP642" t="s">
        <v>74</v>
      </c>
      <c r="BQ642" t="s">
        <v>74</v>
      </c>
      <c r="BR642" t="s">
        <v>107</v>
      </c>
      <c r="BS642" t="s">
        <v>12613</v>
      </c>
      <c r="BT642" t="str">
        <f>HYPERLINK("https%3A%2F%2Fwww.webofscience.com%2Fwos%2Fwoscc%2Ffull-record%2FWOS:000460805900114","View Full Record in Web of Science")</f>
        <v>View Full Record in Web of Science</v>
      </c>
    </row>
    <row r="643" spans="1:72" x14ac:dyDescent="0.15">
      <c r="A643" t="s">
        <v>72</v>
      </c>
      <c r="B643" t="s">
        <v>12614</v>
      </c>
      <c r="C643" t="s">
        <v>74</v>
      </c>
      <c r="D643" t="s">
        <v>74</v>
      </c>
      <c r="E643" t="s">
        <v>74</v>
      </c>
      <c r="F643" t="s">
        <v>12615</v>
      </c>
      <c r="G643" t="s">
        <v>74</v>
      </c>
      <c r="H643" t="s">
        <v>74</v>
      </c>
      <c r="I643" t="s">
        <v>12616</v>
      </c>
      <c r="J643" t="s">
        <v>2447</v>
      </c>
      <c r="K643" t="s">
        <v>74</v>
      </c>
      <c r="L643" t="s">
        <v>74</v>
      </c>
      <c r="M643" t="s">
        <v>78</v>
      </c>
      <c r="N643" t="s">
        <v>79</v>
      </c>
      <c r="O643" t="s">
        <v>74</v>
      </c>
      <c r="P643" t="s">
        <v>74</v>
      </c>
      <c r="Q643" t="s">
        <v>74</v>
      </c>
      <c r="R643" t="s">
        <v>74</v>
      </c>
      <c r="S643" t="s">
        <v>74</v>
      </c>
      <c r="T643" t="s">
        <v>12617</v>
      </c>
      <c r="U643" t="s">
        <v>12618</v>
      </c>
      <c r="V643" t="s">
        <v>12619</v>
      </c>
      <c r="W643" t="s">
        <v>12620</v>
      </c>
      <c r="X643" t="s">
        <v>12621</v>
      </c>
      <c r="Y643" t="s">
        <v>12622</v>
      </c>
      <c r="Z643" t="s">
        <v>12623</v>
      </c>
      <c r="AA643" t="s">
        <v>12624</v>
      </c>
      <c r="AB643" t="s">
        <v>12625</v>
      </c>
      <c r="AC643" t="s">
        <v>12626</v>
      </c>
      <c r="AD643" t="s">
        <v>12621</v>
      </c>
      <c r="AE643" t="s">
        <v>12627</v>
      </c>
      <c r="AF643" t="s">
        <v>74</v>
      </c>
      <c r="AG643">
        <v>46</v>
      </c>
      <c r="AH643">
        <v>19</v>
      </c>
      <c r="AI643">
        <v>20</v>
      </c>
      <c r="AJ643">
        <v>4</v>
      </c>
      <c r="AK643">
        <v>24</v>
      </c>
      <c r="AL643" t="s">
        <v>2011</v>
      </c>
      <c r="AM643" t="s">
        <v>2012</v>
      </c>
      <c r="AN643" t="s">
        <v>2013</v>
      </c>
      <c r="AO643" t="s">
        <v>74</v>
      </c>
      <c r="AP643" t="s">
        <v>2460</v>
      </c>
      <c r="AQ643" t="s">
        <v>74</v>
      </c>
      <c r="AR643" t="s">
        <v>2461</v>
      </c>
      <c r="AS643" t="s">
        <v>2462</v>
      </c>
      <c r="AT643" t="s">
        <v>12594</v>
      </c>
      <c r="AU643">
        <v>2019</v>
      </c>
      <c r="AV643">
        <v>11</v>
      </c>
      <c r="AW643">
        <v>4</v>
      </c>
      <c r="AX643" t="s">
        <v>74</v>
      </c>
      <c r="AY643" t="s">
        <v>74</v>
      </c>
      <c r="AZ643" t="s">
        <v>74</v>
      </c>
      <c r="BA643" t="s">
        <v>74</v>
      </c>
      <c r="BB643" t="s">
        <v>74</v>
      </c>
      <c r="BC643" t="s">
        <v>74</v>
      </c>
      <c r="BD643">
        <v>404</v>
      </c>
      <c r="BE643" t="s">
        <v>12628</v>
      </c>
      <c r="BF643" t="str">
        <f>HYPERLINK("http://dx.doi.org/10.3390/rs11040404","http://dx.doi.org/10.3390/rs11040404")</f>
        <v>http://dx.doi.org/10.3390/rs11040404</v>
      </c>
      <c r="BG643" t="s">
        <v>74</v>
      </c>
      <c r="BH643" t="s">
        <v>74</v>
      </c>
      <c r="BI643">
        <v>14</v>
      </c>
      <c r="BJ643" t="s">
        <v>2465</v>
      </c>
      <c r="BK643" t="s">
        <v>102</v>
      </c>
      <c r="BL643" t="s">
        <v>2466</v>
      </c>
      <c r="BM643" t="s">
        <v>12629</v>
      </c>
      <c r="BN643" t="s">
        <v>74</v>
      </c>
      <c r="BO643" t="s">
        <v>3093</v>
      </c>
      <c r="BP643" t="s">
        <v>74</v>
      </c>
      <c r="BQ643" t="s">
        <v>74</v>
      </c>
      <c r="BR643" t="s">
        <v>107</v>
      </c>
      <c r="BS643" t="s">
        <v>12630</v>
      </c>
      <c r="BT643" t="str">
        <f>HYPERLINK("https%3A%2F%2Fwww.webofscience.com%2Fwos%2Fwoscc%2Ffull-record%2FWOS:000460766100034","View Full Record in Web of Science")</f>
        <v>View Full Record in Web of Science</v>
      </c>
    </row>
    <row r="644" spans="1:72" x14ac:dyDescent="0.15">
      <c r="A644" t="s">
        <v>72</v>
      </c>
      <c r="B644" t="s">
        <v>12631</v>
      </c>
      <c r="C644" t="s">
        <v>74</v>
      </c>
      <c r="D644" t="s">
        <v>74</v>
      </c>
      <c r="E644" t="s">
        <v>74</v>
      </c>
      <c r="F644" t="s">
        <v>12632</v>
      </c>
      <c r="G644" t="s">
        <v>74</v>
      </c>
      <c r="H644" t="s">
        <v>74</v>
      </c>
      <c r="I644" t="s">
        <v>12633</v>
      </c>
      <c r="J644" t="s">
        <v>2447</v>
      </c>
      <c r="K644" t="s">
        <v>74</v>
      </c>
      <c r="L644" t="s">
        <v>74</v>
      </c>
      <c r="M644" t="s">
        <v>78</v>
      </c>
      <c r="N644" t="s">
        <v>79</v>
      </c>
      <c r="O644" t="s">
        <v>74</v>
      </c>
      <c r="P644" t="s">
        <v>74</v>
      </c>
      <c r="Q644" t="s">
        <v>74</v>
      </c>
      <c r="R644" t="s">
        <v>74</v>
      </c>
      <c r="S644" t="s">
        <v>74</v>
      </c>
      <c r="T644" t="s">
        <v>12634</v>
      </c>
      <c r="U644" t="s">
        <v>12635</v>
      </c>
      <c r="V644" t="s">
        <v>12636</v>
      </c>
      <c r="W644" t="s">
        <v>12637</v>
      </c>
      <c r="X644" t="s">
        <v>3828</v>
      </c>
      <c r="Y644" t="s">
        <v>12638</v>
      </c>
      <c r="Z644" t="s">
        <v>12639</v>
      </c>
      <c r="AA644" t="s">
        <v>12640</v>
      </c>
      <c r="AB644" t="s">
        <v>12641</v>
      </c>
      <c r="AC644" t="s">
        <v>12642</v>
      </c>
      <c r="AD644" t="s">
        <v>12643</v>
      </c>
      <c r="AE644" t="s">
        <v>12644</v>
      </c>
      <c r="AF644" t="s">
        <v>74</v>
      </c>
      <c r="AG644">
        <v>51</v>
      </c>
      <c r="AH644">
        <v>16</v>
      </c>
      <c r="AI644">
        <v>19</v>
      </c>
      <c r="AJ644">
        <v>0</v>
      </c>
      <c r="AK644">
        <v>21</v>
      </c>
      <c r="AL644" t="s">
        <v>2011</v>
      </c>
      <c r="AM644" t="s">
        <v>2012</v>
      </c>
      <c r="AN644" t="s">
        <v>2013</v>
      </c>
      <c r="AO644" t="s">
        <v>74</v>
      </c>
      <c r="AP644" t="s">
        <v>2460</v>
      </c>
      <c r="AQ644" t="s">
        <v>74</v>
      </c>
      <c r="AR644" t="s">
        <v>2461</v>
      </c>
      <c r="AS644" t="s">
        <v>2462</v>
      </c>
      <c r="AT644" t="s">
        <v>12594</v>
      </c>
      <c r="AU644">
        <v>2019</v>
      </c>
      <c r="AV644">
        <v>11</v>
      </c>
      <c r="AW644">
        <v>4</v>
      </c>
      <c r="AX644" t="s">
        <v>74</v>
      </c>
      <c r="AY644" t="s">
        <v>74</v>
      </c>
      <c r="AZ644" t="s">
        <v>74</v>
      </c>
      <c r="BA644" t="s">
        <v>74</v>
      </c>
      <c r="BB644" t="s">
        <v>74</v>
      </c>
      <c r="BC644" t="s">
        <v>74</v>
      </c>
      <c r="BD644">
        <v>386</v>
      </c>
      <c r="BE644" t="s">
        <v>12645</v>
      </c>
      <c r="BF644" t="str">
        <f>HYPERLINK("http://dx.doi.org/10.3390/rs11040386","http://dx.doi.org/10.3390/rs11040386")</f>
        <v>http://dx.doi.org/10.3390/rs11040386</v>
      </c>
      <c r="BG644" t="s">
        <v>74</v>
      </c>
      <c r="BH644" t="s">
        <v>74</v>
      </c>
      <c r="BI644">
        <v>23</v>
      </c>
      <c r="BJ644" t="s">
        <v>2465</v>
      </c>
      <c r="BK644" t="s">
        <v>102</v>
      </c>
      <c r="BL644" t="s">
        <v>2466</v>
      </c>
      <c r="BM644" t="s">
        <v>12629</v>
      </c>
      <c r="BN644" t="s">
        <v>74</v>
      </c>
      <c r="BO644" t="s">
        <v>135</v>
      </c>
      <c r="BP644" t="s">
        <v>74</v>
      </c>
      <c r="BQ644" t="s">
        <v>74</v>
      </c>
      <c r="BR644" t="s">
        <v>107</v>
      </c>
      <c r="BS644" t="s">
        <v>12646</v>
      </c>
      <c r="BT644" t="str">
        <f>HYPERLINK("https%3A%2F%2Fwww.webofscience.com%2Fwos%2Fwoscc%2Ffull-record%2FWOS:000460766100016","View Full Record in Web of Science")</f>
        <v>View Full Record in Web of Science</v>
      </c>
    </row>
    <row r="645" spans="1:72" x14ac:dyDescent="0.15">
      <c r="A645" t="s">
        <v>72</v>
      </c>
      <c r="B645" t="s">
        <v>12647</v>
      </c>
      <c r="C645" t="s">
        <v>74</v>
      </c>
      <c r="D645" t="s">
        <v>74</v>
      </c>
      <c r="E645" t="s">
        <v>74</v>
      </c>
      <c r="F645" t="s">
        <v>12648</v>
      </c>
      <c r="G645" t="s">
        <v>74</v>
      </c>
      <c r="H645" t="s">
        <v>74</v>
      </c>
      <c r="I645" t="s">
        <v>12649</v>
      </c>
      <c r="J645" t="s">
        <v>12650</v>
      </c>
      <c r="K645" t="s">
        <v>74</v>
      </c>
      <c r="L645" t="s">
        <v>74</v>
      </c>
      <c r="M645" t="s">
        <v>78</v>
      </c>
      <c r="N645" t="s">
        <v>79</v>
      </c>
      <c r="O645" t="s">
        <v>74</v>
      </c>
      <c r="P645" t="s">
        <v>74</v>
      </c>
      <c r="Q645" t="s">
        <v>74</v>
      </c>
      <c r="R645" t="s">
        <v>74</v>
      </c>
      <c r="S645" t="s">
        <v>74</v>
      </c>
      <c r="T645" t="s">
        <v>12651</v>
      </c>
      <c r="U645" t="s">
        <v>12652</v>
      </c>
      <c r="V645" t="s">
        <v>12653</v>
      </c>
      <c r="W645" t="s">
        <v>12654</v>
      </c>
      <c r="X645" t="s">
        <v>12655</v>
      </c>
      <c r="Y645" t="s">
        <v>12656</v>
      </c>
      <c r="Z645" t="s">
        <v>12657</v>
      </c>
      <c r="AA645" t="s">
        <v>12658</v>
      </c>
      <c r="AB645" t="s">
        <v>12659</v>
      </c>
      <c r="AC645" t="s">
        <v>12660</v>
      </c>
      <c r="AD645" t="s">
        <v>12661</v>
      </c>
      <c r="AE645" t="s">
        <v>12662</v>
      </c>
      <c r="AF645" t="s">
        <v>74</v>
      </c>
      <c r="AG645">
        <v>80</v>
      </c>
      <c r="AH645">
        <v>1</v>
      </c>
      <c r="AI645">
        <v>1</v>
      </c>
      <c r="AJ645">
        <v>2</v>
      </c>
      <c r="AK645">
        <v>20</v>
      </c>
      <c r="AL645" t="s">
        <v>240</v>
      </c>
      <c r="AM645" t="s">
        <v>12663</v>
      </c>
      <c r="AN645" t="s">
        <v>12664</v>
      </c>
      <c r="AO645" t="s">
        <v>12665</v>
      </c>
      <c r="AP645" t="s">
        <v>74</v>
      </c>
      <c r="AQ645" t="s">
        <v>74</v>
      </c>
      <c r="AR645" t="s">
        <v>12666</v>
      </c>
      <c r="AS645" t="s">
        <v>12667</v>
      </c>
      <c r="AT645" t="s">
        <v>12668</v>
      </c>
      <c r="AU645">
        <v>2019</v>
      </c>
      <c r="AV645">
        <v>11</v>
      </c>
      <c r="AW645">
        <v>1</v>
      </c>
      <c r="AX645" t="s">
        <v>74</v>
      </c>
      <c r="AY645" t="s">
        <v>74</v>
      </c>
      <c r="AZ645" t="s">
        <v>74</v>
      </c>
      <c r="BA645" t="s">
        <v>74</v>
      </c>
      <c r="BB645">
        <v>50</v>
      </c>
      <c r="BC645">
        <v>61</v>
      </c>
      <c r="BD645" t="s">
        <v>74</v>
      </c>
      <c r="BE645" t="s">
        <v>12669</v>
      </c>
      <c r="BF645" t="str">
        <f>HYPERLINK("http://dx.doi.org/10.3724/SP.J.1226.2019.00050","http://dx.doi.org/10.3724/SP.J.1226.2019.00050")</f>
        <v>http://dx.doi.org/10.3724/SP.J.1226.2019.00050</v>
      </c>
      <c r="BG645" t="s">
        <v>74</v>
      </c>
      <c r="BH645" t="s">
        <v>74</v>
      </c>
      <c r="BI645">
        <v>12</v>
      </c>
      <c r="BJ645" t="s">
        <v>12670</v>
      </c>
      <c r="BK645" t="s">
        <v>2712</v>
      </c>
      <c r="BL645" t="s">
        <v>12671</v>
      </c>
      <c r="BM645" t="s">
        <v>12672</v>
      </c>
      <c r="BN645" t="s">
        <v>74</v>
      </c>
      <c r="BO645" t="s">
        <v>74</v>
      </c>
      <c r="BP645" t="s">
        <v>74</v>
      </c>
      <c r="BQ645" t="s">
        <v>74</v>
      </c>
      <c r="BR645" t="s">
        <v>107</v>
      </c>
      <c r="BS645" t="s">
        <v>12673</v>
      </c>
      <c r="BT645" t="str">
        <f>HYPERLINK("https%3A%2F%2Fwww.webofscience.com%2Fwos%2Fwoscc%2Ffull-record%2FWOS:000466176100005","View Full Record in Web of Science")</f>
        <v>View Full Record in Web of Science</v>
      </c>
    </row>
    <row r="646" spans="1:72" x14ac:dyDescent="0.15">
      <c r="A646" t="s">
        <v>72</v>
      </c>
      <c r="B646" t="s">
        <v>12674</v>
      </c>
      <c r="C646" t="s">
        <v>74</v>
      </c>
      <c r="D646" t="s">
        <v>74</v>
      </c>
      <c r="E646" t="s">
        <v>74</v>
      </c>
      <c r="F646" t="s">
        <v>12675</v>
      </c>
      <c r="G646" t="s">
        <v>74</v>
      </c>
      <c r="H646" t="s">
        <v>74</v>
      </c>
      <c r="I646" t="s">
        <v>12676</v>
      </c>
      <c r="J646" t="s">
        <v>12677</v>
      </c>
      <c r="K646" t="s">
        <v>74</v>
      </c>
      <c r="L646" t="s">
        <v>74</v>
      </c>
      <c r="M646" t="s">
        <v>12678</v>
      </c>
      <c r="N646" t="s">
        <v>79</v>
      </c>
      <c r="O646" t="s">
        <v>74</v>
      </c>
      <c r="P646" t="s">
        <v>74</v>
      </c>
      <c r="Q646" t="s">
        <v>74</v>
      </c>
      <c r="R646" t="s">
        <v>74</v>
      </c>
      <c r="S646" t="s">
        <v>74</v>
      </c>
      <c r="T646" t="s">
        <v>12679</v>
      </c>
      <c r="U646" t="s">
        <v>12680</v>
      </c>
      <c r="V646" t="s">
        <v>12681</v>
      </c>
      <c r="W646" t="s">
        <v>12682</v>
      </c>
      <c r="X646" t="s">
        <v>74</v>
      </c>
      <c r="Y646" t="s">
        <v>12683</v>
      </c>
      <c r="Z646" t="s">
        <v>12684</v>
      </c>
      <c r="AA646" t="s">
        <v>74</v>
      </c>
      <c r="AB646" t="s">
        <v>74</v>
      </c>
      <c r="AC646" t="s">
        <v>74</v>
      </c>
      <c r="AD646" t="s">
        <v>74</v>
      </c>
      <c r="AE646" t="s">
        <v>74</v>
      </c>
      <c r="AF646" t="s">
        <v>74</v>
      </c>
      <c r="AG646">
        <v>23</v>
      </c>
      <c r="AH646">
        <v>0</v>
      </c>
      <c r="AI646">
        <v>0</v>
      </c>
      <c r="AJ646">
        <v>0</v>
      </c>
      <c r="AK646">
        <v>8</v>
      </c>
      <c r="AL646" t="s">
        <v>12685</v>
      </c>
      <c r="AM646" t="s">
        <v>12686</v>
      </c>
      <c r="AN646" t="s">
        <v>12687</v>
      </c>
      <c r="AO646" t="s">
        <v>12688</v>
      </c>
      <c r="AP646" t="s">
        <v>12689</v>
      </c>
      <c r="AQ646" t="s">
        <v>74</v>
      </c>
      <c r="AR646" t="s">
        <v>12690</v>
      </c>
      <c r="AS646" t="s">
        <v>12691</v>
      </c>
      <c r="AT646" t="s">
        <v>12668</v>
      </c>
      <c r="AU646">
        <v>2019</v>
      </c>
      <c r="AV646">
        <v>36</v>
      </c>
      <c r="AW646">
        <v>1</v>
      </c>
      <c r="AX646" t="s">
        <v>74</v>
      </c>
      <c r="AY646" t="s">
        <v>74</v>
      </c>
      <c r="AZ646" t="s">
        <v>74</v>
      </c>
      <c r="BA646" t="s">
        <v>74</v>
      </c>
      <c r="BB646">
        <v>92</v>
      </c>
      <c r="BC646">
        <v>98</v>
      </c>
      <c r="BD646" t="s">
        <v>74</v>
      </c>
      <c r="BE646" t="s">
        <v>74</v>
      </c>
      <c r="BF646" t="s">
        <v>74</v>
      </c>
      <c r="BG646" t="s">
        <v>74</v>
      </c>
      <c r="BH646" t="s">
        <v>74</v>
      </c>
      <c r="BI646">
        <v>7</v>
      </c>
      <c r="BJ646" t="s">
        <v>12692</v>
      </c>
      <c r="BK646" t="s">
        <v>102</v>
      </c>
      <c r="BL646" t="s">
        <v>12692</v>
      </c>
      <c r="BM646" t="s">
        <v>12693</v>
      </c>
      <c r="BN646">
        <v>31095208</v>
      </c>
      <c r="BO646" t="s">
        <v>851</v>
      </c>
      <c r="BP646" t="s">
        <v>74</v>
      </c>
      <c r="BQ646" t="s">
        <v>74</v>
      </c>
      <c r="BR646" t="s">
        <v>107</v>
      </c>
      <c r="BS646" t="s">
        <v>12694</v>
      </c>
      <c r="BT646" t="str">
        <f>HYPERLINK("https%3A%2F%2Fwww.webofscience.com%2Fwos%2Fwoscc%2Ffull-record%2FWOS:000465507200011","View Full Record in Web of Science")</f>
        <v>View Full Record in Web of Science</v>
      </c>
    </row>
    <row r="647" spans="1:72" x14ac:dyDescent="0.15">
      <c r="A647" t="s">
        <v>72</v>
      </c>
      <c r="B647" t="s">
        <v>12695</v>
      </c>
      <c r="C647" t="s">
        <v>74</v>
      </c>
      <c r="D647" t="s">
        <v>74</v>
      </c>
      <c r="E647" t="s">
        <v>74</v>
      </c>
      <c r="F647" t="s">
        <v>12696</v>
      </c>
      <c r="G647" t="s">
        <v>74</v>
      </c>
      <c r="H647" t="s">
        <v>74</v>
      </c>
      <c r="I647" t="s">
        <v>12697</v>
      </c>
      <c r="J647" t="s">
        <v>3298</v>
      </c>
      <c r="K647" t="s">
        <v>74</v>
      </c>
      <c r="L647" t="s">
        <v>74</v>
      </c>
      <c r="M647" t="s">
        <v>78</v>
      </c>
      <c r="N647" t="s">
        <v>79</v>
      </c>
      <c r="O647" t="s">
        <v>74</v>
      </c>
      <c r="P647" t="s">
        <v>74</v>
      </c>
      <c r="Q647" t="s">
        <v>74</v>
      </c>
      <c r="R647" t="s">
        <v>74</v>
      </c>
      <c r="S647" t="s">
        <v>74</v>
      </c>
      <c r="T647" t="s">
        <v>12698</v>
      </c>
      <c r="U647" t="s">
        <v>12699</v>
      </c>
      <c r="V647" t="s">
        <v>12700</v>
      </c>
      <c r="W647" t="s">
        <v>12701</v>
      </c>
      <c r="X647" t="s">
        <v>12702</v>
      </c>
      <c r="Y647" t="s">
        <v>12703</v>
      </c>
      <c r="Z647" t="s">
        <v>12704</v>
      </c>
      <c r="AA647" t="s">
        <v>12705</v>
      </c>
      <c r="AB647" t="s">
        <v>12706</v>
      </c>
      <c r="AC647" t="s">
        <v>12707</v>
      </c>
      <c r="AD647" t="s">
        <v>8160</v>
      </c>
      <c r="AE647" t="s">
        <v>12708</v>
      </c>
      <c r="AF647" t="s">
        <v>74</v>
      </c>
      <c r="AG647">
        <v>59</v>
      </c>
      <c r="AH647">
        <v>1</v>
      </c>
      <c r="AI647">
        <v>1</v>
      </c>
      <c r="AJ647">
        <v>0</v>
      </c>
      <c r="AK647">
        <v>0</v>
      </c>
      <c r="AL647" t="s">
        <v>3307</v>
      </c>
      <c r="AM647" t="s">
        <v>3308</v>
      </c>
      <c r="AN647" t="s">
        <v>3309</v>
      </c>
      <c r="AO647" t="s">
        <v>3310</v>
      </c>
      <c r="AP647" t="s">
        <v>3311</v>
      </c>
      <c r="AQ647" t="s">
        <v>74</v>
      </c>
      <c r="AR647" t="s">
        <v>3312</v>
      </c>
      <c r="AS647" t="s">
        <v>3313</v>
      </c>
      <c r="AT647" t="s">
        <v>12668</v>
      </c>
      <c r="AU647">
        <v>2019</v>
      </c>
      <c r="AV647">
        <v>44</v>
      </c>
      <c r="AW647">
        <v>2</v>
      </c>
      <c r="AX647" t="s">
        <v>74</v>
      </c>
      <c r="AY647" t="s">
        <v>74</v>
      </c>
      <c r="AZ647" t="s">
        <v>74</v>
      </c>
      <c r="BA647" t="s">
        <v>74</v>
      </c>
      <c r="BB647">
        <v>87</v>
      </c>
      <c r="BC647">
        <v>96</v>
      </c>
      <c r="BD647" t="s">
        <v>74</v>
      </c>
      <c r="BE647" t="s">
        <v>12709</v>
      </c>
      <c r="BF647" t="str">
        <f>HYPERLINK("http://dx.doi.org/10.3103/S1068373919020018","http://dx.doi.org/10.3103/S1068373919020018")</f>
        <v>http://dx.doi.org/10.3103/S1068373919020018</v>
      </c>
      <c r="BG647" t="s">
        <v>74</v>
      </c>
      <c r="BH647" t="s">
        <v>74</v>
      </c>
      <c r="BI647">
        <v>10</v>
      </c>
      <c r="BJ647" t="s">
        <v>133</v>
      </c>
      <c r="BK647" t="s">
        <v>102</v>
      </c>
      <c r="BL647" t="s">
        <v>133</v>
      </c>
      <c r="BM647" t="s">
        <v>12710</v>
      </c>
      <c r="BN647" t="s">
        <v>74</v>
      </c>
      <c r="BO647" t="s">
        <v>74</v>
      </c>
      <c r="BP647" t="s">
        <v>74</v>
      </c>
      <c r="BQ647" t="s">
        <v>74</v>
      </c>
      <c r="BR647" t="s">
        <v>107</v>
      </c>
      <c r="BS647" t="s">
        <v>12711</v>
      </c>
      <c r="BT647" t="str">
        <f>HYPERLINK("https%3A%2F%2Fwww.webofscience.com%2Fwos%2Fwoscc%2Ffull-record%2FWOS:000465328000001","View Full Record in Web of Science")</f>
        <v>View Full Record in Web of Science</v>
      </c>
    </row>
    <row r="648" spans="1:72" x14ac:dyDescent="0.15">
      <c r="A648" t="s">
        <v>72</v>
      </c>
      <c r="B648" t="s">
        <v>12712</v>
      </c>
      <c r="C648" t="s">
        <v>74</v>
      </c>
      <c r="D648" t="s">
        <v>74</v>
      </c>
      <c r="E648" t="s">
        <v>74</v>
      </c>
      <c r="F648" t="s">
        <v>12713</v>
      </c>
      <c r="G648" t="s">
        <v>74</v>
      </c>
      <c r="H648" t="s">
        <v>74</v>
      </c>
      <c r="I648" t="s">
        <v>12714</v>
      </c>
      <c r="J648" t="s">
        <v>3298</v>
      </c>
      <c r="K648" t="s">
        <v>74</v>
      </c>
      <c r="L648" t="s">
        <v>74</v>
      </c>
      <c r="M648" t="s">
        <v>78</v>
      </c>
      <c r="N648" t="s">
        <v>469</v>
      </c>
      <c r="O648" t="s">
        <v>74</v>
      </c>
      <c r="P648" t="s">
        <v>74</v>
      </c>
      <c r="Q648" t="s">
        <v>74</v>
      </c>
      <c r="R648" t="s">
        <v>74</v>
      </c>
      <c r="S648" t="s">
        <v>74</v>
      </c>
      <c r="T648" t="s">
        <v>12715</v>
      </c>
      <c r="U648" t="s">
        <v>74</v>
      </c>
      <c r="V648" t="s">
        <v>12716</v>
      </c>
      <c r="W648" t="s">
        <v>12717</v>
      </c>
      <c r="X648" t="s">
        <v>12718</v>
      </c>
      <c r="Y648" t="s">
        <v>12719</v>
      </c>
      <c r="Z648" t="s">
        <v>12720</v>
      </c>
      <c r="AA648" t="s">
        <v>74</v>
      </c>
      <c r="AB648" t="s">
        <v>74</v>
      </c>
      <c r="AC648" t="s">
        <v>12721</v>
      </c>
      <c r="AD648" t="s">
        <v>2391</v>
      </c>
      <c r="AE648" t="s">
        <v>12722</v>
      </c>
      <c r="AF648" t="s">
        <v>74</v>
      </c>
      <c r="AG648">
        <v>10</v>
      </c>
      <c r="AH648">
        <v>2</v>
      </c>
      <c r="AI648">
        <v>2</v>
      </c>
      <c r="AJ648">
        <v>0</v>
      </c>
      <c r="AK648">
        <v>1</v>
      </c>
      <c r="AL648" t="s">
        <v>3307</v>
      </c>
      <c r="AM648" t="s">
        <v>3308</v>
      </c>
      <c r="AN648" t="s">
        <v>3309</v>
      </c>
      <c r="AO648" t="s">
        <v>3310</v>
      </c>
      <c r="AP648" t="s">
        <v>3311</v>
      </c>
      <c r="AQ648" t="s">
        <v>74</v>
      </c>
      <c r="AR648" t="s">
        <v>3312</v>
      </c>
      <c r="AS648" t="s">
        <v>3313</v>
      </c>
      <c r="AT648" t="s">
        <v>12668</v>
      </c>
      <c r="AU648">
        <v>2019</v>
      </c>
      <c r="AV648">
        <v>44</v>
      </c>
      <c r="AW648">
        <v>2</v>
      </c>
      <c r="AX648" t="s">
        <v>74</v>
      </c>
      <c r="AY648" t="s">
        <v>74</v>
      </c>
      <c r="AZ648" t="s">
        <v>74</v>
      </c>
      <c r="BA648" t="s">
        <v>74</v>
      </c>
      <c r="BB648">
        <v>152</v>
      </c>
      <c r="BC648">
        <v>158</v>
      </c>
      <c r="BD648" t="s">
        <v>74</v>
      </c>
      <c r="BE648" t="s">
        <v>12723</v>
      </c>
      <c r="BF648" t="str">
        <f>HYPERLINK("http://dx.doi.org/10.3103/S1068373919020092","http://dx.doi.org/10.3103/S1068373919020092")</f>
        <v>http://dx.doi.org/10.3103/S1068373919020092</v>
      </c>
      <c r="BG648" t="s">
        <v>74</v>
      </c>
      <c r="BH648" t="s">
        <v>74</v>
      </c>
      <c r="BI648">
        <v>7</v>
      </c>
      <c r="BJ648" t="s">
        <v>133</v>
      </c>
      <c r="BK648" t="s">
        <v>102</v>
      </c>
      <c r="BL648" t="s">
        <v>133</v>
      </c>
      <c r="BM648" t="s">
        <v>12710</v>
      </c>
      <c r="BN648" t="s">
        <v>74</v>
      </c>
      <c r="BO648" t="s">
        <v>74</v>
      </c>
      <c r="BP648" t="s">
        <v>74</v>
      </c>
      <c r="BQ648" t="s">
        <v>74</v>
      </c>
      <c r="BR648" t="s">
        <v>107</v>
      </c>
      <c r="BS648" t="s">
        <v>12724</v>
      </c>
      <c r="BT648" t="str">
        <f>HYPERLINK("https%3A%2F%2Fwww.webofscience.com%2Fwos%2Fwoscc%2Ffull-record%2FWOS:000465328000009","View Full Record in Web of Science")</f>
        <v>View Full Record in Web of Science</v>
      </c>
    </row>
    <row r="649" spans="1:72" x14ac:dyDescent="0.15">
      <c r="A649" t="s">
        <v>72</v>
      </c>
      <c r="B649" t="s">
        <v>12725</v>
      </c>
      <c r="C649" t="s">
        <v>74</v>
      </c>
      <c r="D649" t="s">
        <v>74</v>
      </c>
      <c r="E649" t="s">
        <v>74</v>
      </c>
      <c r="F649" t="s">
        <v>12726</v>
      </c>
      <c r="G649" t="s">
        <v>74</v>
      </c>
      <c r="H649" t="s">
        <v>74</v>
      </c>
      <c r="I649" t="s">
        <v>12727</v>
      </c>
      <c r="J649" t="s">
        <v>12728</v>
      </c>
      <c r="K649" t="s">
        <v>74</v>
      </c>
      <c r="L649" t="s">
        <v>74</v>
      </c>
      <c r="M649" t="s">
        <v>78</v>
      </c>
      <c r="N649" t="s">
        <v>79</v>
      </c>
      <c r="O649" t="s">
        <v>74</v>
      </c>
      <c r="P649" t="s">
        <v>74</v>
      </c>
      <c r="Q649" t="s">
        <v>74</v>
      </c>
      <c r="R649" t="s">
        <v>74</v>
      </c>
      <c r="S649" t="s">
        <v>74</v>
      </c>
      <c r="T649" t="s">
        <v>12729</v>
      </c>
      <c r="U649" t="s">
        <v>12730</v>
      </c>
      <c r="V649" t="s">
        <v>12731</v>
      </c>
      <c r="W649" t="s">
        <v>12732</v>
      </c>
      <c r="X649" t="s">
        <v>12733</v>
      </c>
      <c r="Y649" t="s">
        <v>12734</v>
      </c>
      <c r="Z649" t="s">
        <v>12735</v>
      </c>
      <c r="AA649" t="s">
        <v>12736</v>
      </c>
      <c r="AB649" t="s">
        <v>12737</v>
      </c>
      <c r="AC649" t="s">
        <v>12738</v>
      </c>
      <c r="AD649" t="s">
        <v>12739</v>
      </c>
      <c r="AE649" t="s">
        <v>12740</v>
      </c>
      <c r="AF649" t="s">
        <v>74</v>
      </c>
      <c r="AG649">
        <v>79</v>
      </c>
      <c r="AH649">
        <v>6</v>
      </c>
      <c r="AI649">
        <v>6</v>
      </c>
      <c r="AJ649">
        <v>2</v>
      </c>
      <c r="AK649">
        <v>29</v>
      </c>
      <c r="AL649" t="s">
        <v>634</v>
      </c>
      <c r="AM649" t="s">
        <v>635</v>
      </c>
      <c r="AN649" t="s">
        <v>636</v>
      </c>
      <c r="AO649" t="s">
        <v>12741</v>
      </c>
      <c r="AP649" t="s">
        <v>12742</v>
      </c>
      <c r="AQ649" t="s">
        <v>74</v>
      </c>
      <c r="AR649" t="s">
        <v>12743</v>
      </c>
      <c r="AS649" t="s">
        <v>12744</v>
      </c>
      <c r="AT649" t="s">
        <v>12668</v>
      </c>
      <c r="AU649">
        <v>2019</v>
      </c>
      <c r="AV649">
        <v>97</v>
      </c>
      <c r="AW649" t="s">
        <v>74</v>
      </c>
      <c r="AX649" t="s">
        <v>74</v>
      </c>
      <c r="AY649" t="s">
        <v>74</v>
      </c>
      <c r="AZ649" t="s">
        <v>74</v>
      </c>
      <c r="BA649" t="s">
        <v>74</v>
      </c>
      <c r="BB649">
        <v>329</v>
      </c>
      <c r="BC649">
        <v>340</v>
      </c>
      <c r="BD649" t="s">
        <v>74</v>
      </c>
      <c r="BE649" t="s">
        <v>12745</v>
      </c>
      <c r="BF649" t="str">
        <f>HYPERLINK("http://dx.doi.org/10.1016/j.ecolind.2018.10.024","http://dx.doi.org/10.1016/j.ecolind.2018.10.024")</f>
        <v>http://dx.doi.org/10.1016/j.ecolind.2018.10.024</v>
      </c>
      <c r="BG649" t="s">
        <v>74</v>
      </c>
      <c r="BH649" t="s">
        <v>74</v>
      </c>
      <c r="BI649">
        <v>12</v>
      </c>
      <c r="BJ649" t="s">
        <v>12746</v>
      </c>
      <c r="BK649" t="s">
        <v>102</v>
      </c>
      <c r="BL649" t="s">
        <v>5065</v>
      </c>
      <c r="BM649" t="s">
        <v>12747</v>
      </c>
      <c r="BN649" t="s">
        <v>74</v>
      </c>
      <c r="BO649" t="s">
        <v>74</v>
      </c>
      <c r="BP649" t="s">
        <v>74</v>
      </c>
      <c r="BQ649" t="s">
        <v>74</v>
      </c>
      <c r="BR649" t="s">
        <v>107</v>
      </c>
      <c r="BS649" t="s">
        <v>12748</v>
      </c>
      <c r="BT649" t="str">
        <f>HYPERLINK("https%3A%2F%2Fwww.webofscience.com%2Fwos%2Fwoscc%2Ffull-record%2FWOS:000464891000034","View Full Record in Web of Science")</f>
        <v>View Full Record in Web of Science</v>
      </c>
    </row>
    <row r="650" spans="1:72" x14ac:dyDescent="0.15">
      <c r="A650" t="s">
        <v>72</v>
      </c>
      <c r="B650" t="s">
        <v>12749</v>
      </c>
      <c r="C650" t="s">
        <v>74</v>
      </c>
      <c r="D650" t="s">
        <v>74</v>
      </c>
      <c r="E650" t="s">
        <v>74</v>
      </c>
      <c r="F650" t="s">
        <v>12750</v>
      </c>
      <c r="G650" t="s">
        <v>74</v>
      </c>
      <c r="H650" t="s">
        <v>74</v>
      </c>
      <c r="I650" t="s">
        <v>12751</v>
      </c>
      <c r="J650" t="s">
        <v>12752</v>
      </c>
      <c r="K650" t="s">
        <v>74</v>
      </c>
      <c r="L650" t="s">
        <v>74</v>
      </c>
      <c r="M650" t="s">
        <v>78</v>
      </c>
      <c r="N650" t="s">
        <v>79</v>
      </c>
      <c r="O650" t="s">
        <v>74</v>
      </c>
      <c r="P650" t="s">
        <v>74</v>
      </c>
      <c r="Q650" t="s">
        <v>74</v>
      </c>
      <c r="R650" t="s">
        <v>74</v>
      </c>
      <c r="S650" t="s">
        <v>74</v>
      </c>
      <c r="T650" t="s">
        <v>74</v>
      </c>
      <c r="U650" t="s">
        <v>74</v>
      </c>
      <c r="V650" t="s">
        <v>74</v>
      </c>
      <c r="W650" t="s">
        <v>12753</v>
      </c>
      <c r="X650" t="s">
        <v>12754</v>
      </c>
      <c r="Y650" t="s">
        <v>12755</v>
      </c>
      <c r="Z650" t="s">
        <v>12756</v>
      </c>
      <c r="AA650" t="s">
        <v>12757</v>
      </c>
      <c r="AB650" t="s">
        <v>12758</v>
      </c>
      <c r="AC650" t="s">
        <v>12759</v>
      </c>
      <c r="AD650" t="s">
        <v>12760</v>
      </c>
      <c r="AE650" t="s">
        <v>12761</v>
      </c>
      <c r="AF650" t="s">
        <v>74</v>
      </c>
      <c r="AG650">
        <v>0</v>
      </c>
      <c r="AH650">
        <v>5</v>
      </c>
      <c r="AI650">
        <v>5</v>
      </c>
      <c r="AJ650">
        <v>0</v>
      </c>
      <c r="AK650">
        <v>4</v>
      </c>
      <c r="AL650" t="s">
        <v>12762</v>
      </c>
      <c r="AM650" t="s">
        <v>12763</v>
      </c>
      <c r="AN650" t="s">
        <v>12764</v>
      </c>
      <c r="AO650" t="s">
        <v>12765</v>
      </c>
      <c r="AP650" t="s">
        <v>74</v>
      </c>
      <c r="AQ650" t="s">
        <v>74</v>
      </c>
      <c r="AR650" t="s">
        <v>12766</v>
      </c>
      <c r="AS650" t="s">
        <v>12767</v>
      </c>
      <c r="AT650" t="s">
        <v>12668</v>
      </c>
      <c r="AU650">
        <v>2019</v>
      </c>
      <c r="AV650">
        <v>60</v>
      </c>
      <c r="AW650">
        <v>2</v>
      </c>
      <c r="AX650" t="s">
        <v>74</v>
      </c>
      <c r="AY650" t="s">
        <v>74</v>
      </c>
      <c r="AZ650" t="s">
        <v>74</v>
      </c>
      <c r="BA650" t="s">
        <v>74</v>
      </c>
      <c r="BB650">
        <v>20</v>
      </c>
      <c r="BC650">
        <v>23</v>
      </c>
      <c r="BD650" t="s">
        <v>74</v>
      </c>
      <c r="BE650" t="s">
        <v>74</v>
      </c>
      <c r="BF650" t="s">
        <v>74</v>
      </c>
      <c r="BG650" t="s">
        <v>74</v>
      </c>
      <c r="BH650" t="s">
        <v>74</v>
      </c>
      <c r="BI650">
        <v>4</v>
      </c>
      <c r="BJ650" t="s">
        <v>12768</v>
      </c>
      <c r="BK650" t="s">
        <v>102</v>
      </c>
      <c r="BL650" t="s">
        <v>12769</v>
      </c>
      <c r="BM650" t="s">
        <v>12770</v>
      </c>
      <c r="BN650" t="s">
        <v>74</v>
      </c>
      <c r="BO650" t="s">
        <v>74</v>
      </c>
      <c r="BP650" t="s">
        <v>74</v>
      </c>
      <c r="BQ650" t="s">
        <v>74</v>
      </c>
      <c r="BR650" t="s">
        <v>107</v>
      </c>
      <c r="BS650" t="s">
        <v>12771</v>
      </c>
      <c r="BT650" t="str">
        <f>HYPERLINK("https%3A%2F%2Fwww.webofscience.com%2Fwos%2Fwoscc%2Ffull-record%2FWOS:000465192200004","View Full Record in Web of Science")</f>
        <v>View Full Record in Web of Science</v>
      </c>
    </row>
    <row r="651" spans="1:72" x14ac:dyDescent="0.15">
      <c r="A651" t="s">
        <v>72</v>
      </c>
      <c r="B651" t="s">
        <v>12772</v>
      </c>
      <c r="C651" t="s">
        <v>74</v>
      </c>
      <c r="D651" t="s">
        <v>74</v>
      </c>
      <c r="E651" t="s">
        <v>74</v>
      </c>
      <c r="F651" t="s">
        <v>12773</v>
      </c>
      <c r="G651" t="s">
        <v>74</v>
      </c>
      <c r="H651" t="s">
        <v>74</v>
      </c>
      <c r="I651" t="s">
        <v>12774</v>
      </c>
      <c r="J651" t="s">
        <v>1311</v>
      </c>
      <c r="K651" t="s">
        <v>74</v>
      </c>
      <c r="L651" t="s">
        <v>74</v>
      </c>
      <c r="M651" t="s">
        <v>78</v>
      </c>
      <c r="N651" t="s">
        <v>79</v>
      </c>
      <c r="O651" t="s">
        <v>74</v>
      </c>
      <c r="P651" t="s">
        <v>74</v>
      </c>
      <c r="Q651" t="s">
        <v>74</v>
      </c>
      <c r="R651" t="s">
        <v>74</v>
      </c>
      <c r="S651" t="s">
        <v>74</v>
      </c>
      <c r="T651" t="s">
        <v>12775</v>
      </c>
      <c r="U651" t="s">
        <v>12776</v>
      </c>
      <c r="V651" t="s">
        <v>12777</v>
      </c>
      <c r="W651" t="s">
        <v>12778</v>
      </c>
      <c r="X651" t="s">
        <v>933</v>
      </c>
      <c r="Y651" t="s">
        <v>12779</v>
      </c>
      <c r="Z651" t="s">
        <v>11470</v>
      </c>
      <c r="AA651" t="s">
        <v>74</v>
      </c>
      <c r="AB651" t="s">
        <v>74</v>
      </c>
      <c r="AC651" t="s">
        <v>12780</v>
      </c>
      <c r="AD651" t="s">
        <v>12781</v>
      </c>
      <c r="AE651" t="s">
        <v>12782</v>
      </c>
      <c r="AF651" t="s">
        <v>74</v>
      </c>
      <c r="AG651">
        <v>59</v>
      </c>
      <c r="AH651">
        <v>33</v>
      </c>
      <c r="AI651">
        <v>34</v>
      </c>
      <c r="AJ651">
        <v>10</v>
      </c>
      <c r="AK651">
        <v>60</v>
      </c>
      <c r="AL651" t="s">
        <v>1323</v>
      </c>
      <c r="AM651" t="s">
        <v>1324</v>
      </c>
      <c r="AN651" t="s">
        <v>1325</v>
      </c>
      <c r="AO651" t="s">
        <v>1326</v>
      </c>
      <c r="AP651" t="s">
        <v>1327</v>
      </c>
      <c r="AQ651" t="s">
        <v>74</v>
      </c>
      <c r="AR651" t="s">
        <v>1328</v>
      </c>
      <c r="AS651" t="s">
        <v>1329</v>
      </c>
      <c r="AT651" t="s">
        <v>12783</v>
      </c>
      <c r="AU651">
        <v>2019</v>
      </c>
      <c r="AV651">
        <v>610</v>
      </c>
      <c r="AW651" t="s">
        <v>74</v>
      </c>
      <c r="AX651" t="s">
        <v>74</v>
      </c>
      <c r="AY651" t="s">
        <v>74</v>
      </c>
      <c r="AZ651" t="s">
        <v>74</v>
      </c>
      <c r="BA651" t="s">
        <v>74</v>
      </c>
      <c r="BB651">
        <v>149</v>
      </c>
      <c r="BC651">
        <v>162</v>
      </c>
      <c r="BD651" t="s">
        <v>74</v>
      </c>
      <c r="BE651" t="s">
        <v>12784</v>
      </c>
      <c r="BF651" t="str">
        <f>HYPERLINK("http://dx.doi.org/10.3354/meps12861","http://dx.doi.org/10.3354/meps12861")</f>
        <v>http://dx.doi.org/10.3354/meps12861</v>
      </c>
      <c r="BG651" t="s">
        <v>74</v>
      </c>
      <c r="BH651" t="s">
        <v>74</v>
      </c>
      <c r="BI651">
        <v>14</v>
      </c>
      <c r="BJ651" t="s">
        <v>1332</v>
      </c>
      <c r="BK651" t="s">
        <v>102</v>
      </c>
      <c r="BL651" t="s">
        <v>1333</v>
      </c>
      <c r="BM651" t="s">
        <v>12785</v>
      </c>
      <c r="BN651" t="s">
        <v>74</v>
      </c>
      <c r="BO651" t="s">
        <v>1014</v>
      </c>
      <c r="BP651" t="s">
        <v>74</v>
      </c>
      <c r="BQ651" t="s">
        <v>74</v>
      </c>
      <c r="BR651" t="s">
        <v>107</v>
      </c>
      <c r="BS651" t="s">
        <v>12786</v>
      </c>
      <c r="BT651" t="str">
        <f>HYPERLINK("https%3A%2F%2Fwww.webofscience.com%2Fwos%2Fwoscc%2Ffull-record%2FWOS:000464515700011","View Full Record in Web of Science")</f>
        <v>View Full Record in Web of Science</v>
      </c>
    </row>
    <row r="652" spans="1:72" x14ac:dyDescent="0.15">
      <c r="A652" t="s">
        <v>72</v>
      </c>
      <c r="B652" t="s">
        <v>12787</v>
      </c>
      <c r="C652" t="s">
        <v>74</v>
      </c>
      <c r="D652" t="s">
        <v>74</v>
      </c>
      <c r="E652" t="s">
        <v>74</v>
      </c>
      <c r="F652" t="s">
        <v>12788</v>
      </c>
      <c r="G652" t="s">
        <v>74</v>
      </c>
      <c r="H652" t="s">
        <v>74</v>
      </c>
      <c r="I652" t="s">
        <v>12789</v>
      </c>
      <c r="J652" t="s">
        <v>12790</v>
      </c>
      <c r="K652" t="s">
        <v>74</v>
      </c>
      <c r="L652" t="s">
        <v>74</v>
      </c>
      <c r="M652" t="s">
        <v>78</v>
      </c>
      <c r="N652" t="s">
        <v>79</v>
      </c>
      <c r="O652" t="s">
        <v>74</v>
      </c>
      <c r="P652" t="s">
        <v>74</v>
      </c>
      <c r="Q652" t="s">
        <v>74</v>
      </c>
      <c r="R652" t="s">
        <v>74</v>
      </c>
      <c r="S652" t="s">
        <v>74</v>
      </c>
      <c r="T652" t="s">
        <v>12791</v>
      </c>
      <c r="U652" t="s">
        <v>12792</v>
      </c>
      <c r="V652" t="s">
        <v>12793</v>
      </c>
      <c r="W652" t="s">
        <v>12794</v>
      </c>
      <c r="X652" t="s">
        <v>12795</v>
      </c>
      <c r="Y652" t="s">
        <v>12796</v>
      </c>
      <c r="Z652" t="s">
        <v>12797</v>
      </c>
      <c r="AA652" t="s">
        <v>12798</v>
      </c>
      <c r="AB652" t="s">
        <v>12799</v>
      </c>
      <c r="AC652" t="s">
        <v>12800</v>
      </c>
      <c r="AD652" t="s">
        <v>7557</v>
      </c>
      <c r="AE652" t="s">
        <v>12801</v>
      </c>
      <c r="AF652" t="s">
        <v>74</v>
      </c>
      <c r="AG652">
        <v>81</v>
      </c>
      <c r="AH652">
        <v>4</v>
      </c>
      <c r="AI652">
        <v>4</v>
      </c>
      <c r="AJ652">
        <v>1</v>
      </c>
      <c r="AK652">
        <v>16</v>
      </c>
      <c r="AL652" t="s">
        <v>240</v>
      </c>
      <c r="AM652" t="s">
        <v>241</v>
      </c>
      <c r="AN652" t="s">
        <v>5009</v>
      </c>
      <c r="AO652" t="s">
        <v>12802</v>
      </c>
      <c r="AP652" t="s">
        <v>12803</v>
      </c>
      <c r="AQ652" t="s">
        <v>74</v>
      </c>
      <c r="AR652" t="s">
        <v>12804</v>
      </c>
      <c r="AS652" t="s">
        <v>12805</v>
      </c>
      <c r="AT652" t="s">
        <v>12668</v>
      </c>
      <c r="AU652">
        <v>2019</v>
      </c>
      <c r="AV652">
        <v>76</v>
      </c>
      <c r="AW652" t="s">
        <v>74</v>
      </c>
      <c r="AX652" t="s">
        <v>74</v>
      </c>
      <c r="AY652" t="s">
        <v>74</v>
      </c>
      <c r="AZ652" t="s">
        <v>74</v>
      </c>
      <c r="BA652" t="s">
        <v>74</v>
      </c>
      <c r="BB652">
        <v>12</v>
      </c>
      <c r="BC652">
        <v>25</v>
      </c>
      <c r="BD652" t="s">
        <v>74</v>
      </c>
      <c r="BE652" t="s">
        <v>12806</v>
      </c>
      <c r="BF652" t="str">
        <f>HYPERLINK("http://dx.doi.org/10.1016/j.jes.2018.03.002","http://dx.doi.org/10.1016/j.jes.2018.03.002")</f>
        <v>http://dx.doi.org/10.1016/j.jes.2018.03.002</v>
      </c>
      <c r="BG652" t="s">
        <v>74</v>
      </c>
      <c r="BH652" t="s">
        <v>74</v>
      </c>
      <c r="BI652">
        <v>14</v>
      </c>
      <c r="BJ652" t="s">
        <v>2296</v>
      </c>
      <c r="BK652" t="s">
        <v>102</v>
      </c>
      <c r="BL652" t="s">
        <v>2297</v>
      </c>
      <c r="BM652" t="s">
        <v>12807</v>
      </c>
      <c r="BN652">
        <v>30528003</v>
      </c>
      <c r="BO652" t="s">
        <v>198</v>
      </c>
      <c r="BP652" t="s">
        <v>74</v>
      </c>
      <c r="BQ652" t="s">
        <v>74</v>
      </c>
      <c r="BR652" t="s">
        <v>107</v>
      </c>
      <c r="BS652" t="s">
        <v>12808</v>
      </c>
      <c r="BT652" t="str">
        <f>HYPERLINK("https%3A%2F%2Fwww.webofscience.com%2Fwos%2Fwoscc%2Ffull-record%2FWOS:000463373300002","View Full Record in Web of Science")</f>
        <v>View Full Record in Web of Science</v>
      </c>
    </row>
    <row r="653" spans="1:72" x14ac:dyDescent="0.15">
      <c r="A653" t="s">
        <v>72</v>
      </c>
      <c r="B653" t="s">
        <v>12809</v>
      </c>
      <c r="C653" t="s">
        <v>74</v>
      </c>
      <c r="D653" t="s">
        <v>74</v>
      </c>
      <c r="E653" t="s">
        <v>74</v>
      </c>
      <c r="F653" t="s">
        <v>12810</v>
      </c>
      <c r="G653" t="s">
        <v>74</v>
      </c>
      <c r="H653" t="s">
        <v>74</v>
      </c>
      <c r="I653" t="s">
        <v>12811</v>
      </c>
      <c r="J653" t="s">
        <v>12812</v>
      </c>
      <c r="K653" t="s">
        <v>74</v>
      </c>
      <c r="L653" t="s">
        <v>74</v>
      </c>
      <c r="M653" t="s">
        <v>78</v>
      </c>
      <c r="N653" t="s">
        <v>79</v>
      </c>
      <c r="O653" t="s">
        <v>74</v>
      </c>
      <c r="P653" t="s">
        <v>74</v>
      </c>
      <c r="Q653" t="s">
        <v>74</v>
      </c>
      <c r="R653" t="s">
        <v>74</v>
      </c>
      <c r="S653" t="s">
        <v>74</v>
      </c>
      <c r="T653" t="s">
        <v>12813</v>
      </c>
      <c r="U653" t="s">
        <v>12814</v>
      </c>
      <c r="V653" t="s">
        <v>12815</v>
      </c>
      <c r="W653" t="s">
        <v>12816</v>
      </c>
      <c r="X653" t="s">
        <v>12817</v>
      </c>
      <c r="Y653" t="s">
        <v>12818</v>
      </c>
      <c r="Z653" t="s">
        <v>12819</v>
      </c>
      <c r="AA653" t="s">
        <v>12820</v>
      </c>
      <c r="AB653" t="s">
        <v>12821</v>
      </c>
      <c r="AC653" t="s">
        <v>12822</v>
      </c>
      <c r="AD653" t="s">
        <v>12823</v>
      </c>
      <c r="AE653" t="s">
        <v>12824</v>
      </c>
      <c r="AF653" t="s">
        <v>74</v>
      </c>
      <c r="AG653">
        <v>18</v>
      </c>
      <c r="AH653">
        <v>26</v>
      </c>
      <c r="AI653">
        <v>30</v>
      </c>
      <c r="AJ653">
        <v>9</v>
      </c>
      <c r="AK653">
        <v>48</v>
      </c>
      <c r="AL653" t="s">
        <v>2055</v>
      </c>
      <c r="AM653" t="s">
        <v>2056</v>
      </c>
      <c r="AN653" t="s">
        <v>2057</v>
      </c>
      <c r="AO653" t="s">
        <v>12825</v>
      </c>
      <c r="AP653" t="s">
        <v>12826</v>
      </c>
      <c r="AQ653" t="s">
        <v>74</v>
      </c>
      <c r="AR653" t="s">
        <v>12827</v>
      </c>
      <c r="AS653" t="s">
        <v>12828</v>
      </c>
      <c r="AT653" t="s">
        <v>12783</v>
      </c>
      <c r="AU653">
        <v>2019</v>
      </c>
      <c r="AV653">
        <v>33</v>
      </c>
      <c r="AW653">
        <v>3</v>
      </c>
      <c r="AX653" t="s">
        <v>74</v>
      </c>
      <c r="AY653" t="s">
        <v>74</v>
      </c>
      <c r="AZ653" t="s">
        <v>74</v>
      </c>
      <c r="BA653" t="s">
        <v>74</v>
      </c>
      <c r="BB653">
        <v>414</v>
      </c>
      <c r="BC653">
        <v>419</v>
      </c>
      <c r="BD653" t="s">
        <v>74</v>
      </c>
      <c r="BE653" t="s">
        <v>12829</v>
      </c>
      <c r="BF653" t="str">
        <f>HYPERLINK("http://dx.doi.org/10.1080/14786419.2018.1455045","http://dx.doi.org/10.1080/14786419.2018.1455045")</f>
        <v>http://dx.doi.org/10.1080/14786419.2018.1455045</v>
      </c>
      <c r="BG653" t="s">
        <v>74</v>
      </c>
      <c r="BH653" t="s">
        <v>74</v>
      </c>
      <c r="BI653">
        <v>6</v>
      </c>
      <c r="BJ653" t="s">
        <v>12830</v>
      </c>
      <c r="BK653" t="s">
        <v>102</v>
      </c>
      <c r="BL653" t="s">
        <v>12831</v>
      </c>
      <c r="BM653" t="s">
        <v>12832</v>
      </c>
      <c r="BN653">
        <v>29600717</v>
      </c>
      <c r="BO653" t="s">
        <v>74</v>
      </c>
      <c r="BP653" t="s">
        <v>74</v>
      </c>
      <c r="BQ653" t="s">
        <v>74</v>
      </c>
      <c r="BR653" t="s">
        <v>107</v>
      </c>
      <c r="BS653" t="s">
        <v>12833</v>
      </c>
      <c r="BT653" t="str">
        <f>HYPERLINK("https%3A%2F%2Fwww.webofscience.com%2Fwos%2Fwoscc%2Ffull-record%2FWOS:000463818400018","View Full Record in Web of Science")</f>
        <v>View Full Record in Web of Science</v>
      </c>
    </row>
    <row r="654" spans="1:72" x14ac:dyDescent="0.15">
      <c r="A654" t="s">
        <v>72</v>
      </c>
      <c r="B654" t="s">
        <v>12834</v>
      </c>
      <c r="C654" t="s">
        <v>74</v>
      </c>
      <c r="D654" t="s">
        <v>74</v>
      </c>
      <c r="E654" t="s">
        <v>74</v>
      </c>
      <c r="F654" t="s">
        <v>12835</v>
      </c>
      <c r="G654" t="s">
        <v>74</v>
      </c>
      <c r="H654" t="s">
        <v>74</v>
      </c>
      <c r="I654" t="s">
        <v>12836</v>
      </c>
      <c r="J654" t="s">
        <v>12837</v>
      </c>
      <c r="K654" t="s">
        <v>74</v>
      </c>
      <c r="L654" t="s">
        <v>74</v>
      </c>
      <c r="M654" t="s">
        <v>78</v>
      </c>
      <c r="N654" t="s">
        <v>79</v>
      </c>
      <c r="O654" t="s">
        <v>74</v>
      </c>
      <c r="P654" t="s">
        <v>74</v>
      </c>
      <c r="Q654" t="s">
        <v>74</v>
      </c>
      <c r="R654" t="s">
        <v>74</v>
      </c>
      <c r="S654" t="s">
        <v>74</v>
      </c>
      <c r="T654" t="s">
        <v>12838</v>
      </c>
      <c r="U654" t="s">
        <v>12839</v>
      </c>
      <c r="V654" t="s">
        <v>12840</v>
      </c>
      <c r="W654" t="s">
        <v>12841</v>
      </c>
      <c r="X654" t="s">
        <v>12842</v>
      </c>
      <c r="Y654" t="s">
        <v>12843</v>
      </c>
      <c r="Z654" t="s">
        <v>12844</v>
      </c>
      <c r="AA654" t="s">
        <v>12845</v>
      </c>
      <c r="AB654" t="s">
        <v>12846</v>
      </c>
      <c r="AC654" t="s">
        <v>12847</v>
      </c>
      <c r="AD654" t="s">
        <v>12848</v>
      </c>
      <c r="AE654" t="s">
        <v>12849</v>
      </c>
      <c r="AF654" t="s">
        <v>74</v>
      </c>
      <c r="AG654">
        <v>49</v>
      </c>
      <c r="AH654">
        <v>16</v>
      </c>
      <c r="AI654">
        <v>17</v>
      </c>
      <c r="AJ654">
        <v>3</v>
      </c>
      <c r="AK654">
        <v>34</v>
      </c>
      <c r="AL654" t="s">
        <v>378</v>
      </c>
      <c r="AM654" t="s">
        <v>93</v>
      </c>
      <c r="AN654" t="s">
        <v>379</v>
      </c>
      <c r="AO654" t="s">
        <v>12850</v>
      </c>
      <c r="AP654" t="s">
        <v>12851</v>
      </c>
      <c r="AQ654" t="s">
        <v>74</v>
      </c>
      <c r="AR654" t="s">
        <v>12852</v>
      </c>
      <c r="AS654" t="s">
        <v>12853</v>
      </c>
      <c r="AT654" t="s">
        <v>12854</v>
      </c>
      <c r="AU654">
        <v>2019</v>
      </c>
      <c r="AV654">
        <v>113</v>
      </c>
      <c r="AW654" t="s">
        <v>74</v>
      </c>
      <c r="AX654" t="s">
        <v>74</v>
      </c>
      <c r="AY654" t="s">
        <v>74</v>
      </c>
      <c r="AZ654" t="s">
        <v>74</v>
      </c>
      <c r="BA654" t="s">
        <v>74</v>
      </c>
      <c r="BB654">
        <v>9</v>
      </c>
      <c r="BC654">
        <v>16</v>
      </c>
      <c r="BD654" t="s">
        <v>74</v>
      </c>
      <c r="BE654" t="s">
        <v>12855</v>
      </c>
      <c r="BF654" t="str">
        <f>HYPERLINK("http://dx.doi.org/10.1016/j.jinsphys.2018.12.007","http://dx.doi.org/10.1016/j.jinsphys.2018.12.007")</f>
        <v>http://dx.doi.org/10.1016/j.jinsphys.2018.12.007</v>
      </c>
      <c r="BG654" t="s">
        <v>74</v>
      </c>
      <c r="BH654" t="s">
        <v>74</v>
      </c>
      <c r="BI654">
        <v>8</v>
      </c>
      <c r="BJ654" t="s">
        <v>12856</v>
      </c>
      <c r="BK654" t="s">
        <v>102</v>
      </c>
      <c r="BL654" t="s">
        <v>12856</v>
      </c>
      <c r="BM654" t="s">
        <v>12857</v>
      </c>
      <c r="BN654">
        <v>30582905</v>
      </c>
      <c r="BO654" t="s">
        <v>403</v>
      </c>
      <c r="BP654" t="s">
        <v>74</v>
      </c>
      <c r="BQ654" t="s">
        <v>74</v>
      </c>
      <c r="BR654" t="s">
        <v>107</v>
      </c>
      <c r="BS654" t="s">
        <v>12858</v>
      </c>
      <c r="BT654" t="str">
        <f>HYPERLINK("https%3A%2F%2Fwww.webofscience.com%2Fwos%2Fwoscc%2Ffull-record%2FWOS:000463121900002","View Full Record in Web of Science")</f>
        <v>View Full Record in Web of Science</v>
      </c>
    </row>
    <row r="655" spans="1:72" x14ac:dyDescent="0.15">
      <c r="A655" t="s">
        <v>72</v>
      </c>
      <c r="B655" t="s">
        <v>12859</v>
      </c>
      <c r="C655" t="s">
        <v>74</v>
      </c>
      <c r="D655" t="s">
        <v>74</v>
      </c>
      <c r="E655" t="s">
        <v>74</v>
      </c>
      <c r="F655" t="s">
        <v>12860</v>
      </c>
      <c r="G655" t="s">
        <v>74</v>
      </c>
      <c r="H655" t="s">
        <v>74</v>
      </c>
      <c r="I655" t="s">
        <v>12861</v>
      </c>
      <c r="J655" t="s">
        <v>7437</v>
      </c>
      <c r="K655" t="s">
        <v>74</v>
      </c>
      <c r="L655" t="s">
        <v>74</v>
      </c>
      <c r="M655" t="s">
        <v>78</v>
      </c>
      <c r="N655" t="s">
        <v>79</v>
      </c>
      <c r="O655" t="s">
        <v>74</v>
      </c>
      <c r="P655" t="s">
        <v>74</v>
      </c>
      <c r="Q655" t="s">
        <v>74</v>
      </c>
      <c r="R655" t="s">
        <v>74</v>
      </c>
      <c r="S655" t="s">
        <v>74</v>
      </c>
      <c r="T655" t="s">
        <v>12862</v>
      </c>
      <c r="U655" t="s">
        <v>12863</v>
      </c>
      <c r="V655" t="s">
        <v>12864</v>
      </c>
      <c r="W655" t="s">
        <v>12865</v>
      </c>
      <c r="X655" t="s">
        <v>12866</v>
      </c>
      <c r="Y655" t="s">
        <v>12867</v>
      </c>
      <c r="Z655" t="s">
        <v>12868</v>
      </c>
      <c r="AA655" t="s">
        <v>12869</v>
      </c>
      <c r="AB655" t="s">
        <v>12870</v>
      </c>
      <c r="AC655" t="s">
        <v>12871</v>
      </c>
      <c r="AD655" t="s">
        <v>12872</v>
      </c>
      <c r="AE655" t="s">
        <v>12873</v>
      </c>
      <c r="AF655" t="s">
        <v>74</v>
      </c>
      <c r="AG655">
        <v>112</v>
      </c>
      <c r="AH655">
        <v>7</v>
      </c>
      <c r="AI655">
        <v>7</v>
      </c>
      <c r="AJ655">
        <v>1</v>
      </c>
      <c r="AK655">
        <v>5</v>
      </c>
      <c r="AL655" t="s">
        <v>2011</v>
      </c>
      <c r="AM655" t="s">
        <v>2012</v>
      </c>
      <c r="AN655" t="s">
        <v>2013</v>
      </c>
      <c r="AO655" t="s">
        <v>7450</v>
      </c>
      <c r="AP655" t="s">
        <v>74</v>
      </c>
      <c r="AQ655" t="s">
        <v>74</v>
      </c>
      <c r="AR655" t="s">
        <v>7451</v>
      </c>
      <c r="AS655" t="s">
        <v>7452</v>
      </c>
      <c r="AT655" t="s">
        <v>12783</v>
      </c>
      <c r="AU655">
        <v>2019</v>
      </c>
      <c r="AV655">
        <v>20</v>
      </c>
      <c r="AW655">
        <v>3</v>
      </c>
      <c r="AX655" t="s">
        <v>74</v>
      </c>
      <c r="AY655" t="s">
        <v>74</v>
      </c>
      <c r="AZ655" t="s">
        <v>74</v>
      </c>
      <c r="BA655" t="s">
        <v>74</v>
      </c>
      <c r="BB655" t="s">
        <v>74</v>
      </c>
      <c r="BC655" t="s">
        <v>74</v>
      </c>
      <c r="BD655">
        <v>701</v>
      </c>
      <c r="BE655" t="s">
        <v>12874</v>
      </c>
      <c r="BF655" t="str">
        <f>HYPERLINK("http://dx.doi.org/10.3390/ijms20030701","http://dx.doi.org/10.3390/ijms20030701")</f>
        <v>http://dx.doi.org/10.3390/ijms20030701</v>
      </c>
      <c r="BG655" t="s">
        <v>74</v>
      </c>
      <c r="BH655" t="s">
        <v>74</v>
      </c>
      <c r="BI655">
        <v>19</v>
      </c>
      <c r="BJ655" t="s">
        <v>2017</v>
      </c>
      <c r="BK655" t="s">
        <v>102</v>
      </c>
      <c r="BL655" t="s">
        <v>2018</v>
      </c>
      <c r="BM655" t="s">
        <v>12875</v>
      </c>
      <c r="BN655">
        <v>30736325</v>
      </c>
      <c r="BO655" t="s">
        <v>2020</v>
      </c>
      <c r="BP655" t="s">
        <v>74</v>
      </c>
      <c r="BQ655" t="s">
        <v>74</v>
      </c>
      <c r="BR655" t="s">
        <v>107</v>
      </c>
      <c r="BS655" t="s">
        <v>12876</v>
      </c>
      <c r="BT655" t="str">
        <f>HYPERLINK("https%3A%2F%2Fwww.webofscience.com%2Fwos%2Fwoscc%2Ffull-record%2FWOS:000462412500245","View Full Record in Web of Science")</f>
        <v>View Full Record in Web of Science</v>
      </c>
    </row>
    <row r="656" spans="1:72" x14ac:dyDescent="0.15">
      <c r="A656" t="s">
        <v>72</v>
      </c>
      <c r="B656" t="s">
        <v>12877</v>
      </c>
      <c r="C656" t="s">
        <v>74</v>
      </c>
      <c r="D656" t="s">
        <v>74</v>
      </c>
      <c r="E656" t="s">
        <v>74</v>
      </c>
      <c r="F656" t="s">
        <v>12878</v>
      </c>
      <c r="G656" t="s">
        <v>74</v>
      </c>
      <c r="H656" t="s">
        <v>74</v>
      </c>
      <c r="I656" t="s">
        <v>12879</v>
      </c>
      <c r="J656" t="s">
        <v>7437</v>
      </c>
      <c r="K656" t="s">
        <v>74</v>
      </c>
      <c r="L656" t="s">
        <v>74</v>
      </c>
      <c r="M656" t="s">
        <v>78</v>
      </c>
      <c r="N656" t="s">
        <v>469</v>
      </c>
      <c r="O656" t="s">
        <v>74</v>
      </c>
      <c r="P656" t="s">
        <v>74</v>
      </c>
      <c r="Q656" t="s">
        <v>74</v>
      </c>
      <c r="R656" t="s">
        <v>74</v>
      </c>
      <c r="S656" t="s">
        <v>74</v>
      </c>
      <c r="T656" t="s">
        <v>12880</v>
      </c>
      <c r="U656" t="s">
        <v>12881</v>
      </c>
      <c r="V656" t="s">
        <v>12882</v>
      </c>
      <c r="W656" t="s">
        <v>12883</v>
      </c>
      <c r="X656" t="s">
        <v>12884</v>
      </c>
      <c r="Y656" t="s">
        <v>12885</v>
      </c>
      <c r="Z656" t="s">
        <v>12886</v>
      </c>
      <c r="AA656" t="s">
        <v>74</v>
      </c>
      <c r="AB656" t="s">
        <v>12887</v>
      </c>
      <c r="AC656" t="s">
        <v>12888</v>
      </c>
      <c r="AD656" t="s">
        <v>12889</v>
      </c>
      <c r="AE656" t="s">
        <v>12890</v>
      </c>
      <c r="AF656" t="s">
        <v>74</v>
      </c>
      <c r="AG656">
        <v>92</v>
      </c>
      <c r="AH656">
        <v>93</v>
      </c>
      <c r="AI656">
        <v>98</v>
      </c>
      <c r="AJ656">
        <v>10</v>
      </c>
      <c r="AK656">
        <v>82</v>
      </c>
      <c r="AL656" t="s">
        <v>2011</v>
      </c>
      <c r="AM656" t="s">
        <v>2012</v>
      </c>
      <c r="AN656" t="s">
        <v>2013</v>
      </c>
      <c r="AO656" t="s">
        <v>7450</v>
      </c>
      <c r="AP656" t="s">
        <v>74</v>
      </c>
      <c r="AQ656" t="s">
        <v>74</v>
      </c>
      <c r="AR656" t="s">
        <v>7451</v>
      </c>
      <c r="AS656" t="s">
        <v>7452</v>
      </c>
      <c r="AT656" t="s">
        <v>12783</v>
      </c>
      <c r="AU656">
        <v>2019</v>
      </c>
      <c r="AV656">
        <v>20</v>
      </c>
      <c r="AW656">
        <v>3</v>
      </c>
      <c r="AX656" t="s">
        <v>74</v>
      </c>
      <c r="AY656" t="s">
        <v>74</v>
      </c>
      <c r="AZ656" t="s">
        <v>74</v>
      </c>
      <c r="BA656" t="s">
        <v>74</v>
      </c>
      <c r="BB656" t="s">
        <v>74</v>
      </c>
      <c r="BC656" t="s">
        <v>74</v>
      </c>
      <c r="BD656">
        <v>463</v>
      </c>
      <c r="BE656" t="s">
        <v>12891</v>
      </c>
      <c r="BF656" t="str">
        <f>HYPERLINK("http://dx.doi.org/10.3390/ijms20030463","http://dx.doi.org/10.3390/ijms20030463")</f>
        <v>http://dx.doi.org/10.3390/ijms20030463</v>
      </c>
      <c r="BG656" t="s">
        <v>74</v>
      </c>
      <c r="BH656" t="s">
        <v>74</v>
      </c>
      <c r="BI656">
        <v>22</v>
      </c>
      <c r="BJ656" t="s">
        <v>2017</v>
      </c>
      <c r="BK656" t="s">
        <v>102</v>
      </c>
      <c r="BL656" t="s">
        <v>2018</v>
      </c>
      <c r="BM656" t="s">
        <v>12875</v>
      </c>
      <c r="BN656">
        <v>30678216</v>
      </c>
      <c r="BO656" t="s">
        <v>6155</v>
      </c>
      <c r="BP656" t="s">
        <v>74</v>
      </c>
      <c r="BQ656" t="s">
        <v>74</v>
      </c>
      <c r="BR656" t="s">
        <v>107</v>
      </c>
      <c r="BS656" t="s">
        <v>12892</v>
      </c>
      <c r="BT656" t="str">
        <f>HYPERLINK("https%3A%2F%2Fwww.webofscience.com%2Fwos%2Fwoscc%2Ffull-record%2FWOS:000462412500007","View Full Record in Web of Science")</f>
        <v>View Full Record in Web of Science</v>
      </c>
    </row>
    <row r="657" spans="1:72" x14ac:dyDescent="0.15">
      <c r="A657" t="s">
        <v>72</v>
      </c>
      <c r="B657" t="s">
        <v>12893</v>
      </c>
      <c r="C657" t="s">
        <v>74</v>
      </c>
      <c r="D657" t="s">
        <v>74</v>
      </c>
      <c r="E657" t="s">
        <v>74</v>
      </c>
      <c r="F657" t="s">
        <v>12894</v>
      </c>
      <c r="G657" t="s">
        <v>74</v>
      </c>
      <c r="H657" t="s">
        <v>74</v>
      </c>
      <c r="I657" t="s">
        <v>12895</v>
      </c>
      <c r="J657" t="s">
        <v>4870</v>
      </c>
      <c r="K657" t="s">
        <v>74</v>
      </c>
      <c r="L657" t="s">
        <v>74</v>
      </c>
      <c r="M657" t="s">
        <v>78</v>
      </c>
      <c r="N657" t="s">
        <v>79</v>
      </c>
      <c r="O657" t="s">
        <v>74</v>
      </c>
      <c r="P657" t="s">
        <v>74</v>
      </c>
      <c r="Q657" t="s">
        <v>74</v>
      </c>
      <c r="R657" t="s">
        <v>74</v>
      </c>
      <c r="S657" t="s">
        <v>74</v>
      </c>
      <c r="T657" t="s">
        <v>12896</v>
      </c>
      <c r="U657" t="s">
        <v>12897</v>
      </c>
      <c r="V657" t="s">
        <v>12898</v>
      </c>
      <c r="W657" t="s">
        <v>12899</v>
      </c>
      <c r="X657" t="s">
        <v>12900</v>
      </c>
      <c r="Y657" t="s">
        <v>12901</v>
      </c>
      <c r="Z657" t="s">
        <v>12902</v>
      </c>
      <c r="AA657" t="s">
        <v>12903</v>
      </c>
      <c r="AB657" t="s">
        <v>12904</v>
      </c>
      <c r="AC657" t="s">
        <v>12905</v>
      </c>
      <c r="AD657" t="s">
        <v>12906</v>
      </c>
      <c r="AE657" t="s">
        <v>12907</v>
      </c>
      <c r="AF657" t="s">
        <v>74</v>
      </c>
      <c r="AG657">
        <v>40</v>
      </c>
      <c r="AH657">
        <v>17</v>
      </c>
      <c r="AI657">
        <v>18</v>
      </c>
      <c r="AJ657">
        <v>1</v>
      </c>
      <c r="AK657">
        <v>4</v>
      </c>
      <c r="AL657" t="s">
        <v>92</v>
      </c>
      <c r="AM657" t="s">
        <v>93</v>
      </c>
      <c r="AN657" t="s">
        <v>94</v>
      </c>
      <c r="AO657" t="s">
        <v>4883</v>
      </c>
      <c r="AP657" t="s">
        <v>4884</v>
      </c>
      <c r="AQ657" t="s">
        <v>74</v>
      </c>
      <c r="AR657" t="s">
        <v>4885</v>
      </c>
      <c r="AS657" t="s">
        <v>4886</v>
      </c>
      <c r="AT657" t="s">
        <v>12668</v>
      </c>
      <c r="AU657">
        <v>2019</v>
      </c>
      <c r="AV657">
        <v>482</v>
      </c>
      <c r="AW657">
        <v>4</v>
      </c>
      <c r="AX657" t="s">
        <v>74</v>
      </c>
      <c r="AY657" t="s">
        <v>74</v>
      </c>
      <c r="AZ657" t="s">
        <v>74</v>
      </c>
      <c r="BA657" t="s">
        <v>74</v>
      </c>
      <c r="BB657">
        <v>4941</v>
      </c>
      <c r="BC657">
        <v>4950</v>
      </c>
      <c r="BD657" t="s">
        <v>74</v>
      </c>
      <c r="BE657" t="s">
        <v>12908</v>
      </c>
      <c r="BF657" t="str">
        <f>HYPERLINK("http://dx.doi.org/10.1093/mnras/sty2982","http://dx.doi.org/10.1093/mnras/sty2982")</f>
        <v>http://dx.doi.org/10.1093/mnras/sty2982</v>
      </c>
      <c r="BG657" t="s">
        <v>74</v>
      </c>
      <c r="BH657" t="s">
        <v>74</v>
      </c>
      <c r="BI657">
        <v>10</v>
      </c>
      <c r="BJ657" t="s">
        <v>2579</v>
      </c>
      <c r="BK657" t="s">
        <v>102</v>
      </c>
      <c r="BL657" t="s">
        <v>2579</v>
      </c>
      <c r="BM657" t="s">
        <v>12909</v>
      </c>
      <c r="BN657" t="s">
        <v>74</v>
      </c>
      <c r="BO657" t="s">
        <v>74</v>
      </c>
      <c r="BP657" t="s">
        <v>74</v>
      </c>
      <c r="BQ657" t="s">
        <v>74</v>
      </c>
      <c r="BR657" t="s">
        <v>107</v>
      </c>
      <c r="BS657" t="s">
        <v>12910</v>
      </c>
      <c r="BT657" t="str">
        <f>HYPERLINK("https%3A%2F%2Fwww.webofscience.com%2Fwos%2Fwoscc%2Ffull-record%2FWOS:000462327300046","View Full Record in Web of Science")</f>
        <v>View Full Record in Web of Science</v>
      </c>
    </row>
    <row r="658" spans="1:72" x14ac:dyDescent="0.15">
      <c r="A658" t="s">
        <v>72</v>
      </c>
      <c r="B658" t="s">
        <v>12911</v>
      </c>
      <c r="C658" t="s">
        <v>74</v>
      </c>
      <c r="D658" t="s">
        <v>74</v>
      </c>
      <c r="E658" t="s">
        <v>74</v>
      </c>
      <c r="F658" t="s">
        <v>12912</v>
      </c>
      <c r="G658" t="s">
        <v>74</v>
      </c>
      <c r="H658" t="s">
        <v>74</v>
      </c>
      <c r="I658" t="s">
        <v>12913</v>
      </c>
      <c r="J658" t="s">
        <v>2676</v>
      </c>
      <c r="K658" t="s">
        <v>74</v>
      </c>
      <c r="L658" t="s">
        <v>74</v>
      </c>
      <c r="M658" t="s">
        <v>78</v>
      </c>
      <c r="N658" t="s">
        <v>79</v>
      </c>
      <c r="O658" t="s">
        <v>74</v>
      </c>
      <c r="P658" t="s">
        <v>74</v>
      </c>
      <c r="Q658" t="s">
        <v>74</v>
      </c>
      <c r="R658" t="s">
        <v>74</v>
      </c>
      <c r="S658" t="s">
        <v>74</v>
      </c>
      <c r="T658" t="s">
        <v>12914</v>
      </c>
      <c r="U658" t="s">
        <v>12915</v>
      </c>
      <c r="V658" t="s">
        <v>12916</v>
      </c>
      <c r="W658" t="s">
        <v>12917</v>
      </c>
      <c r="X658" t="s">
        <v>12918</v>
      </c>
      <c r="Y658" t="s">
        <v>12919</v>
      </c>
      <c r="Z658" t="s">
        <v>12920</v>
      </c>
      <c r="AA658" t="s">
        <v>12921</v>
      </c>
      <c r="AB658" t="s">
        <v>12922</v>
      </c>
      <c r="AC658" t="s">
        <v>12923</v>
      </c>
      <c r="AD658" t="s">
        <v>12924</v>
      </c>
      <c r="AE658" t="s">
        <v>12925</v>
      </c>
      <c r="AF658" t="s">
        <v>74</v>
      </c>
      <c r="AG658">
        <v>77</v>
      </c>
      <c r="AH658">
        <v>23</v>
      </c>
      <c r="AI658">
        <v>23</v>
      </c>
      <c r="AJ658">
        <v>1</v>
      </c>
      <c r="AK658">
        <v>18</v>
      </c>
      <c r="AL658" t="s">
        <v>125</v>
      </c>
      <c r="AM658" t="s">
        <v>126</v>
      </c>
      <c r="AN658" t="s">
        <v>127</v>
      </c>
      <c r="AO658" t="s">
        <v>74</v>
      </c>
      <c r="AP658" t="s">
        <v>2688</v>
      </c>
      <c r="AQ658" t="s">
        <v>74</v>
      </c>
      <c r="AR658" t="s">
        <v>2689</v>
      </c>
      <c r="AS658" t="s">
        <v>2690</v>
      </c>
      <c r="AT658" t="s">
        <v>12668</v>
      </c>
      <c r="AU658">
        <v>2019</v>
      </c>
      <c r="AV658">
        <v>20</v>
      </c>
      <c r="AW658">
        <v>2</v>
      </c>
      <c r="AX658" t="s">
        <v>74</v>
      </c>
      <c r="AY658" t="s">
        <v>74</v>
      </c>
      <c r="AZ658" t="s">
        <v>74</v>
      </c>
      <c r="BA658" t="s">
        <v>74</v>
      </c>
      <c r="BB658">
        <v>688</v>
      </c>
      <c r="BC658">
        <v>707</v>
      </c>
      <c r="BD658" t="s">
        <v>74</v>
      </c>
      <c r="BE658" t="s">
        <v>12926</v>
      </c>
      <c r="BF658" t="str">
        <f>HYPERLINK("http://dx.doi.org/10.1029/2018GC008033","http://dx.doi.org/10.1029/2018GC008033")</f>
        <v>http://dx.doi.org/10.1029/2018GC008033</v>
      </c>
      <c r="BG658" t="s">
        <v>74</v>
      </c>
      <c r="BH658" t="s">
        <v>74</v>
      </c>
      <c r="BI658">
        <v>20</v>
      </c>
      <c r="BJ658" t="s">
        <v>643</v>
      </c>
      <c r="BK658" t="s">
        <v>102</v>
      </c>
      <c r="BL658" t="s">
        <v>643</v>
      </c>
      <c r="BM658" t="s">
        <v>12927</v>
      </c>
      <c r="BN658" t="s">
        <v>74</v>
      </c>
      <c r="BO658" t="s">
        <v>925</v>
      </c>
      <c r="BP658" t="s">
        <v>74</v>
      </c>
      <c r="BQ658" t="s">
        <v>74</v>
      </c>
      <c r="BR658" t="s">
        <v>107</v>
      </c>
      <c r="BS658" t="s">
        <v>12928</v>
      </c>
      <c r="BT658" t="str">
        <f>HYPERLINK("https%3A%2F%2Fwww.webofscience.com%2Fwos%2Fwoscc%2Ffull-record%2FWOS:000461745200008","View Full Record in Web of Science")</f>
        <v>View Full Record in Web of Science</v>
      </c>
    </row>
    <row r="659" spans="1:72" x14ac:dyDescent="0.15">
      <c r="A659" t="s">
        <v>72</v>
      </c>
      <c r="B659" t="s">
        <v>12929</v>
      </c>
      <c r="C659" t="s">
        <v>74</v>
      </c>
      <c r="D659" t="s">
        <v>74</v>
      </c>
      <c r="E659" t="s">
        <v>74</v>
      </c>
      <c r="F659" t="s">
        <v>12930</v>
      </c>
      <c r="G659" t="s">
        <v>74</v>
      </c>
      <c r="H659" t="s">
        <v>74</v>
      </c>
      <c r="I659" t="s">
        <v>12931</v>
      </c>
      <c r="J659" t="s">
        <v>3142</v>
      </c>
      <c r="K659" t="s">
        <v>74</v>
      </c>
      <c r="L659" t="s">
        <v>74</v>
      </c>
      <c r="M659" t="s">
        <v>78</v>
      </c>
      <c r="N659" t="s">
        <v>79</v>
      </c>
      <c r="O659" t="s">
        <v>74</v>
      </c>
      <c r="P659" t="s">
        <v>74</v>
      </c>
      <c r="Q659" t="s">
        <v>74</v>
      </c>
      <c r="R659" t="s">
        <v>74</v>
      </c>
      <c r="S659" t="s">
        <v>74</v>
      </c>
      <c r="T659" t="s">
        <v>12932</v>
      </c>
      <c r="U659" t="s">
        <v>12933</v>
      </c>
      <c r="V659" t="s">
        <v>12934</v>
      </c>
      <c r="W659" t="s">
        <v>12935</v>
      </c>
      <c r="X659" t="s">
        <v>12936</v>
      </c>
      <c r="Y659" t="s">
        <v>12937</v>
      </c>
      <c r="Z659" t="s">
        <v>12938</v>
      </c>
      <c r="AA659" t="s">
        <v>74</v>
      </c>
      <c r="AB659" t="s">
        <v>74</v>
      </c>
      <c r="AC659" t="s">
        <v>12939</v>
      </c>
      <c r="AD659" t="s">
        <v>1898</v>
      </c>
      <c r="AE659" t="s">
        <v>12940</v>
      </c>
      <c r="AF659" t="s">
        <v>74</v>
      </c>
      <c r="AG659">
        <v>70</v>
      </c>
      <c r="AH659">
        <v>9</v>
      </c>
      <c r="AI659">
        <v>11</v>
      </c>
      <c r="AJ659">
        <v>1</v>
      </c>
      <c r="AK659">
        <v>12</v>
      </c>
      <c r="AL659" t="s">
        <v>125</v>
      </c>
      <c r="AM659" t="s">
        <v>126</v>
      </c>
      <c r="AN659" t="s">
        <v>127</v>
      </c>
      <c r="AO659" t="s">
        <v>3155</v>
      </c>
      <c r="AP659" t="s">
        <v>3156</v>
      </c>
      <c r="AQ659" t="s">
        <v>74</v>
      </c>
      <c r="AR659" t="s">
        <v>3157</v>
      </c>
      <c r="AS659" t="s">
        <v>3158</v>
      </c>
      <c r="AT659" t="s">
        <v>12668</v>
      </c>
      <c r="AU659">
        <v>2019</v>
      </c>
      <c r="AV659">
        <v>124</v>
      </c>
      <c r="AW659">
        <v>2</v>
      </c>
      <c r="AX659" t="s">
        <v>74</v>
      </c>
      <c r="AY659" t="s">
        <v>74</v>
      </c>
      <c r="AZ659" t="s">
        <v>74</v>
      </c>
      <c r="BA659" t="s">
        <v>74</v>
      </c>
      <c r="BB659">
        <v>925</v>
      </c>
      <c r="BC659">
        <v>938</v>
      </c>
      <c r="BD659" t="s">
        <v>74</v>
      </c>
      <c r="BE659" t="s">
        <v>12941</v>
      </c>
      <c r="BF659" t="str">
        <f>HYPERLINK("http://dx.doi.org/10.1029/2018JC014479","http://dx.doi.org/10.1029/2018JC014479")</f>
        <v>http://dx.doi.org/10.1029/2018JC014479</v>
      </c>
      <c r="BG659" t="s">
        <v>74</v>
      </c>
      <c r="BH659" t="s">
        <v>74</v>
      </c>
      <c r="BI659">
        <v>14</v>
      </c>
      <c r="BJ659" t="s">
        <v>277</v>
      </c>
      <c r="BK659" t="s">
        <v>102</v>
      </c>
      <c r="BL659" t="s">
        <v>277</v>
      </c>
      <c r="BM659" t="s">
        <v>12942</v>
      </c>
      <c r="BN659" t="s">
        <v>74</v>
      </c>
      <c r="BO659" t="s">
        <v>9543</v>
      </c>
      <c r="BP659" t="s">
        <v>74</v>
      </c>
      <c r="BQ659" t="s">
        <v>74</v>
      </c>
      <c r="BR659" t="s">
        <v>107</v>
      </c>
      <c r="BS659" t="s">
        <v>12943</v>
      </c>
      <c r="BT659" t="str">
        <f>HYPERLINK("https%3A%2F%2Fwww.webofscience.com%2Fwos%2Fwoscc%2Ffull-record%2FWOS:000461856400008","View Full Record in Web of Science")</f>
        <v>View Full Record in Web of Science</v>
      </c>
    </row>
    <row r="660" spans="1:72" x14ac:dyDescent="0.15">
      <c r="A660" t="s">
        <v>72</v>
      </c>
      <c r="B660" t="s">
        <v>12944</v>
      </c>
      <c r="C660" t="s">
        <v>74</v>
      </c>
      <c r="D660" t="s">
        <v>74</v>
      </c>
      <c r="E660" t="s">
        <v>74</v>
      </c>
      <c r="F660" t="s">
        <v>12945</v>
      </c>
      <c r="G660" t="s">
        <v>74</v>
      </c>
      <c r="H660" t="s">
        <v>74</v>
      </c>
      <c r="I660" t="s">
        <v>12946</v>
      </c>
      <c r="J660" t="s">
        <v>3142</v>
      </c>
      <c r="K660" t="s">
        <v>74</v>
      </c>
      <c r="L660" t="s">
        <v>74</v>
      </c>
      <c r="M660" t="s">
        <v>78</v>
      </c>
      <c r="N660" t="s">
        <v>79</v>
      </c>
      <c r="O660" t="s">
        <v>74</v>
      </c>
      <c r="P660" t="s">
        <v>74</v>
      </c>
      <c r="Q660" t="s">
        <v>74</v>
      </c>
      <c r="R660" t="s">
        <v>74</v>
      </c>
      <c r="S660" t="s">
        <v>74</v>
      </c>
      <c r="T660" t="s">
        <v>12947</v>
      </c>
      <c r="U660" t="s">
        <v>12948</v>
      </c>
      <c r="V660" t="s">
        <v>12949</v>
      </c>
      <c r="W660" t="s">
        <v>12950</v>
      </c>
      <c r="X660" t="s">
        <v>12951</v>
      </c>
      <c r="Y660" t="s">
        <v>12952</v>
      </c>
      <c r="Z660" t="s">
        <v>12953</v>
      </c>
      <c r="AA660" t="s">
        <v>12954</v>
      </c>
      <c r="AB660" t="s">
        <v>12955</v>
      </c>
      <c r="AC660" t="s">
        <v>12956</v>
      </c>
      <c r="AD660" t="s">
        <v>12957</v>
      </c>
      <c r="AE660" t="s">
        <v>12958</v>
      </c>
      <c r="AF660" t="s">
        <v>74</v>
      </c>
      <c r="AG660">
        <v>45</v>
      </c>
      <c r="AH660">
        <v>15</v>
      </c>
      <c r="AI660">
        <v>16</v>
      </c>
      <c r="AJ660">
        <v>1</v>
      </c>
      <c r="AK660">
        <v>9</v>
      </c>
      <c r="AL660" t="s">
        <v>125</v>
      </c>
      <c r="AM660" t="s">
        <v>126</v>
      </c>
      <c r="AN660" t="s">
        <v>127</v>
      </c>
      <c r="AO660" t="s">
        <v>3155</v>
      </c>
      <c r="AP660" t="s">
        <v>3156</v>
      </c>
      <c r="AQ660" t="s">
        <v>74</v>
      </c>
      <c r="AR660" t="s">
        <v>3157</v>
      </c>
      <c r="AS660" t="s">
        <v>3158</v>
      </c>
      <c r="AT660" t="s">
        <v>12668</v>
      </c>
      <c r="AU660">
        <v>2019</v>
      </c>
      <c r="AV660">
        <v>124</v>
      </c>
      <c r="AW660">
        <v>2</v>
      </c>
      <c r="AX660" t="s">
        <v>74</v>
      </c>
      <c r="AY660" t="s">
        <v>74</v>
      </c>
      <c r="AZ660" t="s">
        <v>74</v>
      </c>
      <c r="BA660" t="s">
        <v>74</v>
      </c>
      <c r="BB660">
        <v>981</v>
      </c>
      <c r="BC660">
        <v>1004</v>
      </c>
      <c r="BD660" t="s">
        <v>74</v>
      </c>
      <c r="BE660" t="s">
        <v>12959</v>
      </c>
      <c r="BF660" t="str">
        <f>HYPERLINK("http://dx.doi.org/10.1029/2018JC014655","http://dx.doi.org/10.1029/2018JC014655")</f>
        <v>http://dx.doi.org/10.1029/2018JC014655</v>
      </c>
      <c r="BG660" t="s">
        <v>74</v>
      </c>
      <c r="BH660" t="s">
        <v>74</v>
      </c>
      <c r="BI660">
        <v>24</v>
      </c>
      <c r="BJ660" t="s">
        <v>277</v>
      </c>
      <c r="BK660" t="s">
        <v>102</v>
      </c>
      <c r="BL660" t="s">
        <v>277</v>
      </c>
      <c r="BM660" t="s">
        <v>12942</v>
      </c>
      <c r="BN660" t="s">
        <v>74</v>
      </c>
      <c r="BO660" t="s">
        <v>1014</v>
      </c>
      <c r="BP660" t="s">
        <v>74</v>
      </c>
      <c r="BQ660" t="s">
        <v>74</v>
      </c>
      <c r="BR660" t="s">
        <v>107</v>
      </c>
      <c r="BS660" t="s">
        <v>12960</v>
      </c>
      <c r="BT660" t="str">
        <f>HYPERLINK("https%3A%2F%2Fwww.webofscience.com%2Fwos%2Fwoscc%2Ffull-record%2FWOS:000461856400011","View Full Record in Web of Science")</f>
        <v>View Full Record in Web of Science</v>
      </c>
    </row>
    <row r="661" spans="1:72" x14ac:dyDescent="0.15">
      <c r="A661" t="s">
        <v>72</v>
      </c>
      <c r="B661" t="s">
        <v>12961</v>
      </c>
      <c r="C661" t="s">
        <v>74</v>
      </c>
      <c r="D661" t="s">
        <v>74</v>
      </c>
      <c r="E661" t="s">
        <v>74</v>
      </c>
      <c r="F661" t="s">
        <v>12962</v>
      </c>
      <c r="G661" t="s">
        <v>74</v>
      </c>
      <c r="H661" t="s">
        <v>74</v>
      </c>
      <c r="I661" t="s">
        <v>12963</v>
      </c>
      <c r="J661" t="s">
        <v>3142</v>
      </c>
      <c r="K661" t="s">
        <v>74</v>
      </c>
      <c r="L661" t="s">
        <v>74</v>
      </c>
      <c r="M661" t="s">
        <v>78</v>
      </c>
      <c r="N661" t="s">
        <v>79</v>
      </c>
      <c r="O661" t="s">
        <v>74</v>
      </c>
      <c r="P661" t="s">
        <v>74</v>
      </c>
      <c r="Q661" t="s">
        <v>74</v>
      </c>
      <c r="R661" t="s">
        <v>74</v>
      </c>
      <c r="S661" t="s">
        <v>74</v>
      </c>
      <c r="T661" t="s">
        <v>12964</v>
      </c>
      <c r="U661" t="s">
        <v>12965</v>
      </c>
      <c r="V661" t="s">
        <v>12966</v>
      </c>
      <c r="W661" t="s">
        <v>12967</v>
      </c>
      <c r="X661" t="s">
        <v>12968</v>
      </c>
      <c r="Y661" t="s">
        <v>12969</v>
      </c>
      <c r="Z661" t="s">
        <v>12970</v>
      </c>
      <c r="AA661" t="s">
        <v>12971</v>
      </c>
      <c r="AB661" t="s">
        <v>12972</v>
      </c>
      <c r="AC661" t="s">
        <v>12973</v>
      </c>
      <c r="AD661" t="s">
        <v>12974</v>
      </c>
      <c r="AE661" t="s">
        <v>12975</v>
      </c>
      <c r="AF661" t="s">
        <v>74</v>
      </c>
      <c r="AG661">
        <v>51</v>
      </c>
      <c r="AH661">
        <v>26</v>
      </c>
      <c r="AI661">
        <v>28</v>
      </c>
      <c r="AJ661">
        <v>0</v>
      </c>
      <c r="AK661">
        <v>8</v>
      </c>
      <c r="AL661" t="s">
        <v>125</v>
      </c>
      <c r="AM661" t="s">
        <v>126</v>
      </c>
      <c r="AN661" t="s">
        <v>127</v>
      </c>
      <c r="AO661" t="s">
        <v>3155</v>
      </c>
      <c r="AP661" t="s">
        <v>3156</v>
      </c>
      <c r="AQ661" t="s">
        <v>74</v>
      </c>
      <c r="AR661" t="s">
        <v>3157</v>
      </c>
      <c r="AS661" t="s">
        <v>3158</v>
      </c>
      <c r="AT661" t="s">
        <v>12668</v>
      </c>
      <c r="AU661">
        <v>2019</v>
      </c>
      <c r="AV661">
        <v>124</v>
      </c>
      <c r="AW661">
        <v>2</v>
      </c>
      <c r="AX661" t="s">
        <v>74</v>
      </c>
      <c r="AY661" t="s">
        <v>74</v>
      </c>
      <c r="AZ661" t="s">
        <v>74</v>
      </c>
      <c r="BA661" t="s">
        <v>74</v>
      </c>
      <c r="BB661">
        <v>1196</v>
      </c>
      <c r="BC661">
        <v>1214</v>
      </c>
      <c r="BD661" t="s">
        <v>74</v>
      </c>
      <c r="BE661" t="s">
        <v>12976</v>
      </c>
      <c r="BF661" t="str">
        <f>HYPERLINK("http://dx.doi.org/10.1029/2018JC014594","http://dx.doi.org/10.1029/2018JC014594")</f>
        <v>http://dx.doi.org/10.1029/2018JC014594</v>
      </c>
      <c r="BG661" t="s">
        <v>74</v>
      </c>
      <c r="BH661" t="s">
        <v>74</v>
      </c>
      <c r="BI661">
        <v>19</v>
      </c>
      <c r="BJ661" t="s">
        <v>277</v>
      </c>
      <c r="BK661" t="s">
        <v>102</v>
      </c>
      <c r="BL661" t="s">
        <v>277</v>
      </c>
      <c r="BM661" t="s">
        <v>12942</v>
      </c>
      <c r="BN661" t="s">
        <v>74</v>
      </c>
      <c r="BO661" t="s">
        <v>279</v>
      </c>
      <c r="BP661" t="s">
        <v>74</v>
      </c>
      <c r="BQ661" t="s">
        <v>74</v>
      </c>
      <c r="BR661" t="s">
        <v>107</v>
      </c>
      <c r="BS661" t="s">
        <v>12977</v>
      </c>
      <c r="BT661" t="str">
        <f>HYPERLINK("https%3A%2F%2Fwww.webofscience.com%2Fwos%2Fwoscc%2Ffull-record%2FWOS:000461856400022","View Full Record in Web of Science")</f>
        <v>View Full Record in Web of Science</v>
      </c>
    </row>
    <row r="662" spans="1:72" x14ac:dyDescent="0.15">
      <c r="A662" t="s">
        <v>72</v>
      </c>
      <c r="B662" t="s">
        <v>12978</v>
      </c>
      <c r="C662" t="s">
        <v>74</v>
      </c>
      <c r="D662" t="s">
        <v>74</v>
      </c>
      <c r="E662" t="s">
        <v>74</v>
      </c>
      <c r="F662" t="s">
        <v>12979</v>
      </c>
      <c r="G662" t="s">
        <v>74</v>
      </c>
      <c r="H662" t="s">
        <v>74</v>
      </c>
      <c r="I662" t="s">
        <v>12980</v>
      </c>
      <c r="J662" t="s">
        <v>3206</v>
      </c>
      <c r="K662" t="s">
        <v>74</v>
      </c>
      <c r="L662" t="s">
        <v>74</v>
      </c>
      <c r="M662" t="s">
        <v>78</v>
      </c>
      <c r="N662" t="s">
        <v>79</v>
      </c>
      <c r="O662" t="s">
        <v>74</v>
      </c>
      <c r="P662" t="s">
        <v>74</v>
      </c>
      <c r="Q662" t="s">
        <v>74</v>
      </c>
      <c r="R662" t="s">
        <v>74</v>
      </c>
      <c r="S662" t="s">
        <v>74</v>
      </c>
      <c r="T662" t="s">
        <v>12981</v>
      </c>
      <c r="U662" t="s">
        <v>74</v>
      </c>
      <c r="V662" t="s">
        <v>12982</v>
      </c>
      <c r="W662" t="s">
        <v>12983</v>
      </c>
      <c r="X662" t="s">
        <v>12984</v>
      </c>
      <c r="Y662" t="s">
        <v>12985</v>
      </c>
      <c r="Z662" t="s">
        <v>12986</v>
      </c>
      <c r="AA662" t="s">
        <v>12987</v>
      </c>
      <c r="AB662" t="s">
        <v>12988</v>
      </c>
      <c r="AC662" t="s">
        <v>12989</v>
      </c>
      <c r="AD662" t="s">
        <v>12990</v>
      </c>
      <c r="AE662" t="s">
        <v>12991</v>
      </c>
      <c r="AF662" t="s">
        <v>74</v>
      </c>
      <c r="AG662">
        <v>19</v>
      </c>
      <c r="AH662">
        <v>7</v>
      </c>
      <c r="AI662">
        <v>7</v>
      </c>
      <c r="AJ662">
        <v>3</v>
      </c>
      <c r="AK662">
        <v>12</v>
      </c>
      <c r="AL662" t="s">
        <v>2960</v>
      </c>
      <c r="AM662" t="s">
        <v>1004</v>
      </c>
      <c r="AN662" t="s">
        <v>2961</v>
      </c>
      <c r="AO662" t="s">
        <v>3219</v>
      </c>
      <c r="AP662" t="s">
        <v>3220</v>
      </c>
      <c r="AQ662" t="s">
        <v>74</v>
      </c>
      <c r="AR662" t="s">
        <v>3221</v>
      </c>
      <c r="AS662" t="s">
        <v>3222</v>
      </c>
      <c r="AT662" t="s">
        <v>12668</v>
      </c>
      <c r="AU662">
        <v>2019</v>
      </c>
      <c r="AV662">
        <v>65</v>
      </c>
      <c r="AW662">
        <v>249</v>
      </c>
      <c r="AX662" t="s">
        <v>74</v>
      </c>
      <c r="AY662" t="s">
        <v>74</v>
      </c>
      <c r="AZ662" t="s">
        <v>74</v>
      </c>
      <c r="BA662" t="s">
        <v>74</v>
      </c>
      <c r="BB662">
        <v>149</v>
      </c>
      <c r="BC662">
        <v>156</v>
      </c>
      <c r="BD662" t="s">
        <v>74</v>
      </c>
      <c r="BE662" t="s">
        <v>12992</v>
      </c>
      <c r="BF662" t="str">
        <f>HYPERLINK("http://dx.doi.org/10.1017/jog.2018.95","http://dx.doi.org/10.1017/jog.2018.95")</f>
        <v>http://dx.doi.org/10.1017/jog.2018.95</v>
      </c>
      <c r="BG662" t="s">
        <v>74</v>
      </c>
      <c r="BH662" t="s">
        <v>74</v>
      </c>
      <c r="BI662">
        <v>8</v>
      </c>
      <c r="BJ662" t="s">
        <v>1142</v>
      </c>
      <c r="BK662" t="s">
        <v>102</v>
      </c>
      <c r="BL662" t="s">
        <v>1143</v>
      </c>
      <c r="BM662" t="s">
        <v>12993</v>
      </c>
      <c r="BN662" t="s">
        <v>74</v>
      </c>
      <c r="BO662" t="s">
        <v>1415</v>
      </c>
      <c r="BP662" t="s">
        <v>74</v>
      </c>
      <c r="BQ662" t="s">
        <v>74</v>
      </c>
      <c r="BR662" t="s">
        <v>107</v>
      </c>
      <c r="BS662" t="s">
        <v>12994</v>
      </c>
      <c r="BT662" t="str">
        <f>HYPERLINK("https%3A%2F%2Fwww.webofscience.com%2Fwos%2Fwoscc%2Ffull-record%2FWOS:000462017000011","View Full Record in Web of Science")</f>
        <v>View Full Record in Web of Science</v>
      </c>
    </row>
    <row r="663" spans="1:72" x14ac:dyDescent="0.15">
      <c r="A663" t="s">
        <v>72</v>
      </c>
      <c r="B663" t="s">
        <v>12995</v>
      </c>
      <c r="C663" t="s">
        <v>74</v>
      </c>
      <c r="D663" t="s">
        <v>74</v>
      </c>
      <c r="E663" t="s">
        <v>74</v>
      </c>
      <c r="F663" t="s">
        <v>12996</v>
      </c>
      <c r="G663" t="s">
        <v>74</v>
      </c>
      <c r="H663" t="s">
        <v>74</v>
      </c>
      <c r="I663" t="s">
        <v>12997</v>
      </c>
      <c r="J663" t="s">
        <v>8720</v>
      </c>
      <c r="K663" t="s">
        <v>74</v>
      </c>
      <c r="L663" t="s">
        <v>74</v>
      </c>
      <c r="M663" t="s">
        <v>78</v>
      </c>
      <c r="N663" t="s">
        <v>79</v>
      </c>
      <c r="O663" t="s">
        <v>74</v>
      </c>
      <c r="P663" t="s">
        <v>74</v>
      </c>
      <c r="Q663" t="s">
        <v>74</v>
      </c>
      <c r="R663" t="s">
        <v>74</v>
      </c>
      <c r="S663" t="s">
        <v>74</v>
      </c>
      <c r="T663" t="s">
        <v>12998</v>
      </c>
      <c r="U663" t="s">
        <v>12999</v>
      </c>
      <c r="V663" t="s">
        <v>13000</v>
      </c>
      <c r="W663" t="s">
        <v>13001</v>
      </c>
      <c r="X663" t="s">
        <v>13002</v>
      </c>
      <c r="Y663" t="s">
        <v>13003</v>
      </c>
      <c r="Z663" t="s">
        <v>13004</v>
      </c>
      <c r="AA663" t="s">
        <v>13005</v>
      </c>
      <c r="AB663" t="s">
        <v>13006</v>
      </c>
      <c r="AC663" t="s">
        <v>13007</v>
      </c>
      <c r="AD663" t="s">
        <v>13008</v>
      </c>
      <c r="AE663" t="s">
        <v>13009</v>
      </c>
      <c r="AF663" t="s">
        <v>74</v>
      </c>
      <c r="AG663">
        <v>48</v>
      </c>
      <c r="AH663">
        <v>5</v>
      </c>
      <c r="AI663">
        <v>5</v>
      </c>
      <c r="AJ663">
        <v>1</v>
      </c>
      <c r="AK663">
        <v>7</v>
      </c>
      <c r="AL663" t="s">
        <v>125</v>
      </c>
      <c r="AM663" t="s">
        <v>126</v>
      </c>
      <c r="AN663" t="s">
        <v>127</v>
      </c>
      <c r="AO663" t="s">
        <v>8733</v>
      </c>
      <c r="AP663" t="s">
        <v>8734</v>
      </c>
      <c r="AQ663" t="s">
        <v>74</v>
      </c>
      <c r="AR663" t="s">
        <v>8735</v>
      </c>
      <c r="AS663" t="s">
        <v>8736</v>
      </c>
      <c r="AT663" t="s">
        <v>12668</v>
      </c>
      <c r="AU663">
        <v>2019</v>
      </c>
      <c r="AV663">
        <v>124</v>
      </c>
      <c r="AW663">
        <v>2</v>
      </c>
      <c r="AX663" t="s">
        <v>74</v>
      </c>
      <c r="AY663" t="s">
        <v>74</v>
      </c>
      <c r="AZ663" t="s">
        <v>74</v>
      </c>
      <c r="BA663" t="s">
        <v>74</v>
      </c>
      <c r="BB663">
        <v>287</v>
      </c>
      <c r="BC663">
        <v>304</v>
      </c>
      <c r="BD663" t="s">
        <v>74</v>
      </c>
      <c r="BE663" t="s">
        <v>13010</v>
      </c>
      <c r="BF663" t="str">
        <f>HYPERLINK("http://dx.doi.org/10.1029/2018JF004799","http://dx.doi.org/10.1029/2018JF004799")</f>
        <v>http://dx.doi.org/10.1029/2018JF004799</v>
      </c>
      <c r="BG663" t="s">
        <v>74</v>
      </c>
      <c r="BH663" t="s">
        <v>74</v>
      </c>
      <c r="BI663">
        <v>18</v>
      </c>
      <c r="BJ663" t="s">
        <v>922</v>
      </c>
      <c r="BK663" t="s">
        <v>102</v>
      </c>
      <c r="BL663" t="s">
        <v>923</v>
      </c>
      <c r="BM663" t="s">
        <v>13011</v>
      </c>
      <c r="BN663" t="s">
        <v>74</v>
      </c>
      <c r="BO663" t="s">
        <v>186</v>
      </c>
      <c r="BP663" t="s">
        <v>74</v>
      </c>
      <c r="BQ663" t="s">
        <v>74</v>
      </c>
      <c r="BR663" t="s">
        <v>107</v>
      </c>
      <c r="BS663" t="s">
        <v>13012</v>
      </c>
      <c r="BT663" t="str">
        <f>HYPERLINK("https%3A%2F%2Fwww.webofscience.com%2Fwos%2Fwoscc%2Ffull-record%2FWOS:000461856100002","View Full Record in Web of Science")</f>
        <v>View Full Record in Web of Science</v>
      </c>
    </row>
    <row r="664" spans="1:72" x14ac:dyDescent="0.15">
      <c r="A664" t="s">
        <v>72</v>
      </c>
      <c r="B664" t="s">
        <v>13013</v>
      </c>
      <c r="C664" t="s">
        <v>74</v>
      </c>
      <c r="D664" t="s">
        <v>74</v>
      </c>
      <c r="E664" t="s">
        <v>74</v>
      </c>
      <c r="F664" t="s">
        <v>13014</v>
      </c>
      <c r="G664" t="s">
        <v>74</v>
      </c>
      <c r="H664" t="s">
        <v>74</v>
      </c>
      <c r="I664" t="s">
        <v>13015</v>
      </c>
      <c r="J664" t="s">
        <v>8720</v>
      </c>
      <c r="K664" t="s">
        <v>74</v>
      </c>
      <c r="L664" t="s">
        <v>74</v>
      </c>
      <c r="M664" t="s">
        <v>78</v>
      </c>
      <c r="N664" t="s">
        <v>79</v>
      </c>
      <c r="O664" t="s">
        <v>74</v>
      </c>
      <c r="P664" t="s">
        <v>74</v>
      </c>
      <c r="Q664" t="s">
        <v>74</v>
      </c>
      <c r="R664" t="s">
        <v>74</v>
      </c>
      <c r="S664" t="s">
        <v>74</v>
      </c>
      <c r="T664" t="s">
        <v>13016</v>
      </c>
      <c r="U664" t="s">
        <v>13017</v>
      </c>
      <c r="V664" t="s">
        <v>13018</v>
      </c>
      <c r="W664" t="s">
        <v>13019</v>
      </c>
      <c r="X664" t="s">
        <v>13020</v>
      </c>
      <c r="Y664" t="s">
        <v>13021</v>
      </c>
      <c r="Z664" t="s">
        <v>13022</v>
      </c>
      <c r="AA664" t="s">
        <v>13023</v>
      </c>
      <c r="AB664" t="s">
        <v>13024</v>
      </c>
      <c r="AC664" t="s">
        <v>13025</v>
      </c>
      <c r="AD664" t="s">
        <v>13026</v>
      </c>
      <c r="AE664" t="s">
        <v>13027</v>
      </c>
      <c r="AF664" t="s">
        <v>74</v>
      </c>
      <c r="AG664">
        <v>55</v>
      </c>
      <c r="AH664">
        <v>20</v>
      </c>
      <c r="AI664">
        <v>23</v>
      </c>
      <c r="AJ664">
        <v>1</v>
      </c>
      <c r="AK664">
        <v>9</v>
      </c>
      <c r="AL664" t="s">
        <v>125</v>
      </c>
      <c r="AM664" t="s">
        <v>126</v>
      </c>
      <c r="AN664" t="s">
        <v>127</v>
      </c>
      <c r="AO664" t="s">
        <v>8733</v>
      </c>
      <c r="AP664" t="s">
        <v>8734</v>
      </c>
      <c r="AQ664" t="s">
        <v>74</v>
      </c>
      <c r="AR664" t="s">
        <v>8735</v>
      </c>
      <c r="AS664" t="s">
        <v>8736</v>
      </c>
      <c r="AT664" t="s">
        <v>12668</v>
      </c>
      <c r="AU664">
        <v>2019</v>
      </c>
      <c r="AV664">
        <v>124</v>
      </c>
      <c r="AW664">
        <v>2</v>
      </c>
      <c r="AX664" t="s">
        <v>74</v>
      </c>
      <c r="AY664" t="s">
        <v>74</v>
      </c>
      <c r="AZ664" t="s">
        <v>74</v>
      </c>
      <c r="BA664" t="s">
        <v>74</v>
      </c>
      <c r="BB664">
        <v>365</v>
      </c>
      <c r="BC664">
        <v>382</v>
      </c>
      <c r="BD664" t="s">
        <v>74</v>
      </c>
      <c r="BE664" t="s">
        <v>13028</v>
      </c>
      <c r="BF664" t="str">
        <f>HYPERLINK("http://dx.doi.org/10.1029/2017JF004604","http://dx.doi.org/10.1029/2017JF004604")</f>
        <v>http://dx.doi.org/10.1029/2017JF004604</v>
      </c>
      <c r="BG664" t="s">
        <v>74</v>
      </c>
      <c r="BH664" t="s">
        <v>74</v>
      </c>
      <c r="BI664">
        <v>18</v>
      </c>
      <c r="BJ664" t="s">
        <v>922</v>
      </c>
      <c r="BK664" t="s">
        <v>102</v>
      </c>
      <c r="BL664" t="s">
        <v>923</v>
      </c>
      <c r="BM664" t="s">
        <v>13011</v>
      </c>
      <c r="BN664" t="s">
        <v>74</v>
      </c>
      <c r="BO664" t="s">
        <v>279</v>
      </c>
      <c r="BP664" t="s">
        <v>74</v>
      </c>
      <c r="BQ664" t="s">
        <v>74</v>
      </c>
      <c r="BR664" t="s">
        <v>107</v>
      </c>
      <c r="BS664" t="s">
        <v>13029</v>
      </c>
      <c r="BT664" t="str">
        <f>HYPERLINK("https%3A%2F%2Fwww.webofscience.com%2Fwos%2Fwoscc%2Ffull-record%2FWOS:000461856100006","View Full Record in Web of Science")</f>
        <v>View Full Record in Web of Science</v>
      </c>
    </row>
    <row r="665" spans="1:72" x14ac:dyDescent="0.15">
      <c r="A665" t="s">
        <v>72</v>
      </c>
      <c r="B665" t="s">
        <v>13030</v>
      </c>
      <c r="C665" t="s">
        <v>74</v>
      </c>
      <c r="D665" t="s">
        <v>74</v>
      </c>
      <c r="E665" t="s">
        <v>74</v>
      </c>
      <c r="F665" t="s">
        <v>13031</v>
      </c>
      <c r="G665" t="s">
        <v>74</v>
      </c>
      <c r="H665" t="s">
        <v>74</v>
      </c>
      <c r="I665" t="s">
        <v>13032</v>
      </c>
      <c r="J665" t="s">
        <v>8720</v>
      </c>
      <c r="K665" t="s">
        <v>74</v>
      </c>
      <c r="L665" t="s">
        <v>74</v>
      </c>
      <c r="M665" t="s">
        <v>78</v>
      </c>
      <c r="N665" t="s">
        <v>79</v>
      </c>
      <c r="O665" t="s">
        <v>74</v>
      </c>
      <c r="P665" t="s">
        <v>74</v>
      </c>
      <c r="Q665" t="s">
        <v>74</v>
      </c>
      <c r="R665" t="s">
        <v>74</v>
      </c>
      <c r="S665" t="s">
        <v>74</v>
      </c>
      <c r="T665" t="s">
        <v>13033</v>
      </c>
      <c r="U665" t="s">
        <v>13034</v>
      </c>
      <c r="V665" t="s">
        <v>13035</v>
      </c>
      <c r="W665" t="s">
        <v>13036</v>
      </c>
      <c r="X665" t="s">
        <v>13037</v>
      </c>
      <c r="Y665" t="s">
        <v>13038</v>
      </c>
      <c r="Z665" t="s">
        <v>13039</v>
      </c>
      <c r="AA665" t="s">
        <v>74</v>
      </c>
      <c r="AB665" t="s">
        <v>13040</v>
      </c>
      <c r="AC665" t="s">
        <v>13041</v>
      </c>
      <c r="AD665" t="s">
        <v>13042</v>
      </c>
      <c r="AE665" t="s">
        <v>13043</v>
      </c>
      <c r="AF665" t="s">
        <v>74</v>
      </c>
      <c r="AG665">
        <v>47</v>
      </c>
      <c r="AH665">
        <v>16</v>
      </c>
      <c r="AI665">
        <v>17</v>
      </c>
      <c r="AJ665">
        <v>3</v>
      </c>
      <c r="AK665">
        <v>11</v>
      </c>
      <c r="AL665" t="s">
        <v>125</v>
      </c>
      <c r="AM665" t="s">
        <v>126</v>
      </c>
      <c r="AN665" t="s">
        <v>127</v>
      </c>
      <c r="AO665" t="s">
        <v>8733</v>
      </c>
      <c r="AP665" t="s">
        <v>8734</v>
      </c>
      <c r="AQ665" t="s">
        <v>74</v>
      </c>
      <c r="AR665" t="s">
        <v>8735</v>
      </c>
      <c r="AS665" t="s">
        <v>8736</v>
      </c>
      <c r="AT665" t="s">
        <v>12668</v>
      </c>
      <c r="AU665">
        <v>2019</v>
      </c>
      <c r="AV665">
        <v>124</v>
      </c>
      <c r="AW665">
        <v>2</v>
      </c>
      <c r="AX665" t="s">
        <v>74</v>
      </c>
      <c r="AY665" t="s">
        <v>74</v>
      </c>
      <c r="AZ665" t="s">
        <v>74</v>
      </c>
      <c r="BA665" t="s">
        <v>74</v>
      </c>
      <c r="BB665">
        <v>686</v>
      </c>
      <c r="BC665">
        <v>694</v>
      </c>
      <c r="BD665" t="s">
        <v>74</v>
      </c>
      <c r="BE665" t="s">
        <v>13044</v>
      </c>
      <c r="BF665" t="str">
        <f>HYPERLINK("http://dx.doi.org/10.1029/2018JF004756","http://dx.doi.org/10.1029/2018JF004756")</f>
        <v>http://dx.doi.org/10.1029/2018JF004756</v>
      </c>
      <c r="BG665" t="s">
        <v>74</v>
      </c>
      <c r="BH665" t="s">
        <v>74</v>
      </c>
      <c r="BI665">
        <v>9</v>
      </c>
      <c r="BJ665" t="s">
        <v>922</v>
      </c>
      <c r="BK665" t="s">
        <v>102</v>
      </c>
      <c r="BL665" t="s">
        <v>923</v>
      </c>
      <c r="BM665" t="s">
        <v>13011</v>
      </c>
      <c r="BN665" t="s">
        <v>74</v>
      </c>
      <c r="BO665" t="s">
        <v>2808</v>
      </c>
      <c r="BP665" t="s">
        <v>74</v>
      </c>
      <c r="BQ665" t="s">
        <v>74</v>
      </c>
      <c r="BR665" t="s">
        <v>107</v>
      </c>
      <c r="BS665" t="s">
        <v>13045</v>
      </c>
      <c r="BT665" t="str">
        <f>HYPERLINK("https%3A%2F%2Fwww.webofscience.com%2Fwos%2Fwoscc%2Ffull-record%2FWOS:000461856100021","View Full Record in Web of Science")</f>
        <v>View Full Record in Web of Science</v>
      </c>
    </row>
    <row r="666" spans="1:72" x14ac:dyDescent="0.15">
      <c r="A666" t="s">
        <v>72</v>
      </c>
      <c r="B666" t="s">
        <v>13046</v>
      </c>
      <c r="C666" t="s">
        <v>74</v>
      </c>
      <c r="D666" t="s">
        <v>74</v>
      </c>
      <c r="E666" t="s">
        <v>74</v>
      </c>
      <c r="F666" t="s">
        <v>13047</v>
      </c>
      <c r="G666" t="s">
        <v>74</v>
      </c>
      <c r="H666" t="s">
        <v>74</v>
      </c>
      <c r="I666" t="s">
        <v>13048</v>
      </c>
      <c r="J666" t="s">
        <v>13049</v>
      </c>
      <c r="K666" t="s">
        <v>74</v>
      </c>
      <c r="L666" t="s">
        <v>74</v>
      </c>
      <c r="M666" t="s">
        <v>78</v>
      </c>
      <c r="N666" t="s">
        <v>79</v>
      </c>
      <c r="O666" t="s">
        <v>74</v>
      </c>
      <c r="P666" t="s">
        <v>74</v>
      </c>
      <c r="Q666" t="s">
        <v>74</v>
      </c>
      <c r="R666" t="s">
        <v>74</v>
      </c>
      <c r="S666" t="s">
        <v>74</v>
      </c>
      <c r="T666" t="s">
        <v>13050</v>
      </c>
      <c r="U666" t="s">
        <v>13051</v>
      </c>
      <c r="V666" t="s">
        <v>13052</v>
      </c>
      <c r="W666" t="s">
        <v>13053</v>
      </c>
      <c r="X666" t="s">
        <v>12817</v>
      </c>
      <c r="Y666" t="s">
        <v>13054</v>
      </c>
      <c r="Z666" t="s">
        <v>13055</v>
      </c>
      <c r="AA666" t="s">
        <v>13056</v>
      </c>
      <c r="AB666" t="s">
        <v>13057</v>
      </c>
      <c r="AC666" t="s">
        <v>13058</v>
      </c>
      <c r="AD666" t="s">
        <v>8940</v>
      </c>
      <c r="AE666" t="s">
        <v>13058</v>
      </c>
      <c r="AF666" t="s">
        <v>74</v>
      </c>
      <c r="AG666">
        <v>46</v>
      </c>
      <c r="AH666">
        <v>12</v>
      </c>
      <c r="AI666">
        <v>15</v>
      </c>
      <c r="AJ666">
        <v>4</v>
      </c>
      <c r="AK666">
        <v>32</v>
      </c>
      <c r="AL666" t="s">
        <v>153</v>
      </c>
      <c r="AM666" t="s">
        <v>154</v>
      </c>
      <c r="AN666" t="s">
        <v>155</v>
      </c>
      <c r="AO666" t="s">
        <v>13059</v>
      </c>
      <c r="AP666" t="s">
        <v>74</v>
      </c>
      <c r="AQ666" t="s">
        <v>74</v>
      </c>
      <c r="AR666" t="s">
        <v>13060</v>
      </c>
      <c r="AS666" t="s">
        <v>13061</v>
      </c>
      <c r="AT666" t="s">
        <v>12668</v>
      </c>
      <c r="AU666">
        <v>2019</v>
      </c>
      <c r="AV666">
        <v>7</v>
      </c>
      <c r="AW666">
        <v>2</v>
      </c>
      <c r="AX666" t="s">
        <v>74</v>
      </c>
      <c r="AY666" t="s">
        <v>74</v>
      </c>
      <c r="AZ666" t="s">
        <v>74</v>
      </c>
      <c r="BA666" t="s">
        <v>74</v>
      </c>
      <c r="BB666">
        <v>700</v>
      </c>
      <c r="BC666">
        <v>710</v>
      </c>
      <c r="BD666" t="s">
        <v>74</v>
      </c>
      <c r="BE666" t="s">
        <v>13062</v>
      </c>
      <c r="BF666" t="str">
        <f>HYPERLINK("http://dx.doi.org/10.1002/fsn3.914","http://dx.doi.org/10.1002/fsn3.914")</f>
        <v>http://dx.doi.org/10.1002/fsn3.914</v>
      </c>
      <c r="BG666" t="s">
        <v>74</v>
      </c>
      <c r="BH666" t="s">
        <v>74</v>
      </c>
      <c r="BI666">
        <v>11</v>
      </c>
      <c r="BJ666" t="s">
        <v>5041</v>
      </c>
      <c r="BK666" t="s">
        <v>102</v>
      </c>
      <c r="BL666" t="s">
        <v>5041</v>
      </c>
      <c r="BM666" t="s">
        <v>13063</v>
      </c>
      <c r="BN666">
        <v>30847148</v>
      </c>
      <c r="BO666" t="s">
        <v>463</v>
      </c>
      <c r="BP666" t="s">
        <v>74</v>
      </c>
      <c r="BQ666" t="s">
        <v>74</v>
      </c>
      <c r="BR666" t="s">
        <v>107</v>
      </c>
      <c r="BS666" t="s">
        <v>13064</v>
      </c>
      <c r="BT666" t="str">
        <f>HYPERLINK("https%3A%2F%2Fwww.webofscience.com%2Fwos%2Fwoscc%2Ffull-record%2FWOS:000461547100036","View Full Record in Web of Science")</f>
        <v>View Full Record in Web of Science</v>
      </c>
    </row>
    <row r="667" spans="1:72" x14ac:dyDescent="0.15">
      <c r="A667" t="s">
        <v>72</v>
      </c>
      <c r="B667" t="s">
        <v>13065</v>
      </c>
      <c r="C667" t="s">
        <v>74</v>
      </c>
      <c r="D667" t="s">
        <v>74</v>
      </c>
      <c r="E667" t="s">
        <v>74</v>
      </c>
      <c r="F667" t="s">
        <v>13066</v>
      </c>
      <c r="G667" t="s">
        <v>74</v>
      </c>
      <c r="H667" t="s">
        <v>74</v>
      </c>
      <c r="I667" t="s">
        <v>13067</v>
      </c>
      <c r="J667" t="s">
        <v>13068</v>
      </c>
      <c r="K667" t="s">
        <v>74</v>
      </c>
      <c r="L667" t="s">
        <v>74</v>
      </c>
      <c r="M667" t="s">
        <v>78</v>
      </c>
      <c r="N667" t="s">
        <v>79</v>
      </c>
      <c r="O667" t="s">
        <v>74</v>
      </c>
      <c r="P667" t="s">
        <v>74</v>
      </c>
      <c r="Q667" t="s">
        <v>74</v>
      </c>
      <c r="R667" t="s">
        <v>74</v>
      </c>
      <c r="S667" t="s">
        <v>74</v>
      </c>
      <c r="T667" t="s">
        <v>13069</v>
      </c>
      <c r="U667" t="s">
        <v>13070</v>
      </c>
      <c r="V667" t="s">
        <v>13071</v>
      </c>
      <c r="W667" t="s">
        <v>13072</v>
      </c>
      <c r="X667" t="s">
        <v>13073</v>
      </c>
      <c r="Y667" t="s">
        <v>13074</v>
      </c>
      <c r="Z667" t="s">
        <v>13075</v>
      </c>
      <c r="AA667" t="s">
        <v>13076</v>
      </c>
      <c r="AB667" t="s">
        <v>13077</v>
      </c>
      <c r="AC667" t="s">
        <v>13078</v>
      </c>
      <c r="AD667" t="s">
        <v>13079</v>
      </c>
      <c r="AE667" t="s">
        <v>13080</v>
      </c>
      <c r="AF667" t="s">
        <v>74</v>
      </c>
      <c r="AG667">
        <v>20</v>
      </c>
      <c r="AH667">
        <v>3</v>
      </c>
      <c r="AI667">
        <v>3</v>
      </c>
      <c r="AJ667">
        <v>1</v>
      </c>
      <c r="AK667">
        <v>6</v>
      </c>
      <c r="AL667" t="s">
        <v>13081</v>
      </c>
      <c r="AM667" t="s">
        <v>13082</v>
      </c>
      <c r="AN667" t="s">
        <v>13083</v>
      </c>
      <c r="AO667" t="s">
        <v>13084</v>
      </c>
      <c r="AP667" t="s">
        <v>74</v>
      </c>
      <c r="AQ667" t="s">
        <v>74</v>
      </c>
      <c r="AR667" t="s">
        <v>13085</v>
      </c>
      <c r="AS667" t="s">
        <v>13086</v>
      </c>
      <c r="AT667" t="s">
        <v>12668</v>
      </c>
      <c r="AU667">
        <v>2019</v>
      </c>
      <c r="AV667">
        <v>14</v>
      </c>
      <c r="AW667">
        <v>2</v>
      </c>
      <c r="AX667" t="s">
        <v>74</v>
      </c>
      <c r="AY667" t="s">
        <v>74</v>
      </c>
      <c r="AZ667" t="s">
        <v>74</v>
      </c>
      <c r="BA667" t="s">
        <v>74</v>
      </c>
      <c r="BB667">
        <v>1940</v>
      </c>
      <c r="BC667">
        <v>1953</v>
      </c>
      <c r="BD667" t="s">
        <v>74</v>
      </c>
      <c r="BE667" t="s">
        <v>13087</v>
      </c>
      <c r="BF667" t="str">
        <f>HYPERLINK("http://dx.doi.org/10.20964/2019.02.07","http://dx.doi.org/10.20964/2019.02.07")</f>
        <v>http://dx.doi.org/10.20964/2019.02.07</v>
      </c>
      <c r="BG667" t="s">
        <v>74</v>
      </c>
      <c r="BH667" t="s">
        <v>74</v>
      </c>
      <c r="BI667">
        <v>14</v>
      </c>
      <c r="BJ667" t="s">
        <v>13088</v>
      </c>
      <c r="BK667" t="s">
        <v>102</v>
      </c>
      <c r="BL667" t="s">
        <v>13088</v>
      </c>
      <c r="BM667" t="s">
        <v>13089</v>
      </c>
      <c r="BN667" t="s">
        <v>74</v>
      </c>
      <c r="BO667" t="s">
        <v>198</v>
      </c>
      <c r="BP667" t="s">
        <v>74</v>
      </c>
      <c r="BQ667" t="s">
        <v>74</v>
      </c>
      <c r="BR667" t="s">
        <v>107</v>
      </c>
      <c r="BS667" t="s">
        <v>13090</v>
      </c>
      <c r="BT667" t="str">
        <f>HYPERLINK("https%3A%2F%2Fwww.webofscience.com%2Fwos%2Fwoscc%2Ffull-record%2FWOS:000460756500067","View Full Record in Web of Science")</f>
        <v>View Full Record in Web of Science</v>
      </c>
    </row>
    <row r="668" spans="1:72" x14ac:dyDescent="0.15">
      <c r="A668" t="s">
        <v>72</v>
      </c>
      <c r="B668" t="s">
        <v>13091</v>
      </c>
      <c r="C668" t="s">
        <v>74</v>
      </c>
      <c r="D668" t="s">
        <v>74</v>
      </c>
      <c r="E668" t="s">
        <v>74</v>
      </c>
      <c r="F668" t="s">
        <v>13092</v>
      </c>
      <c r="G668" t="s">
        <v>74</v>
      </c>
      <c r="H668" t="s">
        <v>74</v>
      </c>
      <c r="I668" t="s">
        <v>13093</v>
      </c>
      <c r="J668" t="s">
        <v>3481</v>
      </c>
      <c r="K668" t="s">
        <v>74</v>
      </c>
      <c r="L668" t="s">
        <v>74</v>
      </c>
      <c r="M668" t="s">
        <v>78</v>
      </c>
      <c r="N668" t="s">
        <v>79</v>
      </c>
      <c r="O668" t="s">
        <v>74</v>
      </c>
      <c r="P668" t="s">
        <v>74</v>
      </c>
      <c r="Q668" t="s">
        <v>74</v>
      </c>
      <c r="R668" t="s">
        <v>74</v>
      </c>
      <c r="S668" t="s">
        <v>74</v>
      </c>
      <c r="T668" t="s">
        <v>13094</v>
      </c>
      <c r="U668" t="s">
        <v>13095</v>
      </c>
      <c r="V668" t="s">
        <v>13096</v>
      </c>
      <c r="W668" t="s">
        <v>13097</v>
      </c>
      <c r="X668" t="s">
        <v>13098</v>
      </c>
      <c r="Y668" t="s">
        <v>13099</v>
      </c>
      <c r="Z668" t="s">
        <v>13100</v>
      </c>
      <c r="AA668" t="s">
        <v>13101</v>
      </c>
      <c r="AB668" t="s">
        <v>13102</v>
      </c>
      <c r="AC668" t="s">
        <v>13103</v>
      </c>
      <c r="AD668" t="s">
        <v>13104</v>
      </c>
      <c r="AE668" t="s">
        <v>13105</v>
      </c>
      <c r="AF668" t="s">
        <v>74</v>
      </c>
      <c r="AG668">
        <v>50</v>
      </c>
      <c r="AH668">
        <v>34</v>
      </c>
      <c r="AI668">
        <v>35</v>
      </c>
      <c r="AJ668">
        <v>0</v>
      </c>
      <c r="AK668">
        <v>11</v>
      </c>
      <c r="AL668" t="s">
        <v>576</v>
      </c>
      <c r="AM668" t="s">
        <v>607</v>
      </c>
      <c r="AN668" t="s">
        <v>3493</v>
      </c>
      <c r="AO668" t="s">
        <v>3494</v>
      </c>
      <c r="AP668" t="s">
        <v>3495</v>
      </c>
      <c r="AQ668" t="s">
        <v>74</v>
      </c>
      <c r="AR668" t="s">
        <v>3496</v>
      </c>
      <c r="AS668" t="s">
        <v>3497</v>
      </c>
      <c r="AT668" t="s">
        <v>12668</v>
      </c>
      <c r="AU668">
        <v>2019</v>
      </c>
      <c r="AV668">
        <v>52</v>
      </c>
      <c r="AW668" t="s">
        <v>9919</v>
      </c>
      <c r="AX668" t="s">
        <v>74</v>
      </c>
      <c r="AY668" t="s">
        <v>74</v>
      </c>
      <c r="AZ668" t="s">
        <v>74</v>
      </c>
      <c r="BA668" t="s">
        <v>74</v>
      </c>
      <c r="BB668">
        <v>1461</v>
      </c>
      <c r="BC668">
        <v>1470</v>
      </c>
      <c r="BD668" t="s">
        <v>74</v>
      </c>
      <c r="BE668" t="s">
        <v>13106</v>
      </c>
      <c r="BF668" t="str">
        <f>HYPERLINK("http://dx.doi.org/10.1007/s00382-018-4207-2","http://dx.doi.org/10.1007/s00382-018-4207-2")</f>
        <v>http://dx.doi.org/10.1007/s00382-018-4207-2</v>
      </c>
      <c r="BG668" t="s">
        <v>74</v>
      </c>
      <c r="BH668" t="s">
        <v>74</v>
      </c>
      <c r="BI668">
        <v>10</v>
      </c>
      <c r="BJ668" t="s">
        <v>133</v>
      </c>
      <c r="BK668" t="s">
        <v>102</v>
      </c>
      <c r="BL668" t="s">
        <v>133</v>
      </c>
      <c r="BM668" t="s">
        <v>13107</v>
      </c>
      <c r="BN668" t="s">
        <v>74</v>
      </c>
      <c r="BO668" t="s">
        <v>74</v>
      </c>
      <c r="BP668" t="s">
        <v>74</v>
      </c>
      <c r="BQ668" t="s">
        <v>74</v>
      </c>
      <c r="BR668" t="s">
        <v>107</v>
      </c>
      <c r="BS668" t="s">
        <v>13108</v>
      </c>
      <c r="BT668" t="str">
        <f>HYPERLINK("https%3A%2F%2Fwww.webofscience.com%2Fwos%2Fwoscc%2Ffull-record%2FWOS:000460902200010","View Full Record in Web of Science")</f>
        <v>View Full Record in Web of Science</v>
      </c>
    </row>
    <row r="669" spans="1:72" x14ac:dyDescent="0.15">
      <c r="A669" t="s">
        <v>72</v>
      </c>
      <c r="B669" t="s">
        <v>13109</v>
      </c>
      <c r="C669" t="s">
        <v>74</v>
      </c>
      <c r="D669" t="s">
        <v>74</v>
      </c>
      <c r="E669" t="s">
        <v>74</v>
      </c>
      <c r="F669" t="s">
        <v>13110</v>
      </c>
      <c r="G669" t="s">
        <v>74</v>
      </c>
      <c r="H669" t="s">
        <v>74</v>
      </c>
      <c r="I669" t="s">
        <v>13111</v>
      </c>
      <c r="J669" t="s">
        <v>3481</v>
      </c>
      <c r="K669" t="s">
        <v>74</v>
      </c>
      <c r="L669" t="s">
        <v>74</v>
      </c>
      <c r="M669" t="s">
        <v>78</v>
      </c>
      <c r="N669" t="s">
        <v>79</v>
      </c>
      <c r="O669" t="s">
        <v>74</v>
      </c>
      <c r="P669" t="s">
        <v>74</v>
      </c>
      <c r="Q669" t="s">
        <v>74</v>
      </c>
      <c r="R669" t="s">
        <v>74</v>
      </c>
      <c r="S669" t="s">
        <v>74</v>
      </c>
      <c r="T669" t="s">
        <v>13112</v>
      </c>
      <c r="U669" t="s">
        <v>13113</v>
      </c>
      <c r="V669" t="s">
        <v>13114</v>
      </c>
      <c r="W669" t="s">
        <v>13115</v>
      </c>
      <c r="X669" t="s">
        <v>13116</v>
      </c>
      <c r="Y669" t="s">
        <v>13117</v>
      </c>
      <c r="Z669" t="s">
        <v>13118</v>
      </c>
      <c r="AA669" t="s">
        <v>13119</v>
      </c>
      <c r="AB669" t="s">
        <v>13120</v>
      </c>
      <c r="AC669" t="s">
        <v>13121</v>
      </c>
      <c r="AD669" t="s">
        <v>13122</v>
      </c>
      <c r="AE669" t="s">
        <v>13123</v>
      </c>
      <c r="AF669" t="s">
        <v>74</v>
      </c>
      <c r="AG669">
        <v>111</v>
      </c>
      <c r="AH669">
        <v>99</v>
      </c>
      <c r="AI669">
        <v>103</v>
      </c>
      <c r="AJ669">
        <v>0</v>
      </c>
      <c r="AK669">
        <v>44</v>
      </c>
      <c r="AL669" t="s">
        <v>576</v>
      </c>
      <c r="AM669" t="s">
        <v>607</v>
      </c>
      <c r="AN669" t="s">
        <v>3493</v>
      </c>
      <c r="AO669" t="s">
        <v>3494</v>
      </c>
      <c r="AP669" t="s">
        <v>3495</v>
      </c>
      <c r="AQ669" t="s">
        <v>74</v>
      </c>
      <c r="AR669" t="s">
        <v>3496</v>
      </c>
      <c r="AS669" t="s">
        <v>3497</v>
      </c>
      <c r="AT669" t="s">
        <v>12668</v>
      </c>
      <c r="AU669">
        <v>2019</v>
      </c>
      <c r="AV669">
        <v>52</v>
      </c>
      <c r="AW669" t="s">
        <v>9919</v>
      </c>
      <c r="AX669" t="s">
        <v>74</v>
      </c>
      <c r="AY669" t="s">
        <v>74</v>
      </c>
      <c r="AZ669" t="s">
        <v>74</v>
      </c>
      <c r="BA669" t="s">
        <v>74</v>
      </c>
      <c r="BB669">
        <v>1613</v>
      </c>
      <c r="BC669">
        <v>1650</v>
      </c>
      <c r="BD669" t="s">
        <v>74</v>
      </c>
      <c r="BE669" t="s">
        <v>13124</v>
      </c>
      <c r="BF669" t="str">
        <f>HYPERLINK("http://dx.doi.org/10.1007/s00382-018-4242-z","http://dx.doi.org/10.1007/s00382-018-4242-z")</f>
        <v>http://dx.doi.org/10.1007/s00382-018-4242-z</v>
      </c>
      <c r="BG669" t="s">
        <v>74</v>
      </c>
      <c r="BH669" t="s">
        <v>74</v>
      </c>
      <c r="BI669">
        <v>38</v>
      </c>
      <c r="BJ669" t="s">
        <v>133</v>
      </c>
      <c r="BK669" t="s">
        <v>102</v>
      </c>
      <c r="BL669" t="s">
        <v>133</v>
      </c>
      <c r="BM669" t="s">
        <v>13107</v>
      </c>
      <c r="BN669" t="s">
        <v>74</v>
      </c>
      <c r="BO669" t="s">
        <v>186</v>
      </c>
      <c r="BP669" t="s">
        <v>74</v>
      </c>
      <c r="BQ669" t="s">
        <v>74</v>
      </c>
      <c r="BR669" t="s">
        <v>107</v>
      </c>
      <c r="BS669" t="s">
        <v>13125</v>
      </c>
      <c r="BT669" t="str">
        <f>HYPERLINK("https%3A%2F%2Fwww.webofscience.com%2Fwos%2Fwoscc%2Ffull-record%2FWOS:000460902200019","View Full Record in Web of Science")</f>
        <v>View Full Record in Web of Science</v>
      </c>
    </row>
    <row r="670" spans="1:72" x14ac:dyDescent="0.15">
      <c r="A670" t="s">
        <v>72</v>
      </c>
      <c r="B670" t="s">
        <v>13126</v>
      </c>
      <c r="C670" t="s">
        <v>74</v>
      </c>
      <c r="D670" t="s">
        <v>74</v>
      </c>
      <c r="E670" t="s">
        <v>74</v>
      </c>
      <c r="F670" t="s">
        <v>13127</v>
      </c>
      <c r="G670" t="s">
        <v>74</v>
      </c>
      <c r="H670" t="s">
        <v>74</v>
      </c>
      <c r="I670" t="s">
        <v>13128</v>
      </c>
      <c r="J670" t="s">
        <v>3481</v>
      </c>
      <c r="K670" t="s">
        <v>74</v>
      </c>
      <c r="L670" t="s">
        <v>74</v>
      </c>
      <c r="M670" t="s">
        <v>78</v>
      </c>
      <c r="N670" t="s">
        <v>79</v>
      </c>
      <c r="O670" t="s">
        <v>74</v>
      </c>
      <c r="P670" t="s">
        <v>74</v>
      </c>
      <c r="Q670" t="s">
        <v>74</v>
      </c>
      <c r="R670" t="s">
        <v>74</v>
      </c>
      <c r="S670" t="s">
        <v>74</v>
      </c>
      <c r="T670" t="s">
        <v>13129</v>
      </c>
      <c r="U670" t="s">
        <v>13130</v>
      </c>
      <c r="V670" t="s">
        <v>13131</v>
      </c>
      <c r="W670" t="s">
        <v>13132</v>
      </c>
      <c r="X670" t="s">
        <v>13133</v>
      </c>
      <c r="Y670" t="s">
        <v>13134</v>
      </c>
      <c r="Z670" t="s">
        <v>13135</v>
      </c>
      <c r="AA670" t="s">
        <v>13136</v>
      </c>
      <c r="AB670" t="s">
        <v>13137</v>
      </c>
      <c r="AC670" t="s">
        <v>13138</v>
      </c>
      <c r="AD670" t="s">
        <v>13139</v>
      </c>
      <c r="AE670" t="s">
        <v>13140</v>
      </c>
      <c r="AF670" t="s">
        <v>74</v>
      </c>
      <c r="AG670">
        <v>36</v>
      </c>
      <c r="AH670">
        <v>20</v>
      </c>
      <c r="AI670">
        <v>21</v>
      </c>
      <c r="AJ670">
        <v>5</v>
      </c>
      <c r="AK670">
        <v>32</v>
      </c>
      <c r="AL670" t="s">
        <v>576</v>
      </c>
      <c r="AM670" t="s">
        <v>607</v>
      </c>
      <c r="AN670" t="s">
        <v>2143</v>
      </c>
      <c r="AO670" t="s">
        <v>3494</v>
      </c>
      <c r="AP670" t="s">
        <v>3495</v>
      </c>
      <c r="AQ670" t="s">
        <v>74</v>
      </c>
      <c r="AR670" t="s">
        <v>3496</v>
      </c>
      <c r="AS670" t="s">
        <v>3497</v>
      </c>
      <c r="AT670" t="s">
        <v>12668</v>
      </c>
      <c r="AU670">
        <v>2019</v>
      </c>
      <c r="AV670">
        <v>52</v>
      </c>
      <c r="AW670" t="s">
        <v>9919</v>
      </c>
      <c r="AX670" t="s">
        <v>74</v>
      </c>
      <c r="AY670" t="s">
        <v>74</v>
      </c>
      <c r="AZ670" t="s">
        <v>74</v>
      </c>
      <c r="BA670" t="s">
        <v>74</v>
      </c>
      <c r="BB670">
        <v>2333</v>
      </c>
      <c r="BC670">
        <v>2349</v>
      </c>
      <c r="BD670" t="s">
        <v>74</v>
      </c>
      <c r="BE670" t="s">
        <v>13141</v>
      </c>
      <c r="BF670" t="str">
        <f>HYPERLINK("http://dx.doi.org/10.1007/s00382-018-4258-4","http://dx.doi.org/10.1007/s00382-018-4258-4")</f>
        <v>http://dx.doi.org/10.1007/s00382-018-4258-4</v>
      </c>
      <c r="BG670" t="s">
        <v>74</v>
      </c>
      <c r="BH670" t="s">
        <v>74</v>
      </c>
      <c r="BI670">
        <v>17</v>
      </c>
      <c r="BJ670" t="s">
        <v>133</v>
      </c>
      <c r="BK670" t="s">
        <v>102</v>
      </c>
      <c r="BL670" t="s">
        <v>133</v>
      </c>
      <c r="BM670" t="s">
        <v>13107</v>
      </c>
      <c r="BN670" t="s">
        <v>74</v>
      </c>
      <c r="BO670" t="s">
        <v>74</v>
      </c>
      <c r="BP670" t="s">
        <v>74</v>
      </c>
      <c r="BQ670" t="s">
        <v>74</v>
      </c>
      <c r="BR670" t="s">
        <v>107</v>
      </c>
      <c r="BS670" t="s">
        <v>13142</v>
      </c>
      <c r="BT670" t="str">
        <f>HYPERLINK("https%3A%2F%2Fwww.webofscience.com%2Fwos%2Fwoscc%2Ffull-record%2FWOS:000460902200060","View Full Record in Web of Science")</f>
        <v>View Full Record in Web of Science</v>
      </c>
    </row>
    <row r="671" spans="1:72" x14ac:dyDescent="0.15">
      <c r="A671" t="s">
        <v>72</v>
      </c>
      <c r="B671" t="s">
        <v>13143</v>
      </c>
      <c r="C671" t="s">
        <v>74</v>
      </c>
      <c r="D671" t="s">
        <v>74</v>
      </c>
      <c r="E671" t="s">
        <v>74</v>
      </c>
      <c r="F671" t="s">
        <v>13144</v>
      </c>
      <c r="G671" t="s">
        <v>74</v>
      </c>
      <c r="H671" t="s">
        <v>74</v>
      </c>
      <c r="I671" t="s">
        <v>13145</v>
      </c>
      <c r="J671" t="s">
        <v>3024</v>
      </c>
      <c r="K671" t="s">
        <v>74</v>
      </c>
      <c r="L671" t="s">
        <v>74</v>
      </c>
      <c r="M671" t="s">
        <v>78</v>
      </c>
      <c r="N671" t="s">
        <v>79</v>
      </c>
      <c r="O671" t="s">
        <v>74</v>
      </c>
      <c r="P671" t="s">
        <v>74</v>
      </c>
      <c r="Q671" t="s">
        <v>74</v>
      </c>
      <c r="R671" t="s">
        <v>74</v>
      </c>
      <c r="S671" t="s">
        <v>74</v>
      </c>
      <c r="T671" t="s">
        <v>13146</v>
      </c>
      <c r="U671" t="s">
        <v>13147</v>
      </c>
      <c r="V671" t="s">
        <v>13148</v>
      </c>
      <c r="W671" t="s">
        <v>13149</v>
      </c>
      <c r="X671" t="s">
        <v>13150</v>
      </c>
      <c r="Y671" t="s">
        <v>13151</v>
      </c>
      <c r="Z671" t="s">
        <v>13152</v>
      </c>
      <c r="AA671" t="s">
        <v>74</v>
      </c>
      <c r="AB671" t="s">
        <v>74</v>
      </c>
      <c r="AC671" t="s">
        <v>13153</v>
      </c>
      <c r="AD671" t="s">
        <v>13154</v>
      </c>
      <c r="AE671" t="s">
        <v>13155</v>
      </c>
      <c r="AF671" t="s">
        <v>74</v>
      </c>
      <c r="AG671">
        <v>35</v>
      </c>
      <c r="AH671">
        <v>4</v>
      </c>
      <c r="AI671">
        <v>6</v>
      </c>
      <c r="AJ671">
        <v>0</v>
      </c>
      <c r="AK671">
        <v>6</v>
      </c>
      <c r="AL671" t="s">
        <v>153</v>
      </c>
      <c r="AM671" t="s">
        <v>154</v>
      </c>
      <c r="AN671" t="s">
        <v>155</v>
      </c>
      <c r="AO671" t="s">
        <v>3037</v>
      </c>
      <c r="AP671" t="s">
        <v>74</v>
      </c>
      <c r="AQ671" t="s">
        <v>74</v>
      </c>
      <c r="AR671" t="s">
        <v>3038</v>
      </c>
      <c r="AS671" t="s">
        <v>3039</v>
      </c>
      <c r="AT671" t="s">
        <v>12668</v>
      </c>
      <c r="AU671">
        <v>2019</v>
      </c>
      <c r="AV671">
        <v>9</v>
      </c>
      <c r="AW671">
        <v>3</v>
      </c>
      <c r="AX671" t="s">
        <v>74</v>
      </c>
      <c r="AY671" t="s">
        <v>74</v>
      </c>
      <c r="AZ671" t="s">
        <v>74</v>
      </c>
      <c r="BA671" t="s">
        <v>74</v>
      </c>
      <c r="BB671">
        <v>1431</v>
      </c>
      <c r="BC671">
        <v>1436</v>
      </c>
      <c r="BD671" t="s">
        <v>74</v>
      </c>
      <c r="BE671" t="s">
        <v>13156</v>
      </c>
      <c r="BF671" t="str">
        <f>HYPERLINK("http://dx.doi.org/10.1002/ece3.4863","http://dx.doi.org/10.1002/ece3.4863")</f>
        <v>http://dx.doi.org/10.1002/ece3.4863</v>
      </c>
      <c r="BG671" t="s">
        <v>74</v>
      </c>
      <c r="BH671" t="s">
        <v>74</v>
      </c>
      <c r="BI671">
        <v>6</v>
      </c>
      <c r="BJ671" t="s">
        <v>3041</v>
      </c>
      <c r="BK671" t="s">
        <v>102</v>
      </c>
      <c r="BL671" t="s">
        <v>3042</v>
      </c>
      <c r="BM671" t="s">
        <v>13157</v>
      </c>
      <c r="BN671">
        <v>30805171</v>
      </c>
      <c r="BO671" t="s">
        <v>851</v>
      </c>
      <c r="BP671" t="s">
        <v>74</v>
      </c>
      <c r="BQ671" t="s">
        <v>74</v>
      </c>
      <c r="BR671" t="s">
        <v>107</v>
      </c>
      <c r="BS671" t="s">
        <v>13158</v>
      </c>
      <c r="BT671" t="str">
        <f>HYPERLINK("https%3A%2F%2Fwww.webofscience.com%2Fwos%2Fwoscc%2Ffull-record%2FWOS:000461112200041","View Full Record in Web of Science")</f>
        <v>View Full Record in Web of Science</v>
      </c>
    </row>
    <row r="672" spans="1:72" x14ac:dyDescent="0.15">
      <c r="A672" t="s">
        <v>72</v>
      </c>
      <c r="B672" t="s">
        <v>13159</v>
      </c>
      <c r="C672" t="s">
        <v>74</v>
      </c>
      <c r="D672" t="s">
        <v>74</v>
      </c>
      <c r="E672" t="s">
        <v>74</v>
      </c>
      <c r="F672" t="s">
        <v>13160</v>
      </c>
      <c r="G672" t="s">
        <v>74</v>
      </c>
      <c r="H672" t="s">
        <v>74</v>
      </c>
      <c r="I672" t="s">
        <v>13161</v>
      </c>
      <c r="J672" t="s">
        <v>3458</v>
      </c>
      <c r="K672" t="s">
        <v>74</v>
      </c>
      <c r="L672" t="s">
        <v>74</v>
      </c>
      <c r="M672" t="s">
        <v>78</v>
      </c>
      <c r="N672" t="s">
        <v>79</v>
      </c>
      <c r="O672" t="s">
        <v>74</v>
      </c>
      <c r="P672" t="s">
        <v>74</v>
      </c>
      <c r="Q672" t="s">
        <v>74</v>
      </c>
      <c r="R672" t="s">
        <v>74</v>
      </c>
      <c r="S672" t="s">
        <v>74</v>
      </c>
      <c r="T672" t="s">
        <v>13162</v>
      </c>
      <c r="U672" t="s">
        <v>13163</v>
      </c>
      <c r="V672" t="s">
        <v>13164</v>
      </c>
      <c r="W672" t="s">
        <v>13165</v>
      </c>
      <c r="X672" t="s">
        <v>13166</v>
      </c>
      <c r="Y672" t="s">
        <v>13167</v>
      </c>
      <c r="Z672" t="s">
        <v>13168</v>
      </c>
      <c r="AA672" t="s">
        <v>13169</v>
      </c>
      <c r="AB672" t="s">
        <v>13170</v>
      </c>
      <c r="AC672" t="s">
        <v>13171</v>
      </c>
      <c r="AD672" t="s">
        <v>13172</v>
      </c>
      <c r="AE672" t="s">
        <v>13173</v>
      </c>
      <c r="AF672" t="s">
        <v>74</v>
      </c>
      <c r="AG672">
        <v>31</v>
      </c>
      <c r="AH672">
        <v>5</v>
      </c>
      <c r="AI672">
        <v>5</v>
      </c>
      <c r="AJ672">
        <v>0</v>
      </c>
      <c r="AK672">
        <v>5</v>
      </c>
      <c r="AL672" t="s">
        <v>2011</v>
      </c>
      <c r="AM672" t="s">
        <v>2012</v>
      </c>
      <c r="AN672" t="s">
        <v>2013</v>
      </c>
      <c r="AO672" t="s">
        <v>3471</v>
      </c>
      <c r="AP672" t="s">
        <v>74</v>
      </c>
      <c r="AQ672" t="s">
        <v>74</v>
      </c>
      <c r="AR672" t="s">
        <v>3472</v>
      </c>
      <c r="AS672" t="s">
        <v>3473</v>
      </c>
      <c r="AT672" t="s">
        <v>12668</v>
      </c>
      <c r="AU672">
        <v>2019</v>
      </c>
      <c r="AV672">
        <v>10</v>
      </c>
      <c r="AW672">
        <v>2</v>
      </c>
      <c r="AX672" t="s">
        <v>74</v>
      </c>
      <c r="AY672" t="s">
        <v>74</v>
      </c>
      <c r="AZ672" t="s">
        <v>74</v>
      </c>
      <c r="BA672" t="s">
        <v>74</v>
      </c>
      <c r="BB672" t="s">
        <v>74</v>
      </c>
      <c r="BC672" t="s">
        <v>74</v>
      </c>
      <c r="BD672">
        <v>102</v>
      </c>
      <c r="BE672" t="s">
        <v>13174</v>
      </c>
      <c r="BF672" t="str">
        <f>HYPERLINK("http://dx.doi.org/10.3390/atmos10020102","http://dx.doi.org/10.3390/atmos10020102")</f>
        <v>http://dx.doi.org/10.3390/atmos10020102</v>
      </c>
      <c r="BG672" t="s">
        <v>74</v>
      </c>
      <c r="BH672" t="s">
        <v>74</v>
      </c>
      <c r="BI672">
        <v>18</v>
      </c>
      <c r="BJ672" t="s">
        <v>1060</v>
      </c>
      <c r="BK672" t="s">
        <v>102</v>
      </c>
      <c r="BL672" t="s">
        <v>338</v>
      </c>
      <c r="BM672" t="s">
        <v>13175</v>
      </c>
      <c r="BN672" t="s">
        <v>74</v>
      </c>
      <c r="BO672" t="s">
        <v>1601</v>
      </c>
      <c r="BP672" t="s">
        <v>74</v>
      </c>
      <c r="BQ672" t="s">
        <v>74</v>
      </c>
      <c r="BR672" t="s">
        <v>107</v>
      </c>
      <c r="BS672" t="s">
        <v>13176</v>
      </c>
      <c r="BT672" t="str">
        <f>HYPERLINK("https%3A%2F%2Fwww.webofscience.com%2Fwos%2Fwoscc%2Ffull-record%2FWOS:000460697800062","View Full Record in Web of Science")</f>
        <v>View Full Record in Web of Science</v>
      </c>
    </row>
    <row r="673" spans="1:72" x14ac:dyDescent="0.15">
      <c r="A673" t="s">
        <v>72</v>
      </c>
      <c r="B673" t="s">
        <v>13177</v>
      </c>
      <c r="C673" t="s">
        <v>74</v>
      </c>
      <c r="D673" t="s">
        <v>74</v>
      </c>
      <c r="E673" t="s">
        <v>74</v>
      </c>
      <c r="F673" t="s">
        <v>13178</v>
      </c>
      <c r="G673" t="s">
        <v>74</v>
      </c>
      <c r="H673" t="s">
        <v>74</v>
      </c>
      <c r="I673" t="s">
        <v>13179</v>
      </c>
      <c r="J673" t="s">
        <v>3458</v>
      </c>
      <c r="K673" t="s">
        <v>74</v>
      </c>
      <c r="L673" t="s">
        <v>74</v>
      </c>
      <c r="M673" t="s">
        <v>78</v>
      </c>
      <c r="N673" t="s">
        <v>79</v>
      </c>
      <c r="O673" t="s">
        <v>74</v>
      </c>
      <c r="P673" t="s">
        <v>74</v>
      </c>
      <c r="Q673" t="s">
        <v>74</v>
      </c>
      <c r="R673" t="s">
        <v>74</v>
      </c>
      <c r="S673" t="s">
        <v>74</v>
      </c>
      <c r="T673" t="s">
        <v>13180</v>
      </c>
      <c r="U673" t="s">
        <v>13181</v>
      </c>
      <c r="V673" t="s">
        <v>13182</v>
      </c>
      <c r="W673" t="s">
        <v>13183</v>
      </c>
      <c r="X673" t="s">
        <v>13184</v>
      </c>
      <c r="Y673" t="s">
        <v>13185</v>
      </c>
      <c r="Z673" t="s">
        <v>13186</v>
      </c>
      <c r="AA673" t="s">
        <v>13187</v>
      </c>
      <c r="AB673" t="s">
        <v>13188</v>
      </c>
      <c r="AC673" t="s">
        <v>13189</v>
      </c>
      <c r="AD673" t="s">
        <v>13190</v>
      </c>
      <c r="AE673" t="s">
        <v>13191</v>
      </c>
      <c r="AF673" t="s">
        <v>74</v>
      </c>
      <c r="AG673">
        <v>132</v>
      </c>
      <c r="AH673">
        <v>31</v>
      </c>
      <c r="AI673">
        <v>33</v>
      </c>
      <c r="AJ673">
        <v>3</v>
      </c>
      <c r="AK673">
        <v>55</v>
      </c>
      <c r="AL673" t="s">
        <v>2011</v>
      </c>
      <c r="AM673" t="s">
        <v>2012</v>
      </c>
      <c r="AN673" t="s">
        <v>2013</v>
      </c>
      <c r="AO673" t="s">
        <v>74</v>
      </c>
      <c r="AP673" t="s">
        <v>3471</v>
      </c>
      <c r="AQ673" t="s">
        <v>74</v>
      </c>
      <c r="AR673" t="s">
        <v>3472</v>
      </c>
      <c r="AS673" t="s">
        <v>3473</v>
      </c>
      <c r="AT673" t="s">
        <v>12668</v>
      </c>
      <c r="AU673">
        <v>2019</v>
      </c>
      <c r="AV673">
        <v>10</v>
      </c>
      <c r="AW673">
        <v>2</v>
      </c>
      <c r="AX673" t="s">
        <v>74</v>
      </c>
      <c r="AY673" t="s">
        <v>74</v>
      </c>
      <c r="AZ673" t="s">
        <v>74</v>
      </c>
      <c r="BA673" t="s">
        <v>74</v>
      </c>
      <c r="BB673" t="s">
        <v>74</v>
      </c>
      <c r="BC673" t="s">
        <v>74</v>
      </c>
      <c r="BD673">
        <v>54</v>
      </c>
      <c r="BE673" t="s">
        <v>13192</v>
      </c>
      <c r="BF673" t="str">
        <f>HYPERLINK("http://dx.doi.org/10.3390/atmos10020054","http://dx.doi.org/10.3390/atmos10020054")</f>
        <v>http://dx.doi.org/10.3390/atmos10020054</v>
      </c>
      <c r="BG673" t="s">
        <v>74</v>
      </c>
      <c r="BH673" t="s">
        <v>74</v>
      </c>
      <c r="BI673">
        <v>32</v>
      </c>
      <c r="BJ673" t="s">
        <v>1060</v>
      </c>
      <c r="BK673" t="s">
        <v>102</v>
      </c>
      <c r="BL673" t="s">
        <v>338</v>
      </c>
      <c r="BM673" t="s">
        <v>13175</v>
      </c>
      <c r="BN673" t="s">
        <v>74</v>
      </c>
      <c r="BO673" t="s">
        <v>135</v>
      </c>
      <c r="BP673" t="s">
        <v>74</v>
      </c>
      <c r="BQ673" t="s">
        <v>74</v>
      </c>
      <c r="BR673" t="s">
        <v>107</v>
      </c>
      <c r="BS673" t="s">
        <v>13193</v>
      </c>
      <c r="BT673" t="str">
        <f>HYPERLINK("https%3A%2F%2Fwww.webofscience.com%2Fwos%2Fwoscc%2Ffull-record%2FWOS:000460697800014","View Full Record in Web of Science")</f>
        <v>View Full Record in Web of Science</v>
      </c>
    </row>
    <row r="674" spans="1:72" x14ac:dyDescent="0.15">
      <c r="A674" t="s">
        <v>72</v>
      </c>
      <c r="B674" t="s">
        <v>13194</v>
      </c>
      <c r="C674" t="s">
        <v>74</v>
      </c>
      <c r="D674" t="s">
        <v>74</v>
      </c>
      <c r="E674" t="s">
        <v>74</v>
      </c>
      <c r="F674" t="s">
        <v>13195</v>
      </c>
      <c r="G674" t="s">
        <v>74</v>
      </c>
      <c r="H674" t="s">
        <v>74</v>
      </c>
      <c r="I674" t="s">
        <v>13196</v>
      </c>
      <c r="J674" t="s">
        <v>13197</v>
      </c>
      <c r="K674" t="s">
        <v>74</v>
      </c>
      <c r="L674" t="s">
        <v>74</v>
      </c>
      <c r="M674" t="s">
        <v>78</v>
      </c>
      <c r="N674" t="s">
        <v>79</v>
      </c>
      <c r="O674" t="s">
        <v>74</v>
      </c>
      <c r="P674" t="s">
        <v>74</v>
      </c>
      <c r="Q674" t="s">
        <v>74</v>
      </c>
      <c r="R674" t="s">
        <v>74</v>
      </c>
      <c r="S674" t="s">
        <v>74</v>
      </c>
      <c r="T674" t="s">
        <v>13198</v>
      </c>
      <c r="U674" t="s">
        <v>13199</v>
      </c>
      <c r="V674" t="s">
        <v>13200</v>
      </c>
      <c r="W674" t="s">
        <v>13201</v>
      </c>
      <c r="X674" t="s">
        <v>13202</v>
      </c>
      <c r="Y674" t="s">
        <v>13203</v>
      </c>
      <c r="Z674" t="s">
        <v>13204</v>
      </c>
      <c r="AA674" t="s">
        <v>74</v>
      </c>
      <c r="AB674" t="s">
        <v>74</v>
      </c>
      <c r="AC674" t="s">
        <v>13205</v>
      </c>
      <c r="AD674" t="s">
        <v>13206</v>
      </c>
      <c r="AE674" t="s">
        <v>13207</v>
      </c>
      <c r="AF674" t="s">
        <v>74</v>
      </c>
      <c r="AG674">
        <v>26</v>
      </c>
      <c r="AH674">
        <v>1</v>
      </c>
      <c r="AI674">
        <v>1</v>
      </c>
      <c r="AJ674">
        <v>0</v>
      </c>
      <c r="AK674">
        <v>4</v>
      </c>
      <c r="AL674" t="s">
        <v>662</v>
      </c>
      <c r="AM674" t="s">
        <v>635</v>
      </c>
      <c r="AN674" t="s">
        <v>663</v>
      </c>
      <c r="AO674" t="s">
        <v>13208</v>
      </c>
      <c r="AP674" t="s">
        <v>13209</v>
      </c>
      <c r="AQ674" t="s">
        <v>74</v>
      </c>
      <c r="AR674" t="s">
        <v>13210</v>
      </c>
      <c r="AS674" t="s">
        <v>13211</v>
      </c>
      <c r="AT674" t="s">
        <v>12668</v>
      </c>
      <c r="AU674">
        <v>2019</v>
      </c>
      <c r="AV674">
        <v>261</v>
      </c>
      <c r="AW674" t="s">
        <v>74</v>
      </c>
      <c r="AX674" t="s">
        <v>74</v>
      </c>
      <c r="AY674" t="s">
        <v>74</v>
      </c>
      <c r="AZ674" t="s">
        <v>74</v>
      </c>
      <c r="BA674" t="s">
        <v>74</v>
      </c>
      <c r="BB674">
        <v>95</v>
      </c>
      <c r="BC674">
        <v>102</v>
      </c>
      <c r="BD674" t="s">
        <v>74</v>
      </c>
      <c r="BE674" t="s">
        <v>13212</v>
      </c>
      <c r="BF674" t="str">
        <f>HYPERLINK("http://dx.doi.org/10.1016/j.revpalbo.2018.11.006","http://dx.doi.org/10.1016/j.revpalbo.2018.11.006")</f>
        <v>http://dx.doi.org/10.1016/j.revpalbo.2018.11.006</v>
      </c>
      <c r="BG674" t="s">
        <v>74</v>
      </c>
      <c r="BH674" t="s">
        <v>74</v>
      </c>
      <c r="BI674">
        <v>8</v>
      </c>
      <c r="BJ674" t="s">
        <v>13213</v>
      </c>
      <c r="BK674" t="s">
        <v>102</v>
      </c>
      <c r="BL674" t="s">
        <v>13213</v>
      </c>
      <c r="BM674" t="s">
        <v>13214</v>
      </c>
      <c r="BN674" t="s">
        <v>74</v>
      </c>
      <c r="BO674" t="s">
        <v>74</v>
      </c>
      <c r="BP674" t="s">
        <v>74</v>
      </c>
      <c r="BQ674" t="s">
        <v>74</v>
      </c>
      <c r="BR674" t="s">
        <v>107</v>
      </c>
      <c r="BS674" t="s">
        <v>13215</v>
      </c>
      <c r="BT674" t="str">
        <f>HYPERLINK("https%3A%2F%2Fwww.webofscience.com%2Fwos%2Fwoscc%2Ffull-record%2FWOS:000460712200009","View Full Record in Web of Science")</f>
        <v>View Full Record in Web of Science</v>
      </c>
    </row>
    <row r="675" spans="1:72" x14ac:dyDescent="0.15">
      <c r="A675" t="s">
        <v>72</v>
      </c>
      <c r="B675" t="s">
        <v>13216</v>
      </c>
      <c r="C675" t="s">
        <v>74</v>
      </c>
      <c r="D675" t="s">
        <v>74</v>
      </c>
      <c r="E675" t="s">
        <v>74</v>
      </c>
      <c r="F675" t="s">
        <v>13217</v>
      </c>
      <c r="G675" t="s">
        <v>74</v>
      </c>
      <c r="H675" t="s">
        <v>74</v>
      </c>
      <c r="I675" t="s">
        <v>13218</v>
      </c>
      <c r="J675" t="s">
        <v>13219</v>
      </c>
      <c r="K675" t="s">
        <v>74</v>
      </c>
      <c r="L675" t="s">
        <v>74</v>
      </c>
      <c r="M675" t="s">
        <v>78</v>
      </c>
      <c r="N675" t="s">
        <v>79</v>
      </c>
      <c r="O675" t="s">
        <v>74</v>
      </c>
      <c r="P675" t="s">
        <v>74</v>
      </c>
      <c r="Q675" t="s">
        <v>74</v>
      </c>
      <c r="R675" t="s">
        <v>74</v>
      </c>
      <c r="S675" t="s">
        <v>74</v>
      </c>
      <c r="T675" t="s">
        <v>13220</v>
      </c>
      <c r="U675" t="s">
        <v>13221</v>
      </c>
      <c r="V675" t="s">
        <v>13222</v>
      </c>
      <c r="W675" t="s">
        <v>13223</v>
      </c>
      <c r="X675" t="s">
        <v>4726</v>
      </c>
      <c r="Y675" t="s">
        <v>13224</v>
      </c>
      <c r="Z675" t="s">
        <v>13225</v>
      </c>
      <c r="AA675" t="s">
        <v>13226</v>
      </c>
      <c r="AB675" t="s">
        <v>13227</v>
      </c>
      <c r="AC675" t="s">
        <v>13228</v>
      </c>
      <c r="AD675" t="s">
        <v>13229</v>
      </c>
      <c r="AE675" t="s">
        <v>13230</v>
      </c>
      <c r="AF675" t="s">
        <v>74</v>
      </c>
      <c r="AG675">
        <v>88</v>
      </c>
      <c r="AH675">
        <v>21</v>
      </c>
      <c r="AI675">
        <v>23</v>
      </c>
      <c r="AJ675">
        <v>4</v>
      </c>
      <c r="AK675">
        <v>26</v>
      </c>
      <c r="AL675" t="s">
        <v>2011</v>
      </c>
      <c r="AM675" t="s">
        <v>2012</v>
      </c>
      <c r="AN675" t="s">
        <v>2013</v>
      </c>
      <c r="AO675" t="s">
        <v>13231</v>
      </c>
      <c r="AP675" t="s">
        <v>74</v>
      </c>
      <c r="AQ675" t="s">
        <v>74</v>
      </c>
      <c r="AR675" t="s">
        <v>13219</v>
      </c>
      <c r="AS675" t="s">
        <v>13232</v>
      </c>
      <c r="AT675" t="s">
        <v>12668</v>
      </c>
      <c r="AU675">
        <v>2019</v>
      </c>
      <c r="AV675">
        <v>11</v>
      </c>
      <c r="AW675">
        <v>2</v>
      </c>
      <c r="AX675" t="s">
        <v>74</v>
      </c>
      <c r="AY675" t="s">
        <v>74</v>
      </c>
      <c r="AZ675" t="s">
        <v>74</v>
      </c>
      <c r="BA675" t="s">
        <v>74</v>
      </c>
      <c r="BB675" t="s">
        <v>74</v>
      </c>
      <c r="BC675" t="s">
        <v>74</v>
      </c>
      <c r="BD675">
        <v>95</v>
      </c>
      <c r="BE675" t="s">
        <v>13233</v>
      </c>
      <c r="BF675" t="str">
        <f>HYPERLINK("http://dx.doi.org/10.3390/v11020095","http://dx.doi.org/10.3390/v11020095")</f>
        <v>http://dx.doi.org/10.3390/v11020095</v>
      </c>
      <c r="BG675" t="s">
        <v>74</v>
      </c>
      <c r="BH675" t="s">
        <v>74</v>
      </c>
      <c r="BI675">
        <v>19</v>
      </c>
      <c r="BJ675" t="s">
        <v>13234</v>
      </c>
      <c r="BK675" t="s">
        <v>102</v>
      </c>
      <c r="BL675" t="s">
        <v>13234</v>
      </c>
      <c r="BM675" t="s">
        <v>13235</v>
      </c>
      <c r="BN675">
        <v>30678352</v>
      </c>
      <c r="BO675" t="s">
        <v>6155</v>
      </c>
      <c r="BP675" t="s">
        <v>74</v>
      </c>
      <c r="BQ675" t="s">
        <v>74</v>
      </c>
      <c r="BR675" t="s">
        <v>107</v>
      </c>
      <c r="BS675" t="s">
        <v>13236</v>
      </c>
      <c r="BT675" t="str">
        <f>HYPERLINK("https%3A%2F%2Fwww.webofscience.com%2Fwos%2Fwoscc%2Ffull-record%2FWOS:000460803200005","View Full Record in Web of Science")</f>
        <v>View Full Record in Web of Science</v>
      </c>
    </row>
    <row r="676" spans="1:72" x14ac:dyDescent="0.15">
      <c r="A676" t="s">
        <v>72</v>
      </c>
      <c r="B676" t="s">
        <v>13237</v>
      </c>
      <c r="C676" t="s">
        <v>74</v>
      </c>
      <c r="D676" t="s">
        <v>74</v>
      </c>
      <c r="E676" t="s">
        <v>74</v>
      </c>
      <c r="F676" t="s">
        <v>13238</v>
      </c>
      <c r="G676" t="s">
        <v>74</v>
      </c>
      <c r="H676" t="s">
        <v>74</v>
      </c>
      <c r="I676" t="s">
        <v>13239</v>
      </c>
      <c r="J676" t="s">
        <v>13219</v>
      </c>
      <c r="K676" t="s">
        <v>74</v>
      </c>
      <c r="L676" t="s">
        <v>74</v>
      </c>
      <c r="M676" t="s">
        <v>78</v>
      </c>
      <c r="N676" t="s">
        <v>469</v>
      </c>
      <c r="O676" t="s">
        <v>74</v>
      </c>
      <c r="P676" t="s">
        <v>74</v>
      </c>
      <c r="Q676" t="s">
        <v>74</v>
      </c>
      <c r="R676" t="s">
        <v>74</v>
      </c>
      <c r="S676" t="s">
        <v>74</v>
      </c>
      <c r="T676" t="s">
        <v>13240</v>
      </c>
      <c r="U676" t="s">
        <v>13241</v>
      </c>
      <c r="V676" t="s">
        <v>13242</v>
      </c>
      <c r="W676" t="s">
        <v>13243</v>
      </c>
      <c r="X676" t="s">
        <v>13244</v>
      </c>
      <c r="Y676" t="s">
        <v>13245</v>
      </c>
      <c r="Z676" t="s">
        <v>13246</v>
      </c>
      <c r="AA676" t="s">
        <v>13247</v>
      </c>
      <c r="AB676" t="s">
        <v>13248</v>
      </c>
      <c r="AC676" t="s">
        <v>13249</v>
      </c>
      <c r="AD676" t="s">
        <v>13249</v>
      </c>
      <c r="AE676" t="s">
        <v>13250</v>
      </c>
      <c r="AF676" t="s">
        <v>74</v>
      </c>
      <c r="AG676">
        <v>84</v>
      </c>
      <c r="AH676">
        <v>24</v>
      </c>
      <c r="AI676">
        <v>27</v>
      </c>
      <c r="AJ676">
        <v>7</v>
      </c>
      <c r="AK676">
        <v>45</v>
      </c>
      <c r="AL676" t="s">
        <v>2011</v>
      </c>
      <c r="AM676" t="s">
        <v>2012</v>
      </c>
      <c r="AN676" t="s">
        <v>2013</v>
      </c>
      <c r="AO676" t="s">
        <v>13231</v>
      </c>
      <c r="AP676" t="s">
        <v>74</v>
      </c>
      <c r="AQ676" t="s">
        <v>74</v>
      </c>
      <c r="AR676" t="s">
        <v>13219</v>
      </c>
      <c r="AS676" t="s">
        <v>13232</v>
      </c>
      <c r="AT676" t="s">
        <v>12668</v>
      </c>
      <c r="AU676">
        <v>2019</v>
      </c>
      <c r="AV676">
        <v>11</v>
      </c>
      <c r="AW676">
        <v>2</v>
      </c>
      <c r="AX676" t="s">
        <v>74</v>
      </c>
      <c r="AY676" t="s">
        <v>74</v>
      </c>
      <c r="AZ676" t="s">
        <v>74</v>
      </c>
      <c r="BA676" t="s">
        <v>74</v>
      </c>
      <c r="BB676" t="s">
        <v>74</v>
      </c>
      <c r="BC676" t="s">
        <v>74</v>
      </c>
      <c r="BD676">
        <v>189</v>
      </c>
      <c r="BE676" t="s">
        <v>13251</v>
      </c>
      <c r="BF676" t="str">
        <f>HYPERLINK("http://dx.doi.org/10.3390/v11020189","http://dx.doi.org/10.3390/v11020189")</f>
        <v>http://dx.doi.org/10.3390/v11020189</v>
      </c>
      <c r="BG676" t="s">
        <v>74</v>
      </c>
      <c r="BH676" t="s">
        <v>74</v>
      </c>
      <c r="BI676">
        <v>15</v>
      </c>
      <c r="BJ676" t="s">
        <v>13234</v>
      </c>
      <c r="BK676" t="s">
        <v>102</v>
      </c>
      <c r="BL676" t="s">
        <v>13234</v>
      </c>
      <c r="BM676" t="s">
        <v>13235</v>
      </c>
      <c r="BN676">
        <v>30813316</v>
      </c>
      <c r="BO676" t="s">
        <v>879</v>
      </c>
      <c r="BP676" t="s">
        <v>74</v>
      </c>
      <c r="BQ676" t="s">
        <v>74</v>
      </c>
      <c r="BR676" t="s">
        <v>107</v>
      </c>
      <c r="BS676" t="s">
        <v>13252</v>
      </c>
      <c r="BT676" t="str">
        <f>HYPERLINK("https%3A%2F%2Fwww.webofscience.com%2Fwos%2Fwoscc%2Ffull-record%2FWOS:000460803200099","View Full Record in Web of Science")</f>
        <v>View Full Record in Web of Science</v>
      </c>
    </row>
    <row r="677" spans="1:72" x14ac:dyDescent="0.15">
      <c r="A677" t="s">
        <v>72</v>
      </c>
      <c r="B677" t="s">
        <v>13253</v>
      </c>
      <c r="C677" t="s">
        <v>74</v>
      </c>
      <c r="D677" t="s">
        <v>74</v>
      </c>
      <c r="E677" t="s">
        <v>74</v>
      </c>
      <c r="F677" t="s">
        <v>13254</v>
      </c>
      <c r="G677" t="s">
        <v>74</v>
      </c>
      <c r="H677" t="s">
        <v>74</v>
      </c>
      <c r="I677" t="s">
        <v>13255</v>
      </c>
      <c r="J677" t="s">
        <v>8089</v>
      </c>
      <c r="K677" t="s">
        <v>74</v>
      </c>
      <c r="L677" t="s">
        <v>74</v>
      </c>
      <c r="M677" t="s">
        <v>78</v>
      </c>
      <c r="N677" t="s">
        <v>590</v>
      </c>
      <c r="O677" t="s">
        <v>13256</v>
      </c>
      <c r="P677" t="s">
        <v>13257</v>
      </c>
      <c r="Q677" t="s">
        <v>13258</v>
      </c>
      <c r="R677" t="s">
        <v>74</v>
      </c>
      <c r="S677" t="s">
        <v>13259</v>
      </c>
      <c r="T677" t="s">
        <v>13260</v>
      </c>
      <c r="U677" t="s">
        <v>13261</v>
      </c>
      <c r="V677" t="s">
        <v>13262</v>
      </c>
      <c r="W677" t="s">
        <v>13263</v>
      </c>
      <c r="X677" t="s">
        <v>13264</v>
      </c>
      <c r="Y677" t="s">
        <v>13265</v>
      </c>
      <c r="Z677" t="s">
        <v>13266</v>
      </c>
      <c r="AA677" t="s">
        <v>13267</v>
      </c>
      <c r="AB677" t="s">
        <v>13268</v>
      </c>
      <c r="AC677" t="s">
        <v>13269</v>
      </c>
      <c r="AD677" t="s">
        <v>13270</v>
      </c>
      <c r="AE677" t="s">
        <v>13271</v>
      </c>
      <c r="AF677" t="s">
        <v>74</v>
      </c>
      <c r="AG677">
        <v>50</v>
      </c>
      <c r="AH677">
        <v>3</v>
      </c>
      <c r="AI677">
        <v>3</v>
      </c>
      <c r="AJ677">
        <v>1</v>
      </c>
      <c r="AK677">
        <v>10</v>
      </c>
      <c r="AL677" t="s">
        <v>378</v>
      </c>
      <c r="AM677" t="s">
        <v>93</v>
      </c>
      <c r="AN677" t="s">
        <v>379</v>
      </c>
      <c r="AO677" t="s">
        <v>8105</v>
      </c>
      <c r="AP677" t="s">
        <v>8106</v>
      </c>
      <c r="AQ677" t="s">
        <v>74</v>
      </c>
      <c r="AR677" t="s">
        <v>8107</v>
      </c>
      <c r="AS677" t="s">
        <v>8108</v>
      </c>
      <c r="AT677" t="s">
        <v>12668</v>
      </c>
      <c r="AU677">
        <v>2019</v>
      </c>
      <c r="AV677">
        <v>160</v>
      </c>
      <c r="AW677" t="s">
        <v>74</v>
      </c>
      <c r="AX677" t="s">
        <v>74</v>
      </c>
      <c r="AY677" t="s">
        <v>74</v>
      </c>
      <c r="AZ677" t="s">
        <v>247</v>
      </c>
      <c r="BA677" t="s">
        <v>74</v>
      </c>
      <c r="BB677">
        <v>16</v>
      </c>
      <c r="BC677">
        <v>24</v>
      </c>
      <c r="BD677" t="s">
        <v>74</v>
      </c>
      <c r="BE677" t="s">
        <v>13272</v>
      </c>
      <c r="BF677" t="str">
        <f>HYPERLINK("http://dx.doi.org/10.1016/j.dsr2.2019.01.005","http://dx.doi.org/10.1016/j.dsr2.2019.01.005")</f>
        <v>http://dx.doi.org/10.1016/j.dsr2.2019.01.005</v>
      </c>
      <c r="BG677" t="s">
        <v>74</v>
      </c>
      <c r="BH677" t="s">
        <v>74</v>
      </c>
      <c r="BI677">
        <v>9</v>
      </c>
      <c r="BJ677" t="s">
        <v>277</v>
      </c>
      <c r="BK677" t="s">
        <v>615</v>
      </c>
      <c r="BL677" t="s">
        <v>277</v>
      </c>
      <c r="BM677" t="s">
        <v>13273</v>
      </c>
      <c r="BN677" t="s">
        <v>74</v>
      </c>
      <c r="BO677" t="s">
        <v>74</v>
      </c>
      <c r="BP677" t="s">
        <v>74</v>
      </c>
      <c r="BQ677" t="s">
        <v>74</v>
      </c>
      <c r="BR677" t="s">
        <v>107</v>
      </c>
      <c r="BS677" t="s">
        <v>13274</v>
      </c>
      <c r="BT677" t="str">
        <f>HYPERLINK("https%3A%2F%2Fwww.webofscience.com%2Fwos%2Fwoscc%2Ffull-record%2FWOS:000460825500004","View Full Record in Web of Science")</f>
        <v>View Full Record in Web of Science</v>
      </c>
    </row>
    <row r="678" spans="1:72" x14ac:dyDescent="0.15">
      <c r="A678" t="s">
        <v>72</v>
      </c>
      <c r="B678" t="s">
        <v>13275</v>
      </c>
      <c r="C678" t="s">
        <v>74</v>
      </c>
      <c r="D678" t="s">
        <v>74</v>
      </c>
      <c r="E678" t="s">
        <v>74</v>
      </c>
      <c r="F678" t="s">
        <v>13276</v>
      </c>
      <c r="G678" t="s">
        <v>74</v>
      </c>
      <c r="H678" t="s">
        <v>74</v>
      </c>
      <c r="I678" t="s">
        <v>13277</v>
      </c>
      <c r="J678" t="s">
        <v>8089</v>
      </c>
      <c r="K678" t="s">
        <v>74</v>
      </c>
      <c r="L678" t="s">
        <v>74</v>
      </c>
      <c r="M678" t="s">
        <v>78</v>
      </c>
      <c r="N678" t="s">
        <v>590</v>
      </c>
      <c r="O678" t="s">
        <v>13256</v>
      </c>
      <c r="P678" t="s">
        <v>13257</v>
      </c>
      <c r="Q678" t="s">
        <v>13258</v>
      </c>
      <c r="R678" t="s">
        <v>74</v>
      </c>
      <c r="S678" t="s">
        <v>13259</v>
      </c>
      <c r="T678" t="s">
        <v>13278</v>
      </c>
      <c r="U678" t="s">
        <v>13279</v>
      </c>
      <c r="V678" t="s">
        <v>13280</v>
      </c>
      <c r="W678" t="s">
        <v>13281</v>
      </c>
      <c r="X678" t="s">
        <v>13282</v>
      </c>
      <c r="Y678" t="s">
        <v>13283</v>
      </c>
      <c r="Z678" t="s">
        <v>13284</v>
      </c>
      <c r="AA678" t="s">
        <v>74</v>
      </c>
      <c r="AB678" t="s">
        <v>74</v>
      </c>
      <c r="AC678" t="s">
        <v>74</v>
      </c>
      <c r="AD678" t="s">
        <v>74</v>
      </c>
      <c r="AE678" t="s">
        <v>74</v>
      </c>
      <c r="AF678" t="s">
        <v>74</v>
      </c>
      <c r="AG678">
        <v>29</v>
      </c>
      <c r="AH678">
        <v>3</v>
      </c>
      <c r="AI678">
        <v>3</v>
      </c>
      <c r="AJ678">
        <v>0</v>
      </c>
      <c r="AK678">
        <v>2</v>
      </c>
      <c r="AL678" t="s">
        <v>378</v>
      </c>
      <c r="AM678" t="s">
        <v>93</v>
      </c>
      <c r="AN678" t="s">
        <v>379</v>
      </c>
      <c r="AO678" t="s">
        <v>8105</v>
      </c>
      <c r="AP678" t="s">
        <v>8106</v>
      </c>
      <c r="AQ678" t="s">
        <v>74</v>
      </c>
      <c r="AR678" t="s">
        <v>8107</v>
      </c>
      <c r="AS678" t="s">
        <v>8108</v>
      </c>
      <c r="AT678" t="s">
        <v>12668</v>
      </c>
      <c r="AU678">
        <v>2019</v>
      </c>
      <c r="AV678">
        <v>160</v>
      </c>
      <c r="AW678" t="s">
        <v>74</v>
      </c>
      <c r="AX678" t="s">
        <v>74</v>
      </c>
      <c r="AY678" t="s">
        <v>74</v>
      </c>
      <c r="AZ678" t="s">
        <v>247</v>
      </c>
      <c r="BA678" t="s">
        <v>74</v>
      </c>
      <c r="BB678">
        <v>48</v>
      </c>
      <c r="BC678">
        <v>57</v>
      </c>
      <c r="BD678" t="s">
        <v>74</v>
      </c>
      <c r="BE678" t="s">
        <v>13285</v>
      </c>
      <c r="BF678" t="str">
        <f>HYPERLINK("http://dx.doi.org/10.1016/j.dsr2.2018.08.010","http://dx.doi.org/10.1016/j.dsr2.2018.08.010")</f>
        <v>http://dx.doi.org/10.1016/j.dsr2.2018.08.010</v>
      </c>
      <c r="BG678" t="s">
        <v>74</v>
      </c>
      <c r="BH678" t="s">
        <v>74</v>
      </c>
      <c r="BI678">
        <v>10</v>
      </c>
      <c r="BJ678" t="s">
        <v>277</v>
      </c>
      <c r="BK678" t="s">
        <v>615</v>
      </c>
      <c r="BL678" t="s">
        <v>277</v>
      </c>
      <c r="BM678" t="s">
        <v>13273</v>
      </c>
      <c r="BN678" t="s">
        <v>74</v>
      </c>
      <c r="BO678" t="s">
        <v>74</v>
      </c>
      <c r="BP678" t="s">
        <v>74</v>
      </c>
      <c r="BQ678" t="s">
        <v>74</v>
      </c>
      <c r="BR678" t="s">
        <v>107</v>
      </c>
      <c r="BS678" t="s">
        <v>13286</v>
      </c>
      <c r="BT678" t="str">
        <f>HYPERLINK("https%3A%2F%2Fwww.webofscience.com%2Fwos%2Fwoscc%2Ffull-record%2FWOS:000460825500008","View Full Record in Web of Science")</f>
        <v>View Full Record in Web of Science</v>
      </c>
    </row>
    <row r="679" spans="1:72" x14ac:dyDescent="0.15">
      <c r="A679" t="s">
        <v>72</v>
      </c>
      <c r="B679" t="s">
        <v>9503</v>
      </c>
      <c r="C679" t="s">
        <v>74</v>
      </c>
      <c r="D679" t="s">
        <v>74</v>
      </c>
      <c r="E679" t="s">
        <v>74</v>
      </c>
      <c r="F679" t="s">
        <v>9504</v>
      </c>
      <c r="G679" t="s">
        <v>74</v>
      </c>
      <c r="H679" t="s">
        <v>74</v>
      </c>
      <c r="I679" t="s">
        <v>13287</v>
      </c>
      <c r="J679" t="s">
        <v>8089</v>
      </c>
      <c r="K679" t="s">
        <v>74</v>
      </c>
      <c r="L679" t="s">
        <v>74</v>
      </c>
      <c r="M679" t="s">
        <v>78</v>
      </c>
      <c r="N679" t="s">
        <v>590</v>
      </c>
      <c r="O679" t="s">
        <v>13256</v>
      </c>
      <c r="P679" t="s">
        <v>13257</v>
      </c>
      <c r="Q679" t="s">
        <v>13258</v>
      </c>
      <c r="R679" t="s">
        <v>74</v>
      </c>
      <c r="S679" t="s">
        <v>13259</v>
      </c>
      <c r="T679" t="s">
        <v>74</v>
      </c>
      <c r="U679" t="s">
        <v>13288</v>
      </c>
      <c r="V679" t="s">
        <v>13289</v>
      </c>
      <c r="W679" t="s">
        <v>13290</v>
      </c>
      <c r="X679" t="s">
        <v>13291</v>
      </c>
      <c r="Y679" t="s">
        <v>13292</v>
      </c>
      <c r="Z679" t="s">
        <v>13293</v>
      </c>
      <c r="AA679" t="s">
        <v>9514</v>
      </c>
      <c r="AB679" t="s">
        <v>9515</v>
      </c>
      <c r="AC679" t="s">
        <v>13294</v>
      </c>
      <c r="AD679" t="s">
        <v>13295</v>
      </c>
      <c r="AE679" t="s">
        <v>13296</v>
      </c>
      <c r="AF679" t="s">
        <v>74</v>
      </c>
      <c r="AG679">
        <v>31</v>
      </c>
      <c r="AH679">
        <v>14</v>
      </c>
      <c r="AI679">
        <v>14</v>
      </c>
      <c r="AJ679">
        <v>1</v>
      </c>
      <c r="AK679">
        <v>4</v>
      </c>
      <c r="AL679" t="s">
        <v>378</v>
      </c>
      <c r="AM679" t="s">
        <v>93</v>
      </c>
      <c r="AN679" t="s">
        <v>379</v>
      </c>
      <c r="AO679" t="s">
        <v>8105</v>
      </c>
      <c r="AP679" t="s">
        <v>8106</v>
      </c>
      <c r="AQ679" t="s">
        <v>74</v>
      </c>
      <c r="AR679" t="s">
        <v>8107</v>
      </c>
      <c r="AS679" t="s">
        <v>8108</v>
      </c>
      <c r="AT679" t="s">
        <v>12668</v>
      </c>
      <c r="AU679">
        <v>2019</v>
      </c>
      <c r="AV679">
        <v>160</v>
      </c>
      <c r="AW679" t="s">
        <v>74</v>
      </c>
      <c r="AX679" t="s">
        <v>74</v>
      </c>
      <c r="AY679" t="s">
        <v>74</v>
      </c>
      <c r="AZ679" t="s">
        <v>247</v>
      </c>
      <c r="BA679" t="s">
        <v>74</v>
      </c>
      <c r="BB679">
        <v>58</v>
      </c>
      <c r="BC679">
        <v>62</v>
      </c>
      <c r="BD679" t="s">
        <v>74</v>
      </c>
      <c r="BE679" t="s">
        <v>13297</v>
      </c>
      <c r="BF679" t="str">
        <f>HYPERLINK("http://dx.doi.org/10.1016/j.dsr2.2018.11.014","http://dx.doi.org/10.1016/j.dsr2.2018.11.014")</f>
        <v>http://dx.doi.org/10.1016/j.dsr2.2018.11.014</v>
      </c>
      <c r="BG679" t="s">
        <v>74</v>
      </c>
      <c r="BH679" t="s">
        <v>74</v>
      </c>
      <c r="BI679">
        <v>5</v>
      </c>
      <c r="BJ679" t="s">
        <v>277</v>
      </c>
      <c r="BK679" t="s">
        <v>615</v>
      </c>
      <c r="BL679" t="s">
        <v>277</v>
      </c>
      <c r="BM679" t="s">
        <v>13273</v>
      </c>
      <c r="BN679" t="s">
        <v>74</v>
      </c>
      <c r="BO679" t="s">
        <v>74</v>
      </c>
      <c r="BP679" t="s">
        <v>74</v>
      </c>
      <c r="BQ679" t="s">
        <v>74</v>
      </c>
      <c r="BR679" t="s">
        <v>107</v>
      </c>
      <c r="BS679" t="s">
        <v>13298</v>
      </c>
      <c r="BT679" t="str">
        <f>HYPERLINK("https%3A%2F%2Fwww.webofscience.com%2Fwos%2Fwoscc%2Ffull-record%2FWOS:000460825500009","View Full Record in Web of Science")</f>
        <v>View Full Record in Web of Science</v>
      </c>
    </row>
    <row r="680" spans="1:72" x14ac:dyDescent="0.15">
      <c r="A680" t="s">
        <v>72</v>
      </c>
      <c r="B680" t="s">
        <v>13299</v>
      </c>
      <c r="C680" t="s">
        <v>74</v>
      </c>
      <c r="D680" t="s">
        <v>74</v>
      </c>
      <c r="E680" t="s">
        <v>74</v>
      </c>
      <c r="F680" t="s">
        <v>13300</v>
      </c>
      <c r="G680" t="s">
        <v>74</v>
      </c>
      <c r="H680" t="s">
        <v>74</v>
      </c>
      <c r="I680" t="s">
        <v>13301</v>
      </c>
      <c r="J680" t="s">
        <v>3701</v>
      </c>
      <c r="K680" t="s">
        <v>74</v>
      </c>
      <c r="L680" t="s">
        <v>74</v>
      </c>
      <c r="M680" t="s">
        <v>78</v>
      </c>
      <c r="N680" t="s">
        <v>79</v>
      </c>
      <c r="O680" t="s">
        <v>74</v>
      </c>
      <c r="P680" t="s">
        <v>74</v>
      </c>
      <c r="Q680" t="s">
        <v>74</v>
      </c>
      <c r="R680" t="s">
        <v>74</v>
      </c>
      <c r="S680" t="s">
        <v>74</v>
      </c>
      <c r="T680" t="s">
        <v>13302</v>
      </c>
      <c r="U680" t="s">
        <v>13303</v>
      </c>
      <c r="V680" t="s">
        <v>13304</v>
      </c>
      <c r="W680" t="s">
        <v>13305</v>
      </c>
      <c r="X680" t="s">
        <v>13306</v>
      </c>
      <c r="Y680" t="s">
        <v>13307</v>
      </c>
      <c r="Z680" t="s">
        <v>13308</v>
      </c>
      <c r="AA680" t="s">
        <v>13309</v>
      </c>
      <c r="AB680" t="s">
        <v>13310</v>
      </c>
      <c r="AC680" t="s">
        <v>13311</v>
      </c>
      <c r="AD680" t="s">
        <v>13312</v>
      </c>
      <c r="AE680" t="s">
        <v>13313</v>
      </c>
      <c r="AF680" t="s">
        <v>74</v>
      </c>
      <c r="AG680">
        <v>93</v>
      </c>
      <c r="AH680">
        <v>20</v>
      </c>
      <c r="AI680">
        <v>20</v>
      </c>
      <c r="AJ680">
        <v>1</v>
      </c>
      <c r="AK680">
        <v>7</v>
      </c>
      <c r="AL680" t="s">
        <v>153</v>
      </c>
      <c r="AM680" t="s">
        <v>154</v>
      </c>
      <c r="AN680" t="s">
        <v>155</v>
      </c>
      <c r="AO680" t="s">
        <v>3714</v>
      </c>
      <c r="AP680" t="s">
        <v>3715</v>
      </c>
      <c r="AQ680" t="s">
        <v>74</v>
      </c>
      <c r="AR680" t="s">
        <v>3716</v>
      </c>
      <c r="AS680" t="s">
        <v>3717</v>
      </c>
      <c r="AT680" t="s">
        <v>12668</v>
      </c>
      <c r="AU680">
        <v>2019</v>
      </c>
      <c r="AV680">
        <v>39</v>
      </c>
      <c r="AW680">
        <v>2</v>
      </c>
      <c r="AX680" t="s">
        <v>74</v>
      </c>
      <c r="AY680" t="s">
        <v>74</v>
      </c>
      <c r="AZ680" t="s">
        <v>74</v>
      </c>
      <c r="BA680" t="s">
        <v>74</v>
      </c>
      <c r="BB680">
        <v>934</v>
      </c>
      <c r="BC680">
        <v>952</v>
      </c>
      <c r="BD680" t="s">
        <v>74</v>
      </c>
      <c r="BE680" t="s">
        <v>13314</v>
      </c>
      <c r="BF680" t="str">
        <f>HYPERLINK("http://dx.doi.org/10.1002/joc.5853","http://dx.doi.org/10.1002/joc.5853")</f>
        <v>http://dx.doi.org/10.1002/joc.5853</v>
      </c>
      <c r="BG680" t="s">
        <v>74</v>
      </c>
      <c r="BH680" t="s">
        <v>74</v>
      </c>
      <c r="BI680">
        <v>19</v>
      </c>
      <c r="BJ680" t="s">
        <v>133</v>
      </c>
      <c r="BK680" t="s">
        <v>102</v>
      </c>
      <c r="BL680" t="s">
        <v>133</v>
      </c>
      <c r="BM680" t="s">
        <v>13315</v>
      </c>
      <c r="BN680" t="s">
        <v>74</v>
      </c>
      <c r="BO680" t="s">
        <v>74</v>
      </c>
      <c r="BP680" t="s">
        <v>74</v>
      </c>
      <c r="BQ680" t="s">
        <v>74</v>
      </c>
      <c r="BR680" t="s">
        <v>107</v>
      </c>
      <c r="BS680" t="s">
        <v>13316</v>
      </c>
      <c r="BT680" t="str">
        <f>HYPERLINK("https%3A%2F%2Fwww.webofscience.com%2Fwos%2Fwoscc%2Ffull-record%2FWOS:000459665000024","View Full Record in Web of Science")</f>
        <v>View Full Record in Web of Science</v>
      </c>
    </row>
    <row r="681" spans="1:72" x14ac:dyDescent="0.15">
      <c r="A681" t="s">
        <v>72</v>
      </c>
      <c r="B681" t="s">
        <v>13317</v>
      </c>
      <c r="C681" t="s">
        <v>74</v>
      </c>
      <c r="D681" t="s">
        <v>74</v>
      </c>
      <c r="E681" t="s">
        <v>74</v>
      </c>
      <c r="F681" t="s">
        <v>13318</v>
      </c>
      <c r="G681" t="s">
        <v>74</v>
      </c>
      <c r="H681" t="s">
        <v>74</v>
      </c>
      <c r="I681" t="s">
        <v>13319</v>
      </c>
      <c r="J681" t="s">
        <v>3701</v>
      </c>
      <c r="K681" t="s">
        <v>74</v>
      </c>
      <c r="L681" t="s">
        <v>74</v>
      </c>
      <c r="M681" t="s">
        <v>78</v>
      </c>
      <c r="N681" t="s">
        <v>79</v>
      </c>
      <c r="O681" t="s">
        <v>74</v>
      </c>
      <c r="P681" t="s">
        <v>74</v>
      </c>
      <c r="Q681" t="s">
        <v>74</v>
      </c>
      <c r="R681" t="s">
        <v>74</v>
      </c>
      <c r="S681" t="s">
        <v>74</v>
      </c>
      <c r="T681" t="s">
        <v>13320</v>
      </c>
      <c r="U681" t="s">
        <v>13321</v>
      </c>
      <c r="V681" t="s">
        <v>13322</v>
      </c>
      <c r="W681" t="s">
        <v>13323</v>
      </c>
      <c r="X681" t="s">
        <v>13324</v>
      </c>
      <c r="Y681" t="s">
        <v>13325</v>
      </c>
      <c r="Z681" t="s">
        <v>13326</v>
      </c>
      <c r="AA681" t="s">
        <v>13327</v>
      </c>
      <c r="AB681" t="s">
        <v>13328</v>
      </c>
      <c r="AC681" t="s">
        <v>13329</v>
      </c>
      <c r="AD681" t="s">
        <v>13330</v>
      </c>
      <c r="AE681" t="s">
        <v>13331</v>
      </c>
      <c r="AF681" t="s">
        <v>74</v>
      </c>
      <c r="AG681">
        <v>63</v>
      </c>
      <c r="AH681">
        <v>10</v>
      </c>
      <c r="AI681">
        <v>11</v>
      </c>
      <c r="AJ681">
        <v>0</v>
      </c>
      <c r="AK681">
        <v>15</v>
      </c>
      <c r="AL681" t="s">
        <v>153</v>
      </c>
      <c r="AM681" t="s">
        <v>154</v>
      </c>
      <c r="AN681" t="s">
        <v>155</v>
      </c>
      <c r="AO681" t="s">
        <v>3714</v>
      </c>
      <c r="AP681" t="s">
        <v>3715</v>
      </c>
      <c r="AQ681" t="s">
        <v>74</v>
      </c>
      <c r="AR681" t="s">
        <v>3716</v>
      </c>
      <c r="AS681" t="s">
        <v>3717</v>
      </c>
      <c r="AT681" t="s">
        <v>12668</v>
      </c>
      <c r="AU681">
        <v>2019</v>
      </c>
      <c r="AV681">
        <v>39</v>
      </c>
      <c r="AW681">
        <v>2</v>
      </c>
      <c r="AX681" t="s">
        <v>74</v>
      </c>
      <c r="AY681" t="s">
        <v>74</v>
      </c>
      <c r="AZ681" t="s">
        <v>74</v>
      </c>
      <c r="BA681" t="s">
        <v>74</v>
      </c>
      <c r="BB681">
        <v>1026</v>
      </c>
      <c r="BC681">
        <v>1040</v>
      </c>
      <c r="BD681" t="s">
        <v>74</v>
      </c>
      <c r="BE681" t="s">
        <v>13332</v>
      </c>
      <c r="BF681" t="str">
        <f>HYPERLINK("http://dx.doi.org/10.1002/joc.5860","http://dx.doi.org/10.1002/joc.5860")</f>
        <v>http://dx.doi.org/10.1002/joc.5860</v>
      </c>
      <c r="BG681" t="s">
        <v>74</v>
      </c>
      <c r="BH681" t="s">
        <v>74</v>
      </c>
      <c r="BI681">
        <v>15</v>
      </c>
      <c r="BJ681" t="s">
        <v>133</v>
      </c>
      <c r="BK681" t="s">
        <v>102</v>
      </c>
      <c r="BL681" t="s">
        <v>133</v>
      </c>
      <c r="BM681" t="s">
        <v>13315</v>
      </c>
      <c r="BN681" t="s">
        <v>74</v>
      </c>
      <c r="BO681" t="s">
        <v>74</v>
      </c>
      <c r="BP681" t="s">
        <v>74</v>
      </c>
      <c r="BQ681" t="s">
        <v>74</v>
      </c>
      <c r="BR681" t="s">
        <v>107</v>
      </c>
      <c r="BS681" t="s">
        <v>13333</v>
      </c>
      <c r="BT681" t="str">
        <f>HYPERLINK("https%3A%2F%2Fwww.webofscience.com%2Fwos%2Fwoscc%2Ffull-record%2FWOS:000459665000029","View Full Record in Web of Science")</f>
        <v>View Full Record in Web of Science</v>
      </c>
    </row>
    <row r="682" spans="1:72" x14ac:dyDescent="0.15">
      <c r="A682" t="s">
        <v>72</v>
      </c>
      <c r="B682" t="s">
        <v>13334</v>
      </c>
      <c r="C682" t="s">
        <v>74</v>
      </c>
      <c r="D682" t="s">
        <v>74</v>
      </c>
      <c r="E682" t="s">
        <v>74</v>
      </c>
      <c r="F682" t="s">
        <v>13335</v>
      </c>
      <c r="G682" t="s">
        <v>74</v>
      </c>
      <c r="H682" t="s">
        <v>74</v>
      </c>
      <c r="I682" t="s">
        <v>13336</v>
      </c>
      <c r="J682" t="s">
        <v>2447</v>
      </c>
      <c r="K682" t="s">
        <v>74</v>
      </c>
      <c r="L682" t="s">
        <v>74</v>
      </c>
      <c r="M682" t="s">
        <v>78</v>
      </c>
      <c r="N682" t="s">
        <v>79</v>
      </c>
      <c r="O682" t="s">
        <v>74</v>
      </c>
      <c r="P682" t="s">
        <v>74</v>
      </c>
      <c r="Q682" t="s">
        <v>74</v>
      </c>
      <c r="R682" t="s">
        <v>74</v>
      </c>
      <c r="S682" t="s">
        <v>74</v>
      </c>
      <c r="T682" t="s">
        <v>13337</v>
      </c>
      <c r="U682" t="s">
        <v>13338</v>
      </c>
      <c r="V682" t="s">
        <v>13339</v>
      </c>
      <c r="W682" t="s">
        <v>13340</v>
      </c>
      <c r="X682" t="s">
        <v>13341</v>
      </c>
      <c r="Y682" t="s">
        <v>13342</v>
      </c>
      <c r="Z682" t="s">
        <v>13343</v>
      </c>
      <c r="AA682" t="s">
        <v>13344</v>
      </c>
      <c r="AB682" t="s">
        <v>13345</v>
      </c>
      <c r="AC682" t="s">
        <v>13346</v>
      </c>
      <c r="AD682" t="s">
        <v>13347</v>
      </c>
      <c r="AE682" t="s">
        <v>13348</v>
      </c>
      <c r="AF682" t="s">
        <v>74</v>
      </c>
      <c r="AG682">
        <v>67</v>
      </c>
      <c r="AH682">
        <v>11</v>
      </c>
      <c r="AI682">
        <v>12</v>
      </c>
      <c r="AJ682">
        <v>1</v>
      </c>
      <c r="AK682">
        <v>9</v>
      </c>
      <c r="AL682" t="s">
        <v>2011</v>
      </c>
      <c r="AM682" t="s">
        <v>2012</v>
      </c>
      <c r="AN682" t="s">
        <v>2013</v>
      </c>
      <c r="AO682" t="s">
        <v>2460</v>
      </c>
      <c r="AP682" t="s">
        <v>74</v>
      </c>
      <c r="AQ682" t="s">
        <v>74</v>
      </c>
      <c r="AR682" t="s">
        <v>2461</v>
      </c>
      <c r="AS682" t="s">
        <v>2462</v>
      </c>
      <c r="AT682" t="s">
        <v>12783</v>
      </c>
      <c r="AU682">
        <v>2019</v>
      </c>
      <c r="AV682">
        <v>11</v>
      </c>
      <c r="AW682">
        <v>3</v>
      </c>
      <c r="AX682" t="s">
        <v>74</v>
      </c>
      <c r="AY682" t="s">
        <v>74</v>
      </c>
      <c r="AZ682" t="s">
        <v>74</v>
      </c>
      <c r="BA682" t="s">
        <v>74</v>
      </c>
      <c r="BB682" t="s">
        <v>74</v>
      </c>
      <c r="BC682" t="s">
        <v>74</v>
      </c>
      <c r="BD682">
        <v>238</v>
      </c>
      <c r="BE682" t="s">
        <v>13349</v>
      </c>
      <c r="BF682" t="str">
        <f>HYPERLINK("http://dx.doi.org/10.3390/rs11030238","http://dx.doi.org/10.3390/rs11030238")</f>
        <v>http://dx.doi.org/10.3390/rs11030238</v>
      </c>
      <c r="BG682" t="s">
        <v>74</v>
      </c>
      <c r="BH682" t="s">
        <v>74</v>
      </c>
      <c r="BI682">
        <v>17</v>
      </c>
      <c r="BJ682" t="s">
        <v>2465</v>
      </c>
      <c r="BK682" t="s">
        <v>102</v>
      </c>
      <c r="BL682" t="s">
        <v>2466</v>
      </c>
      <c r="BM682" t="s">
        <v>13350</v>
      </c>
      <c r="BN682" t="s">
        <v>74</v>
      </c>
      <c r="BO682" t="s">
        <v>4842</v>
      </c>
      <c r="BP682" t="s">
        <v>74</v>
      </c>
      <c r="BQ682" t="s">
        <v>74</v>
      </c>
      <c r="BR682" t="s">
        <v>107</v>
      </c>
      <c r="BS682" t="s">
        <v>13351</v>
      </c>
      <c r="BT682" t="str">
        <f>HYPERLINK("https%3A%2F%2Fwww.webofscience.com%2Fwos%2Fwoscc%2Ffull-record%2FWOS:000459944400026","View Full Record in Web of Science")</f>
        <v>View Full Record in Web of Science</v>
      </c>
    </row>
    <row r="683" spans="1:72" x14ac:dyDescent="0.15">
      <c r="A683" t="s">
        <v>72</v>
      </c>
      <c r="B683" t="s">
        <v>13352</v>
      </c>
      <c r="C683" t="s">
        <v>74</v>
      </c>
      <c r="D683" t="s">
        <v>74</v>
      </c>
      <c r="E683" t="s">
        <v>74</v>
      </c>
      <c r="F683" t="s">
        <v>13353</v>
      </c>
      <c r="G683" t="s">
        <v>74</v>
      </c>
      <c r="H683" t="s">
        <v>74</v>
      </c>
      <c r="I683" t="s">
        <v>13354</v>
      </c>
      <c r="J683" t="s">
        <v>9184</v>
      </c>
      <c r="K683" t="s">
        <v>74</v>
      </c>
      <c r="L683" t="s">
        <v>74</v>
      </c>
      <c r="M683" t="s">
        <v>78</v>
      </c>
      <c r="N683" t="s">
        <v>79</v>
      </c>
      <c r="O683" t="s">
        <v>74</v>
      </c>
      <c r="P683" t="s">
        <v>74</v>
      </c>
      <c r="Q683" t="s">
        <v>74</v>
      </c>
      <c r="R683" t="s">
        <v>74</v>
      </c>
      <c r="S683" t="s">
        <v>74</v>
      </c>
      <c r="T683" t="s">
        <v>13355</v>
      </c>
      <c r="U683" t="s">
        <v>13356</v>
      </c>
      <c r="V683" t="s">
        <v>13357</v>
      </c>
      <c r="W683" t="s">
        <v>13358</v>
      </c>
      <c r="X683" t="s">
        <v>13359</v>
      </c>
      <c r="Y683" t="s">
        <v>13360</v>
      </c>
      <c r="Z683" t="s">
        <v>13361</v>
      </c>
      <c r="AA683" t="s">
        <v>13362</v>
      </c>
      <c r="AB683" t="s">
        <v>13363</v>
      </c>
      <c r="AC683" t="s">
        <v>13364</v>
      </c>
      <c r="AD683" t="s">
        <v>13365</v>
      </c>
      <c r="AE683" t="s">
        <v>13366</v>
      </c>
      <c r="AF683" t="s">
        <v>74</v>
      </c>
      <c r="AG683">
        <v>85</v>
      </c>
      <c r="AH683">
        <v>1</v>
      </c>
      <c r="AI683">
        <v>1</v>
      </c>
      <c r="AJ683">
        <v>3</v>
      </c>
      <c r="AK683">
        <v>12</v>
      </c>
      <c r="AL683" t="s">
        <v>5901</v>
      </c>
      <c r="AM683" t="s">
        <v>329</v>
      </c>
      <c r="AN683" t="s">
        <v>5902</v>
      </c>
      <c r="AO683" t="s">
        <v>9197</v>
      </c>
      <c r="AP683" t="s">
        <v>9198</v>
      </c>
      <c r="AQ683" t="s">
        <v>74</v>
      </c>
      <c r="AR683" t="s">
        <v>9184</v>
      </c>
      <c r="AS683" t="s">
        <v>9199</v>
      </c>
      <c r="AT683" t="s">
        <v>12668</v>
      </c>
      <c r="AU683">
        <v>2019</v>
      </c>
      <c r="AV683">
        <v>29</v>
      </c>
      <c r="AW683">
        <v>2</v>
      </c>
      <c r="AX683" t="s">
        <v>74</v>
      </c>
      <c r="AY683" t="s">
        <v>74</v>
      </c>
      <c r="AZ683" t="s">
        <v>74</v>
      </c>
      <c r="BA683" t="s">
        <v>74</v>
      </c>
      <c r="BB683">
        <v>219</v>
      </c>
      <c r="BC683">
        <v>230</v>
      </c>
      <c r="BD683" t="s">
        <v>74</v>
      </c>
      <c r="BE683" t="s">
        <v>13367</v>
      </c>
      <c r="BF683" t="str">
        <f>HYPERLINK("http://dx.doi.org/10.1177/0959683618810396","http://dx.doi.org/10.1177/0959683618810396")</f>
        <v>http://dx.doi.org/10.1177/0959683618810396</v>
      </c>
      <c r="BG683" t="s">
        <v>74</v>
      </c>
      <c r="BH683" t="s">
        <v>74</v>
      </c>
      <c r="BI683">
        <v>12</v>
      </c>
      <c r="BJ683" t="s">
        <v>1142</v>
      </c>
      <c r="BK683" t="s">
        <v>102</v>
      </c>
      <c r="BL683" t="s">
        <v>1143</v>
      </c>
      <c r="BM683" t="s">
        <v>13368</v>
      </c>
      <c r="BN683" t="s">
        <v>74</v>
      </c>
      <c r="BO683" t="s">
        <v>74</v>
      </c>
      <c r="BP683" t="s">
        <v>74</v>
      </c>
      <c r="BQ683" t="s">
        <v>74</v>
      </c>
      <c r="BR683" t="s">
        <v>107</v>
      </c>
      <c r="BS683" t="s">
        <v>13369</v>
      </c>
      <c r="BT683" t="str">
        <f>HYPERLINK("https%3A%2F%2Fwww.webofscience.com%2Fwos%2Fwoscc%2Ffull-record%2FWOS:000459887400004","View Full Record in Web of Science")</f>
        <v>View Full Record in Web of Science</v>
      </c>
    </row>
    <row r="684" spans="1:72" x14ac:dyDescent="0.15">
      <c r="A684" t="s">
        <v>72</v>
      </c>
      <c r="B684" t="s">
        <v>13370</v>
      </c>
      <c r="C684" t="s">
        <v>74</v>
      </c>
      <c r="D684" t="s">
        <v>74</v>
      </c>
      <c r="E684" t="s">
        <v>74</v>
      </c>
      <c r="F684" t="s">
        <v>13371</v>
      </c>
      <c r="G684" t="s">
        <v>74</v>
      </c>
      <c r="H684" t="s">
        <v>74</v>
      </c>
      <c r="I684" t="s">
        <v>13372</v>
      </c>
      <c r="J684" t="s">
        <v>3971</v>
      </c>
      <c r="K684" t="s">
        <v>74</v>
      </c>
      <c r="L684" t="s">
        <v>74</v>
      </c>
      <c r="M684" t="s">
        <v>78</v>
      </c>
      <c r="N684" t="s">
        <v>79</v>
      </c>
      <c r="O684" t="s">
        <v>74</v>
      </c>
      <c r="P684" t="s">
        <v>74</v>
      </c>
      <c r="Q684" t="s">
        <v>74</v>
      </c>
      <c r="R684" t="s">
        <v>74</v>
      </c>
      <c r="S684" t="s">
        <v>74</v>
      </c>
      <c r="T684" t="s">
        <v>13373</v>
      </c>
      <c r="U684" t="s">
        <v>13374</v>
      </c>
      <c r="V684" t="s">
        <v>13375</v>
      </c>
      <c r="W684" t="s">
        <v>13376</v>
      </c>
      <c r="X684" t="s">
        <v>13377</v>
      </c>
      <c r="Y684" t="s">
        <v>13378</v>
      </c>
      <c r="Z684" t="s">
        <v>13379</v>
      </c>
      <c r="AA684" t="s">
        <v>13380</v>
      </c>
      <c r="AB684" t="s">
        <v>13381</v>
      </c>
      <c r="AC684" t="s">
        <v>13382</v>
      </c>
      <c r="AD684" t="s">
        <v>13383</v>
      </c>
      <c r="AE684" t="s">
        <v>13384</v>
      </c>
      <c r="AF684" t="s">
        <v>74</v>
      </c>
      <c r="AG684">
        <v>58</v>
      </c>
      <c r="AH684">
        <v>55</v>
      </c>
      <c r="AI684">
        <v>57</v>
      </c>
      <c r="AJ684">
        <v>6</v>
      </c>
      <c r="AK684">
        <v>41</v>
      </c>
      <c r="AL684" t="s">
        <v>3984</v>
      </c>
      <c r="AM684" t="s">
        <v>1004</v>
      </c>
      <c r="AN684" t="s">
        <v>3985</v>
      </c>
      <c r="AO684" t="s">
        <v>3986</v>
      </c>
      <c r="AP684" t="s">
        <v>3987</v>
      </c>
      <c r="AQ684" t="s">
        <v>74</v>
      </c>
      <c r="AR684" t="s">
        <v>3988</v>
      </c>
      <c r="AS684" t="s">
        <v>3989</v>
      </c>
      <c r="AT684" t="s">
        <v>12668</v>
      </c>
      <c r="AU684">
        <v>2019</v>
      </c>
      <c r="AV684">
        <v>222</v>
      </c>
      <c r="AW684">
        <v>4</v>
      </c>
      <c r="AX684" t="s">
        <v>74</v>
      </c>
      <c r="AY684" t="s">
        <v>74</v>
      </c>
      <c r="AZ684" t="s">
        <v>74</v>
      </c>
      <c r="BA684" t="s">
        <v>74</v>
      </c>
      <c r="BB684" t="s">
        <v>74</v>
      </c>
      <c r="BC684" t="s">
        <v>74</v>
      </c>
      <c r="BD684" t="s">
        <v>13385</v>
      </c>
      <c r="BE684" t="s">
        <v>13386</v>
      </c>
      <c r="BF684" t="str">
        <f>HYPERLINK("http://dx.doi.org/10.1242/jeb.185603","http://dx.doi.org/10.1242/jeb.185603")</f>
        <v>http://dx.doi.org/10.1242/jeb.185603</v>
      </c>
      <c r="BG684" t="s">
        <v>74</v>
      </c>
      <c r="BH684" t="s">
        <v>74</v>
      </c>
      <c r="BI684">
        <v>9</v>
      </c>
      <c r="BJ684" t="s">
        <v>3992</v>
      </c>
      <c r="BK684" t="s">
        <v>102</v>
      </c>
      <c r="BL684" t="s">
        <v>3993</v>
      </c>
      <c r="BM684" t="s">
        <v>13387</v>
      </c>
      <c r="BN684">
        <v>30777873</v>
      </c>
      <c r="BO684" t="s">
        <v>223</v>
      </c>
      <c r="BP684" t="s">
        <v>74</v>
      </c>
      <c r="BQ684" t="s">
        <v>74</v>
      </c>
      <c r="BR684" t="s">
        <v>107</v>
      </c>
      <c r="BS684" t="s">
        <v>13388</v>
      </c>
      <c r="BT684" t="str">
        <f>HYPERLINK("https%3A%2F%2Fwww.webofscience.com%2Fwos%2Fwoscc%2Ffull-record%2FWOS:000460124700004","View Full Record in Web of Science")</f>
        <v>View Full Record in Web of Science</v>
      </c>
    </row>
    <row r="685" spans="1:72" x14ac:dyDescent="0.15">
      <c r="A685" t="s">
        <v>72</v>
      </c>
      <c r="B685" t="s">
        <v>13389</v>
      </c>
      <c r="C685" t="s">
        <v>74</v>
      </c>
      <c r="D685" t="s">
        <v>74</v>
      </c>
      <c r="E685" t="s">
        <v>74</v>
      </c>
      <c r="F685" t="s">
        <v>13390</v>
      </c>
      <c r="G685" t="s">
        <v>74</v>
      </c>
      <c r="H685" t="s">
        <v>74</v>
      </c>
      <c r="I685" t="s">
        <v>13391</v>
      </c>
      <c r="J685" t="s">
        <v>13392</v>
      </c>
      <c r="K685" t="s">
        <v>74</v>
      </c>
      <c r="L685" t="s">
        <v>74</v>
      </c>
      <c r="M685" t="s">
        <v>78</v>
      </c>
      <c r="N685" t="s">
        <v>79</v>
      </c>
      <c r="O685" t="s">
        <v>74</v>
      </c>
      <c r="P685" t="s">
        <v>74</v>
      </c>
      <c r="Q685" t="s">
        <v>74</v>
      </c>
      <c r="R685" t="s">
        <v>74</v>
      </c>
      <c r="S685" t="s">
        <v>74</v>
      </c>
      <c r="T685" t="s">
        <v>13393</v>
      </c>
      <c r="U685" t="s">
        <v>13394</v>
      </c>
      <c r="V685" t="s">
        <v>13395</v>
      </c>
      <c r="W685" t="s">
        <v>13396</v>
      </c>
      <c r="X685" t="s">
        <v>13397</v>
      </c>
      <c r="Y685" t="s">
        <v>13398</v>
      </c>
      <c r="Z685" t="s">
        <v>13399</v>
      </c>
      <c r="AA685" t="s">
        <v>13400</v>
      </c>
      <c r="AB685" t="s">
        <v>13401</v>
      </c>
      <c r="AC685" t="s">
        <v>13402</v>
      </c>
      <c r="AD685" t="s">
        <v>13403</v>
      </c>
      <c r="AE685" t="s">
        <v>13404</v>
      </c>
      <c r="AF685" t="s">
        <v>74</v>
      </c>
      <c r="AG685">
        <v>140</v>
      </c>
      <c r="AH685">
        <v>10</v>
      </c>
      <c r="AI685">
        <v>11</v>
      </c>
      <c r="AJ685">
        <v>2</v>
      </c>
      <c r="AK685">
        <v>44</v>
      </c>
      <c r="AL685" t="s">
        <v>576</v>
      </c>
      <c r="AM685" t="s">
        <v>607</v>
      </c>
      <c r="AN685" t="s">
        <v>2143</v>
      </c>
      <c r="AO685" t="s">
        <v>13405</v>
      </c>
      <c r="AP685" t="s">
        <v>13406</v>
      </c>
      <c r="AQ685" t="s">
        <v>74</v>
      </c>
      <c r="AR685" t="s">
        <v>13392</v>
      </c>
      <c r="AS685" t="s">
        <v>13407</v>
      </c>
      <c r="AT685" t="s">
        <v>12668</v>
      </c>
      <c r="AU685">
        <v>2019</v>
      </c>
      <c r="AV685">
        <v>189</v>
      </c>
      <c r="AW685">
        <v>2</v>
      </c>
      <c r="AX685" t="s">
        <v>74</v>
      </c>
      <c r="AY685" t="s">
        <v>74</v>
      </c>
      <c r="AZ685" t="s">
        <v>74</v>
      </c>
      <c r="BA685" t="s">
        <v>74</v>
      </c>
      <c r="BB685">
        <v>279</v>
      </c>
      <c r="BC685">
        <v>291</v>
      </c>
      <c r="BD685" t="s">
        <v>74</v>
      </c>
      <c r="BE685" t="s">
        <v>13408</v>
      </c>
      <c r="BF685" t="str">
        <f>HYPERLINK("http://dx.doi.org/10.1007/s00442-018-4249-5","http://dx.doi.org/10.1007/s00442-018-4249-5")</f>
        <v>http://dx.doi.org/10.1007/s00442-018-4249-5</v>
      </c>
      <c r="BG685" t="s">
        <v>74</v>
      </c>
      <c r="BH685" t="s">
        <v>74</v>
      </c>
      <c r="BI685">
        <v>13</v>
      </c>
      <c r="BJ685" t="s">
        <v>5763</v>
      </c>
      <c r="BK685" t="s">
        <v>102</v>
      </c>
      <c r="BL685" t="s">
        <v>2297</v>
      </c>
      <c r="BM685" t="s">
        <v>13409</v>
      </c>
      <c r="BN685">
        <v>30116877</v>
      </c>
      <c r="BO685" t="s">
        <v>74</v>
      </c>
      <c r="BP685" t="s">
        <v>74</v>
      </c>
      <c r="BQ685" t="s">
        <v>74</v>
      </c>
      <c r="BR685" t="s">
        <v>107</v>
      </c>
      <c r="BS685" t="s">
        <v>13410</v>
      </c>
      <c r="BT685" t="str">
        <f>HYPERLINK("https%3A%2F%2Fwww.webofscience.com%2Fwos%2Fwoscc%2Ffull-record%2FWOS:000460033700001","View Full Record in Web of Science")</f>
        <v>View Full Record in Web of Science</v>
      </c>
    </row>
    <row r="686" spans="1:72" x14ac:dyDescent="0.15">
      <c r="A686" t="s">
        <v>72</v>
      </c>
      <c r="B686" t="s">
        <v>13411</v>
      </c>
      <c r="C686" t="s">
        <v>74</v>
      </c>
      <c r="D686" t="s">
        <v>74</v>
      </c>
      <c r="E686" t="s">
        <v>74</v>
      </c>
      <c r="F686" t="s">
        <v>13412</v>
      </c>
      <c r="G686" t="s">
        <v>74</v>
      </c>
      <c r="H686" t="s">
        <v>74</v>
      </c>
      <c r="I686" t="s">
        <v>13413</v>
      </c>
      <c r="J686" t="s">
        <v>13414</v>
      </c>
      <c r="K686" t="s">
        <v>74</v>
      </c>
      <c r="L686" t="s">
        <v>74</v>
      </c>
      <c r="M686" t="s">
        <v>78</v>
      </c>
      <c r="N686" t="s">
        <v>79</v>
      </c>
      <c r="O686" t="s">
        <v>74</v>
      </c>
      <c r="P686" t="s">
        <v>74</v>
      </c>
      <c r="Q686" t="s">
        <v>74</v>
      </c>
      <c r="R686" t="s">
        <v>74</v>
      </c>
      <c r="S686" t="s">
        <v>74</v>
      </c>
      <c r="T686" t="s">
        <v>13415</v>
      </c>
      <c r="U686" t="s">
        <v>13416</v>
      </c>
      <c r="V686" t="s">
        <v>13417</v>
      </c>
      <c r="W686" t="s">
        <v>13418</v>
      </c>
      <c r="X686" t="s">
        <v>13419</v>
      </c>
      <c r="Y686" t="s">
        <v>13420</v>
      </c>
      <c r="Z686" t="s">
        <v>13421</v>
      </c>
      <c r="AA686" t="s">
        <v>13422</v>
      </c>
      <c r="AB686" t="s">
        <v>13423</v>
      </c>
      <c r="AC686" t="s">
        <v>74</v>
      </c>
      <c r="AD686" t="s">
        <v>74</v>
      </c>
      <c r="AE686" t="s">
        <v>74</v>
      </c>
      <c r="AF686" t="s">
        <v>74</v>
      </c>
      <c r="AG686">
        <v>94</v>
      </c>
      <c r="AH686">
        <v>5</v>
      </c>
      <c r="AI686">
        <v>5</v>
      </c>
      <c r="AJ686">
        <v>1</v>
      </c>
      <c r="AK686">
        <v>14</v>
      </c>
      <c r="AL686" t="s">
        <v>576</v>
      </c>
      <c r="AM686" t="s">
        <v>607</v>
      </c>
      <c r="AN686" t="s">
        <v>2143</v>
      </c>
      <c r="AO686" t="s">
        <v>13424</v>
      </c>
      <c r="AP686" t="s">
        <v>13425</v>
      </c>
      <c r="AQ686" t="s">
        <v>74</v>
      </c>
      <c r="AR686" t="s">
        <v>13426</v>
      </c>
      <c r="AS686" t="s">
        <v>13427</v>
      </c>
      <c r="AT686" t="s">
        <v>12668</v>
      </c>
      <c r="AU686">
        <v>2019</v>
      </c>
      <c r="AV686">
        <v>103</v>
      </c>
      <c r="AW686">
        <v>4</v>
      </c>
      <c r="AX686" t="s">
        <v>74</v>
      </c>
      <c r="AY686" t="s">
        <v>74</v>
      </c>
      <c r="AZ686" t="s">
        <v>74</v>
      </c>
      <c r="BA686" t="s">
        <v>74</v>
      </c>
      <c r="BB686">
        <v>1837</v>
      </c>
      <c r="BC686">
        <v>1850</v>
      </c>
      <c r="BD686" t="s">
        <v>74</v>
      </c>
      <c r="BE686" t="s">
        <v>13428</v>
      </c>
      <c r="BF686" t="str">
        <f>HYPERLINK("http://dx.doi.org/10.1007/s00253-018-9544-x","http://dx.doi.org/10.1007/s00253-018-9544-x")</f>
        <v>http://dx.doi.org/10.1007/s00253-018-9544-x</v>
      </c>
      <c r="BG686" t="s">
        <v>74</v>
      </c>
      <c r="BH686" t="s">
        <v>74</v>
      </c>
      <c r="BI686">
        <v>14</v>
      </c>
      <c r="BJ686" t="s">
        <v>13429</v>
      </c>
      <c r="BK686" t="s">
        <v>102</v>
      </c>
      <c r="BL686" t="s">
        <v>13429</v>
      </c>
      <c r="BM686" t="s">
        <v>13430</v>
      </c>
      <c r="BN686">
        <v>30617536</v>
      </c>
      <c r="BO686" t="s">
        <v>403</v>
      </c>
      <c r="BP686" t="s">
        <v>74</v>
      </c>
      <c r="BQ686" t="s">
        <v>74</v>
      </c>
      <c r="BR686" t="s">
        <v>107</v>
      </c>
      <c r="BS686" t="s">
        <v>13431</v>
      </c>
      <c r="BT686" t="str">
        <f>HYPERLINK("https%3A%2F%2Fwww.webofscience.com%2Fwos%2Fwoscc%2Ffull-record%2FWOS:000459250200024","View Full Record in Web of Science")</f>
        <v>View Full Record in Web of Science</v>
      </c>
    </row>
    <row r="687" spans="1:72" x14ac:dyDescent="0.15">
      <c r="A687" t="s">
        <v>72</v>
      </c>
      <c r="B687" t="s">
        <v>13432</v>
      </c>
      <c r="C687" t="s">
        <v>74</v>
      </c>
      <c r="D687" t="s">
        <v>74</v>
      </c>
      <c r="E687" t="s">
        <v>74</v>
      </c>
      <c r="F687" t="s">
        <v>13433</v>
      </c>
      <c r="G687" t="s">
        <v>74</v>
      </c>
      <c r="H687" t="s">
        <v>74</v>
      </c>
      <c r="I687" t="s">
        <v>13434</v>
      </c>
      <c r="J687" t="s">
        <v>13435</v>
      </c>
      <c r="K687" t="s">
        <v>74</v>
      </c>
      <c r="L687" t="s">
        <v>74</v>
      </c>
      <c r="M687" t="s">
        <v>78</v>
      </c>
      <c r="N687" t="s">
        <v>79</v>
      </c>
      <c r="O687" t="s">
        <v>74</v>
      </c>
      <c r="P687" t="s">
        <v>74</v>
      </c>
      <c r="Q687" t="s">
        <v>74</v>
      </c>
      <c r="R687" t="s">
        <v>74</v>
      </c>
      <c r="S687" t="s">
        <v>74</v>
      </c>
      <c r="T687" t="s">
        <v>13436</v>
      </c>
      <c r="U687" t="s">
        <v>13437</v>
      </c>
      <c r="V687" t="s">
        <v>13438</v>
      </c>
      <c r="W687" t="s">
        <v>13439</v>
      </c>
      <c r="X687" t="s">
        <v>13440</v>
      </c>
      <c r="Y687" t="s">
        <v>13441</v>
      </c>
      <c r="Z687" t="s">
        <v>13442</v>
      </c>
      <c r="AA687" t="s">
        <v>13443</v>
      </c>
      <c r="AB687" t="s">
        <v>13444</v>
      </c>
      <c r="AC687" t="s">
        <v>13445</v>
      </c>
      <c r="AD687" t="s">
        <v>13446</v>
      </c>
      <c r="AE687" t="s">
        <v>13447</v>
      </c>
      <c r="AF687" t="s">
        <v>74</v>
      </c>
      <c r="AG687">
        <v>42</v>
      </c>
      <c r="AH687">
        <v>22</v>
      </c>
      <c r="AI687">
        <v>25</v>
      </c>
      <c r="AJ687">
        <v>1</v>
      </c>
      <c r="AK687">
        <v>9</v>
      </c>
      <c r="AL687" t="s">
        <v>2960</v>
      </c>
      <c r="AM687" t="s">
        <v>1004</v>
      </c>
      <c r="AN687" t="s">
        <v>2961</v>
      </c>
      <c r="AO687" t="s">
        <v>13448</v>
      </c>
      <c r="AP687" t="s">
        <v>13449</v>
      </c>
      <c r="AQ687" t="s">
        <v>74</v>
      </c>
      <c r="AR687" t="s">
        <v>13435</v>
      </c>
      <c r="AS687" t="s">
        <v>13450</v>
      </c>
      <c r="AT687" t="s">
        <v>12668</v>
      </c>
      <c r="AU687">
        <v>2019</v>
      </c>
      <c r="AV687">
        <v>93</v>
      </c>
      <c r="AW687">
        <v>367</v>
      </c>
      <c r="AX687" t="s">
        <v>74</v>
      </c>
      <c r="AY687" t="s">
        <v>74</v>
      </c>
      <c r="AZ687" t="s">
        <v>74</v>
      </c>
      <c r="BA687" t="s">
        <v>74</v>
      </c>
      <c r="BB687">
        <v>28</v>
      </c>
      <c r="BC687">
        <v>44</v>
      </c>
      <c r="BD687" t="s">
        <v>74</v>
      </c>
      <c r="BE687" t="s">
        <v>13451</v>
      </c>
      <c r="BF687" t="str">
        <f>HYPERLINK("http://dx.doi.org/10.15184/aqy.2019.2","http://dx.doi.org/10.15184/aqy.2019.2")</f>
        <v>http://dx.doi.org/10.15184/aqy.2019.2</v>
      </c>
      <c r="BG687" t="s">
        <v>74</v>
      </c>
      <c r="BH687" t="s">
        <v>74</v>
      </c>
      <c r="BI687">
        <v>17</v>
      </c>
      <c r="BJ687" t="s">
        <v>13452</v>
      </c>
      <c r="BK687" t="s">
        <v>13453</v>
      </c>
      <c r="BL687" t="s">
        <v>13452</v>
      </c>
      <c r="BM687" t="s">
        <v>13454</v>
      </c>
      <c r="BN687" t="s">
        <v>74</v>
      </c>
      <c r="BO687" t="s">
        <v>279</v>
      </c>
      <c r="BP687" t="s">
        <v>74</v>
      </c>
      <c r="BQ687" t="s">
        <v>74</v>
      </c>
      <c r="BR687" t="s">
        <v>107</v>
      </c>
      <c r="BS687" t="s">
        <v>13455</v>
      </c>
      <c r="BT687" t="str">
        <f>HYPERLINK("https%3A%2F%2Fwww.webofscience.com%2Fwos%2Fwoscc%2Ffull-record%2FWOS:000459044500010","View Full Record in Web of Science")</f>
        <v>View Full Record in Web of Science</v>
      </c>
    </row>
    <row r="688" spans="1:72" x14ac:dyDescent="0.15">
      <c r="A688" t="s">
        <v>72</v>
      </c>
      <c r="B688" t="s">
        <v>13456</v>
      </c>
      <c r="C688" t="s">
        <v>74</v>
      </c>
      <c r="D688" t="s">
        <v>74</v>
      </c>
      <c r="E688" t="s">
        <v>74</v>
      </c>
      <c r="F688" t="s">
        <v>13457</v>
      </c>
      <c r="G688" t="s">
        <v>74</v>
      </c>
      <c r="H688" t="s">
        <v>74</v>
      </c>
      <c r="I688" t="s">
        <v>13458</v>
      </c>
      <c r="J688" t="s">
        <v>13459</v>
      </c>
      <c r="K688" t="s">
        <v>74</v>
      </c>
      <c r="L688" t="s">
        <v>74</v>
      </c>
      <c r="M688" t="s">
        <v>78</v>
      </c>
      <c r="N688" t="s">
        <v>79</v>
      </c>
      <c r="O688" t="s">
        <v>74</v>
      </c>
      <c r="P688" t="s">
        <v>74</v>
      </c>
      <c r="Q688" t="s">
        <v>74</v>
      </c>
      <c r="R688" t="s">
        <v>74</v>
      </c>
      <c r="S688" t="s">
        <v>74</v>
      </c>
      <c r="T688" t="s">
        <v>13460</v>
      </c>
      <c r="U688" t="s">
        <v>13461</v>
      </c>
      <c r="V688" t="s">
        <v>13462</v>
      </c>
      <c r="W688" t="s">
        <v>13463</v>
      </c>
      <c r="X688" t="s">
        <v>13464</v>
      </c>
      <c r="Y688" t="s">
        <v>13465</v>
      </c>
      <c r="Z688" t="s">
        <v>13466</v>
      </c>
      <c r="AA688" t="s">
        <v>13467</v>
      </c>
      <c r="AB688" t="s">
        <v>13468</v>
      </c>
      <c r="AC688" t="s">
        <v>74</v>
      </c>
      <c r="AD688" t="s">
        <v>74</v>
      </c>
      <c r="AE688" t="s">
        <v>74</v>
      </c>
      <c r="AF688" t="s">
        <v>74</v>
      </c>
      <c r="AG688">
        <v>29</v>
      </c>
      <c r="AH688">
        <v>64</v>
      </c>
      <c r="AI688">
        <v>65</v>
      </c>
      <c r="AJ688">
        <v>5</v>
      </c>
      <c r="AK688">
        <v>51</v>
      </c>
      <c r="AL688" t="s">
        <v>662</v>
      </c>
      <c r="AM688" t="s">
        <v>635</v>
      </c>
      <c r="AN688" t="s">
        <v>663</v>
      </c>
      <c r="AO688" t="s">
        <v>13469</v>
      </c>
      <c r="AP688" t="s">
        <v>13470</v>
      </c>
      <c r="AQ688" t="s">
        <v>74</v>
      </c>
      <c r="AR688" t="s">
        <v>13471</v>
      </c>
      <c r="AS688" t="s">
        <v>13472</v>
      </c>
      <c r="AT688" t="s">
        <v>12668</v>
      </c>
      <c r="AU688">
        <v>2019</v>
      </c>
      <c r="AV688">
        <v>116</v>
      </c>
      <c r="AW688" t="s">
        <v>74</v>
      </c>
      <c r="AX688" t="s">
        <v>74</v>
      </c>
      <c r="AY688" t="s">
        <v>74</v>
      </c>
      <c r="AZ688" t="s">
        <v>74</v>
      </c>
      <c r="BA688" t="s">
        <v>74</v>
      </c>
      <c r="BB688">
        <v>1386</v>
      </c>
      <c r="BC688">
        <v>1390</v>
      </c>
      <c r="BD688" t="s">
        <v>74</v>
      </c>
      <c r="BE688" t="s">
        <v>13473</v>
      </c>
      <c r="BF688" t="str">
        <f>HYPERLINK("http://dx.doi.org/10.1016/j.foodres.2018.10.030","http://dx.doi.org/10.1016/j.foodres.2018.10.030")</f>
        <v>http://dx.doi.org/10.1016/j.foodres.2018.10.030</v>
      </c>
      <c r="BG688" t="s">
        <v>74</v>
      </c>
      <c r="BH688" t="s">
        <v>74</v>
      </c>
      <c r="BI688">
        <v>5</v>
      </c>
      <c r="BJ688" t="s">
        <v>5041</v>
      </c>
      <c r="BK688" t="s">
        <v>102</v>
      </c>
      <c r="BL688" t="s">
        <v>5041</v>
      </c>
      <c r="BM688" t="s">
        <v>13474</v>
      </c>
      <c r="BN688">
        <v>30716930</v>
      </c>
      <c r="BO688" t="s">
        <v>74</v>
      </c>
      <c r="BP688" t="s">
        <v>74</v>
      </c>
      <c r="BQ688" t="s">
        <v>74</v>
      </c>
      <c r="BR688" t="s">
        <v>107</v>
      </c>
      <c r="BS688" t="s">
        <v>13475</v>
      </c>
      <c r="BT688" t="str">
        <f>HYPERLINK("https%3A%2F%2Fwww.webofscience.com%2Fwos%2Fwoscc%2Ffull-record%2FWOS:000458942900152","View Full Record in Web of Science")</f>
        <v>View Full Record in Web of Science</v>
      </c>
    </row>
    <row r="689" spans="1:72" x14ac:dyDescent="0.15">
      <c r="A689" t="s">
        <v>72</v>
      </c>
      <c r="B689" t="s">
        <v>13476</v>
      </c>
      <c r="C689" t="s">
        <v>74</v>
      </c>
      <c r="D689" t="s">
        <v>74</v>
      </c>
      <c r="E689" t="s">
        <v>74</v>
      </c>
      <c r="F689" t="s">
        <v>13477</v>
      </c>
      <c r="G689" t="s">
        <v>74</v>
      </c>
      <c r="H689" t="s">
        <v>74</v>
      </c>
      <c r="I689" t="s">
        <v>13478</v>
      </c>
      <c r="J689" t="s">
        <v>13479</v>
      </c>
      <c r="K689" t="s">
        <v>74</v>
      </c>
      <c r="L689" t="s">
        <v>74</v>
      </c>
      <c r="M689" t="s">
        <v>78</v>
      </c>
      <c r="N689" t="s">
        <v>79</v>
      </c>
      <c r="O689" t="s">
        <v>74</v>
      </c>
      <c r="P689" t="s">
        <v>74</v>
      </c>
      <c r="Q689" t="s">
        <v>74</v>
      </c>
      <c r="R689" t="s">
        <v>74</v>
      </c>
      <c r="S689" t="s">
        <v>74</v>
      </c>
      <c r="T689" t="s">
        <v>13480</v>
      </c>
      <c r="U689" t="s">
        <v>74</v>
      </c>
      <c r="V689" t="s">
        <v>13481</v>
      </c>
      <c r="W689" t="s">
        <v>13482</v>
      </c>
      <c r="X689" t="s">
        <v>13483</v>
      </c>
      <c r="Y689" t="s">
        <v>13484</v>
      </c>
      <c r="Z689" t="s">
        <v>13485</v>
      </c>
      <c r="AA689" t="s">
        <v>74</v>
      </c>
      <c r="AB689" t="s">
        <v>74</v>
      </c>
      <c r="AC689" t="s">
        <v>74</v>
      </c>
      <c r="AD689" t="s">
        <v>74</v>
      </c>
      <c r="AE689" t="s">
        <v>74</v>
      </c>
      <c r="AF689" t="s">
        <v>74</v>
      </c>
      <c r="AG689">
        <v>26</v>
      </c>
      <c r="AH689">
        <v>0</v>
      </c>
      <c r="AI689">
        <v>0</v>
      </c>
      <c r="AJ689">
        <v>0</v>
      </c>
      <c r="AK689">
        <v>0</v>
      </c>
      <c r="AL689" t="s">
        <v>5901</v>
      </c>
      <c r="AM689" t="s">
        <v>329</v>
      </c>
      <c r="AN689" t="s">
        <v>5902</v>
      </c>
      <c r="AO689" t="s">
        <v>13486</v>
      </c>
      <c r="AP689" t="s">
        <v>13487</v>
      </c>
      <c r="AQ689" t="s">
        <v>74</v>
      </c>
      <c r="AR689" t="s">
        <v>13488</v>
      </c>
      <c r="AS689" t="s">
        <v>13489</v>
      </c>
      <c r="AT689" t="s">
        <v>12668</v>
      </c>
      <c r="AU689">
        <v>2019</v>
      </c>
      <c r="AV689">
        <v>31</v>
      </c>
      <c r="AW689">
        <v>1</v>
      </c>
      <c r="AX689" t="s">
        <v>74</v>
      </c>
      <c r="AY689" t="s">
        <v>74</v>
      </c>
      <c r="AZ689" t="s">
        <v>74</v>
      </c>
      <c r="BA689" t="s">
        <v>74</v>
      </c>
      <c r="BB689">
        <v>81</v>
      </c>
      <c r="BC689">
        <v>97</v>
      </c>
      <c r="BD689" t="s">
        <v>74</v>
      </c>
      <c r="BE689" t="s">
        <v>13490</v>
      </c>
      <c r="BF689" t="str">
        <f>HYPERLINK("http://dx.doi.org/10.1177/0843871418822436","http://dx.doi.org/10.1177/0843871418822436")</f>
        <v>http://dx.doi.org/10.1177/0843871418822436</v>
      </c>
      <c r="BG689" t="s">
        <v>74</v>
      </c>
      <c r="BH689" t="s">
        <v>74</v>
      </c>
      <c r="BI689">
        <v>17</v>
      </c>
      <c r="BJ689" t="s">
        <v>9078</v>
      </c>
      <c r="BK689" t="s">
        <v>2712</v>
      </c>
      <c r="BL689" t="s">
        <v>9078</v>
      </c>
      <c r="BM689" t="s">
        <v>13491</v>
      </c>
      <c r="BN689" t="s">
        <v>74</v>
      </c>
      <c r="BO689" t="s">
        <v>279</v>
      </c>
      <c r="BP689" t="s">
        <v>74</v>
      </c>
      <c r="BQ689" t="s">
        <v>74</v>
      </c>
      <c r="BR689" t="s">
        <v>107</v>
      </c>
      <c r="BS689" t="s">
        <v>13492</v>
      </c>
      <c r="BT689" t="str">
        <f>HYPERLINK("https%3A%2F%2Fwww.webofscience.com%2Fwos%2Fwoscc%2Ffull-record%2FWOS:000459497600006","View Full Record in Web of Science")</f>
        <v>View Full Record in Web of Science</v>
      </c>
    </row>
    <row r="690" spans="1:72" x14ac:dyDescent="0.15">
      <c r="A690" t="s">
        <v>72</v>
      </c>
      <c r="B690" t="s">
        <v>13493</v>
      </c>
      <c r="C690" t="s">
        <v>74</v>
      </c>
      <c r="D690" t="s">
        <v>74</v>
      </c>
      <c r="E690" t="s">
        <v>74</v>
      </c>
      <c r="F690" t="s">
        <v>13494</v>
      </c>
      <c r="G690" t="s">
        <v>74</v>
      </c>
      <c r="H690" t="s">
        <v>74</v>
      </c>
      <c r="I690" t="s">
        <v>13495</v>
      </c>
      <c r="J690" t="s">
        <v>13496</v>
      </c>
      <c r="K690" t="s">
        <v>74</v>
      </c>
      <c r="L690" t="s">
        <v>74</v>
      </c>
      <c r="M690" t="s">
        <v>78</v>
      </c>
      <c r="N690" t="s">
        <v>79</v>
      </c>
      <c r="O690" t="s">
        <v>74</v>
      </c>
      <c r="P690" t="s">
        <v>74</v>
      </c>
      <c r="Q690" t="s">
        <v>74</v>
      </c>
      <c r="R690" t="s">
        <v>74</v>
      </c>
      <c r="S690" t="s">
        <v>74</v>
      </c>
      <c r="T690" t="s">
        <v>74</v>
      </c>
      <c r="U690" t="s">
        <v>74</v>
      </c>
      <c r="V690" t="s">
        <v>13497</v>
      </c>
      <c r="W690" t="s">
        <v>13498</v>
      </c>
      <c r="X690" t="s">
        <v>13499</v>
      </c>
      <c r="Y690" t="s">
        <v>13500</v>
      </c>
      <c r="Z690" t="s">
        <v>13501</v>
      </c>
      <c r="AA690" t="s">
        <v>13502</v>
      </c>
      <c r="AB690" t="s">
        <v>13503</v>
      </c>
      <c r="AC690" t="s">
        <v>13504</v>
      </c>
      <c r="AD690" t="s">
        <v>13505</v>
      </c>
      <c r="AE690" t="s">
        <v>13506</v>
      </c>
      <c r="AF690" t="s">
        <v>74</v>
      </c>
      <c r="AG690">
        <v>18</v>
      </c>
      <c r="AH690">
        <v>8</v>
      </c>
      <c r="AI690">
        <v>8</v>
      </c>
      <c r="AJ690">
        <v>1</v>
      </c>
      <c r="AK690">
        <v>2</v>
      </c>
      <c r="AL690" t="s">
        <v>13507</v>
      </c>
      <c r="AM690" t="s">
        <v>126</v>
      </c>
      <c r="AN690" t="s">
        <v>13508</v>
      </c>
      <c r="AO690" t="s">
        <v>13509</v>
      </c>
      <c r="AP690" t="s">
        <v>74</v>
      </c>
      <c r="AQ690" t="s">
        <v>74</v>
      </c>
      <c r="AR690" t="s">
        <v>13510</v>
      </c>
      <c r="AS690" t="s">
        <v>13511</v>
      </c>
      <c r="AT690" t="s">
        <v>12668</v>
      </c>
      <c r="AU690">
        <v>2019</v>
      </c>
      <c r="AV690">
        <v>8</v>
      </c>
      <c r="AW690">
        <v>7</v>
      </c>
      <c r="AX690" t="s">
        <v>74</v>
      </c>
      <c r="AY690" t="s">
        <v>74</v>
      </c>
      <c r="AZ690" t="s">
        <v>74</v>
      </c>
      <c r="BA690" t="s">
        <v>74</v>
      </c>
      <c r="BB690" t="s">
        <v>74</v>
      </c>
      <c r="BC690" t="s">
        <v>74</v>
      </c>
      <c r="BD690" t="s">
        <v>13512</v>
      </c>
      <c r="BE690" t="s">
        <v>13513</v>
      </c>
      <c r="BF690" t="str">
        <f>HYPERLINK("http://dx.doi.org/10.1128/MRA.01651-18","http://dx.doi.org/10.1128/MRA.01651-18")</f>
        <v>http://dx.doi.org/10.1128/MRA.01651-18</v>
      </c>
      <c r="BG690" t="s">
        <v>74</v>
      </c>
      <c r="BH690" t="s">
        <v>74</v>
      </c>
      <c r="BI690">
        <v>3</v>
      </c>
      <c r="BJ690" t="s">
        <v>901</v>
      </c>
      <c r="BK690" t="s">
        <v>2712</v>
      </c>
      <c r="BL690" t="s">
        <v>901</v>
      </c>
      <c r="BM690" t="s">
        <v>13514</v>
      </c>
      <c r="BN690">
        <v>30801068</v>
      </c>
      <c r="BO690" t="s">
        <v>851</v>
      </c>
      <c r="BP690" t="s">
        <v>74</v>
      </c>
      <c r="BQ690" t="s">
        <v>74</v>
      </c>
      <c r="BR690" t="s">
        <v>107</v>
      </c>
      <c r="BS690" t="s">
        <v>13515</v>
      </c>
      <c r="BT690" t="str">
        <f>HYPERLINK("https%3A%2F%2Fwww.webofscience.com%2Fwos%2Fwoscc%2Ffull-record%2FWOS:000459379100012","View Full Record in Web of Science")</f>
        <v>View Full Record in Web of Science</v>
      </c>
    </row>
    <row r="691" spans="1:72" x14ac:dyDescent="0.15">
      <c r="A691" t="s">
        <v>72</v>
      </c>
      <c r="B691" t="s">
        <v>13516</v>
      </c>
      <c r="C691" t="s">
        <v>74</v>
      </c>
      <c r="D691" t="s">
        <v>74</v>
      </c>
      <c r="E691" t="s">
        <v>74</v>
      </c>
      <c r="F691" t="s">
        <v>13517</v>
      </c>
      <c r="G691" t="s">
        <v>74</v>
      </c>
      <c r="H691" t="s">
        <v>74</v>
      </c>
      <c r="I691" t="s">
        <v>13518</v>
      </c>
      <c r="J691" t="s">
        <v>4519</v>
      </c>
      <c r="K691" t="s">
        <v>74</v>
      </c>
      <c r="L691" t="s">
        <v>74</v>
      </c>
      <c r="M691" t="s">
        <v>78</v>
      </c>
      <c r="N691" t="s">
        <v>79</v>
      </c>
      <c r="O691" t="s">
        <v>74</v>
      </c>
      <c r="P691" t="s">
        <v>74</v>
      </c>
      <c r="Q691" t="s">
        <v>74</v>
      </c>
      <c r="R691" t="s">
        <v>74</v>
      </c>
      <c r="S691" t="s">
        <v>74</v>
      </c>
      <c r="T691" t="s">
        <v>13519</v>
      </c>
      <c r="U691" t="s">
        <v>13520</v>
      </c>
      <c r="V691" t="s">
        <v>13521</v>
      </c>
      <c r="W691" t="s">
        <v>13522</v>
      </c>
      <c r="X691" t="s">
        <v>13523</v>
      </c>
      <c r="Y691" t="s">
        <v>13524</v>
      </c>
      <c r="Z691" t="s">
        <v>13525</v>
      </c>
      <c r="AA691" t="s">
        <v>74</v>
      </c>
      <c r="AB691" t="s">
        <v>13526</v>
      </c>
      <c r="AC691" t="s">
        <v>13527</v>
      </c>
      <c r="AD691" t="s">
        <v>13528</v>
      </c>
      <c r="AE691" t="s">
        <v>13529</v>
      </c>
      <c r="AF691" t="s">
        <v>74</v>
      </c>
      <c r="AG691">
        <v>38</v>
      </c>
      <c r="AH691">
        <v>8</v>
      </c>
      <c r="AI691">
        <v>8</v>
      </c>
      <c r="AJ691">
        <v>3</v>
      </c>
      <c r="AK691">
        <v>38</v>
      </c>
      <c r="AL691" t="s">
        <v>2960</v>
      </c>
      <c r="AM691" t="s">
        <v>607</v>
      </c>
      <c r="AN691" t="s">
        <v>4525</v>
      </c>
      <c r="AO691" t="s">
        <v>4526</v>
      </c>
      <c r="AP691" t="s">
        <v>4527</v>
      </c>
      <c r="AQ691" t="s">
        <v>74</v>
      </c>
      <c r="AR691" t="s">
        <v>4528</v>
      </c>
      <c r="AS691" t="s">
        <v>4529</v>
      </c>
      <c r="AT691" t="s">
        <v>12668</v>
      </c>
      <c r="AU691">
        <v>2019</v>
      </c>
      <c r="AV691">
        <v>31</v>
      </c>
      <c r="AW691">
        <v>1</v>
      </c>
      <c r="AX691" t="s">
        <v>74</v>
      </c>
      <c r="AY691" t="s">
        <v>74</v>
      </c>
      <c r="AZ691" t="s">
        <v>74</v>
      </c>
      <c r="BA691" t="s">
        <v>74</v>
      </c>
      <c r="BB691">
        <v>3</v>
      </c>
      <c r="BC691">
        <v>12</v>
      </c>
      <c r="BD691" t="s">
        <v>74</v>
      </c>
      <c r="BE691" t="s">
        <v>13530</v>
      </c>
      <c r="BF691" t="str">
        <f>HYPERLINK("http://dx.doi.org/10.1017/S0954102018000421","http://dx.doi.org/10.1017/S0954102018000421")</f>
        <v>http://dx.doi.org/10.1017/S0954102018000421</v>
      </c>
      <c r="BG691" t="s">
        <v>74</v>
      </c>
      <c r="BH691" t="s">
        <v>74</v>
      </c>
      <c r="BI691">
        <v>10</v>
      </c>
      <c r="BJ691" t="s">
        <v>4532</v>
      </c>
      <c r="BK691" t="s">
        <v>102</v>
      </c>
      <c r="BL691" t="s">
        <v>4533</v>
      </c>
      <c r="BM691" t="s">
        <v>13531</v>
      </c>
      <c r="BN691" t="s">
        <v>74</v>
      </c>
      <c r="BO691" t="s">
        <v>74</v>
      </c>
      <c r="BP691" t="s">
        <v>74</v>
      </c>
      <c r="BQ691" t="s">
        <v>74</v>
      </c>
      <c r="BR691" t="s">
        <v>107</v>
      </c>
      <c r="BS691" t="s">
        <v>13532</v>
      </c>
      <c r="BT691" t="str">
        <f>HYPERLINK("https%3A%2F%2Fwww.webofscience.com%2Fwos%2Fwoscc%2Ffull-record%2FWOS:000459031700002","View Full Record in Web of Science")</f>
        <v>View Full Record in Web of Science</v>
      </c>
    </row>
    <row r="692" spans="1:72" x14ac:dyDescent="0.15">
      <c r="A692" t="s">
        <v>72</v>
      </c>
      <c r="B692" t="s">
        <v>13533</v>
      </c>
      <c r="C692" t="s">
        <v>74</v>
      </c>
      <c r="D692" t="s">
        <v>74</v>
      </c>
      <c r="E692" t="s">
        <v>74</v>
      </c>
      <c r="F692" t="s">
        <v>13534</v>
      </c>
      <c r="G692" t="s">
        <v>74</v>
      </c>
      <c r="H692" t="s">
        <v>74</v>
      </c>
      <c r="I692" t="s">
        <v>13535</v>
      </c>
      <c r="J692" t="s">
        <v>4519</v>
      </c>
      <c r="K692" t="s">
        <v>74</v>
      </c>
      <c r="L692" t="s">
        <v>74</v>
      </c>
      <c r="M692" t="s">
        <v>78</v>
      </c>
      <c r="N692" t="s">
        <v>79</v>
      </c>
      <c r="O692" t="s">
        <v>74</v>
      </c>
      <c r="P692" t="s">
        <v>74</v>
      </c>
      <c r="Q692" t="s">
        <v>74</v>
      </c>
      <c r="R692" t="s">
        <v>74</v>
      </c>
      <c r="S692" t="s">
        <v>74</v>
      </c>
      <c r="T692" t="s">
        <v>13536</v>
      </c>
      <c r="U692" t="s">
        <v>13537</v>
      </c>
      <c r="V692" t="s">
        <v>13538</v>
      </c>
      <c r="W692" t="s">
        <v>13539</v>
      </c>
      <c r="X692" t="s">
        <v>13540</v>
      </c>
      <c r="Y692" t="s">
        <v>13541</v>
      </c>
      <c r="Z692" t="s">
        <v>13542</v>
      </c>
      <c r="AA692" t="s">
        <v>74</v>
      </c>
      <c r="AB692" t="s">
        <v>13543</v>
      </c>
      <c r="AC692" t="s">
        <v>13544</v>
      </c>
      <c r="AD692" t="s">
        <v>2199</v>
      </c>
      <c r="AE692" t="s">
        <v>13545</v>
      </c>
      <c r="AF692" t="s">
        <v>74</v>
      </c>
      <c r="AG692">
        <v>10</v>
      </c>
      <c r="AH692">
        <v>3</v>
      </c>
      <c r="AI692">
        <v>3</v>
      </c>
      <c r="AJ692">
        <v>0</v>
      </c>
      <c r="AK692">
        <v>5</v>
      </c>
      <c r="AL692" t="s">
        <v>2960</v>
      </c>
      <c r="AM692" t="s">
        <v>607</v>
      </c>
      <c r="AN692" t="s">
        <v>4525</v>
      </c>
      <c r="AO692" t="s">
        <v>4526</v>
      </c>
      <c r="AP692" t="s">
        <v>4527</v>
      </c>
      <c r="AQ692" t="s">
        <v>74</v>
      </c>
      <c r="AR692" t="s">
        <v>4528</v>
      </c>
      <c r="AS692" t="s">
        <v>4529</v>
      </c>
      <c r="AT692" t="s">
        <v>12668</v>
      </c>
      <c r="AU692">
        <v>2019</v>
      </c>
      <c r="AV692">
        <v>31</v>
      </c>
      <c r="AW692">
        <v>1</v>
      </c>
      <c r="AX692" t="s">
        <v>74</v>
      </c>
      <c r="AY692" t="s">
        <v>74</v>
      </c>
      <c r="AZ692" t="s">
        <v>74</v>
      </c>
      <c r="BA692" t="s">
        <v>74</v>
      </c>
      <c r="BB692">
        <v>13</v>
      </c>
      <c r="BC692">
        <v>15</v>
      </c>
      <c r="BD692" t="s">
        <v>74</v>
      </c>
      <c r="BE692" t="s">
        <v>13546</v>
      </c>
      <c r="BF692" t="str">
        <f>HYPERLINK("http://dx.doi.org/10.1017/S0954102018000457","http://dx.doi.org/10.1017/S0954102018000457")</f>
        <v>http://dx.doi.org/10.1017/S0954102018000457</v>
      </c>
      <c r="BG692" t="s">
        <v>74</v>
      </c>
      <c r="BH692" t="s">
        <v>74</v>
      </c>
      <c r="BI692">
        <v>3</v>
      </c>
      <c r="BJ692" t="s">
        <v>4532</v>
      </c>
      <c r="BK692" t="s">
        <v>102</v>
      </c>
      <c r="BL692" t="s">
        <v>4533</v>
      </c>
      <c r="BM692" t="s">
        <v>13531</v>
      </c>
      <c r="BN692" t="s">
        <v>74</v>
      </c>
      <c r="BO692" t="s">
        <v>74</v>
      </c>
      <c r="BP692" t="s">
        <v>74</v>
      </c>
      <c r="BQ692" t="s">
        <v>74</v>
      </c>
      <c r="BR692" t="s">
        <v>107</v>
      </c>
      <c r="BS692" t="s">
        <v>13547</v>
      </c>
      <c r="BT692" t="str">
        <f>HYPERLINK("https%3A%2F%2Fwww.webofscience.com%2Fwos%2Fwoscc%2Ffull-record%2FWOS:000459031700003","View Full Record in Web of Science")</f>
        <v>View Full Record in Web of Science</v>
      </c>
    </row>
    <row r="693" spans="1:72" x14ac:dyDescent="0.15">
      <c r="A693" t="s">
        <v>72</v>
      </c>
      <c r="B693" t="s">
        <v>13548</v>
      </c>
      <c r="C693" t="s">
        <v>74</v>
      </c>
      <c r="D693" t="s">
        <v>74</v>
      </c>
      <c r="E693" t="s">
        <v>74</v>
      </c>
      <c r="F693" t="s">
        <v>13549</v>
      </c>
      <c r="G693" t="s">
        <v>74</v>
      </c>
      <c r="H693" t="s">
        <v>74</v>
      </c>
      <c r="I693" t="s">
        <v>13550</v>
      </c>
      <c r="J693" t="s">
        <v>4519</v>
      </c>
      <c r="K693" t="s">
        <v>74</v>
      </c>
      <c r="L693" t="s">
        <v>74</v>
      </c>
      <c r="M693" t="s">
        <v>78</v>
      </c>
      <c r="N693" t="s">
        <v>79</v>
      </c>
      <c r="O693" t="s">
        <v>74</v>
      </c>
      <c r="P693" t="s">
        <v>74</v>
      </c>
      <c r="Q693" t="s">
        <v>74</v>
      </c>
      <c r="R693" t="s">
        <v>74</v>
      </c>
      <c r="S693" t="s">
        <v>74</v>
      </c>
      <c r="T693" t="s">
        <v>13551</v>
      </c>
      <c r="U693" t="s">
        <v>13552</v>
      </c>
      <c r="V693" t="s">
        <v>13553</v>
      </c>
      <c r="W693" t="s">
        <v>13554</v>
      </c>
      <c r="X693" t="s">
        <v>13555</v>
      </c>
      <c r="Y693" t="s">
        <v>13556</v>
      </c>
      <c r="Z693" t="s">
        <v>13557</v>
      </c>
      <c r="AA693" t="s">
        <v>74</v>
      </c>
      <c r="AB693" t="s">
        <v>74</v>
      </c>
      <c r="AC693" t="s">
        <v>13558</v>
      </c>
      <c r="AD693" t="s">
        <v>13559</v>
      </c>
      <c r="AE693" t="s">
        <v>13560</v>
      </c>
      <c r="AF693" t="s">
        <v>74</v>
      </c>
      <c r="AG693">
        <v>35</v>
      </c>
      <c r="AH693">
        <v>6</v>
      </c>
      <c r="AI693">
        <v>9</v>
      </c>
      <c r="AJ693">
        <v>0</v>
      </c>
      <c r="AK693">
        <v>10</v>
      </c>
      <c r="AL693" t="s">
        <v>2960</v>
      </c>
      <c r="AM693" t="s">
        <v>607</v>
      </c>
      <c r="AN693" t="s">
        <v>4525</v>
      </c>
      <c r="AO693" t="s">
        <v>4526</v>
      </c>
      <c r="AP693" t="s">
        <v>4527</v>
      </c>
      <c r="AQ693" t="s">
        <v>74</v>
      </c>
      <c r="AR693" t="s">
        <v>4528</v>
      </c>
      <c r="AS693" t="s">
        <v>4529</v>
      </c>
      <c r="AT693" t="s">
        <v>12668</v>
      </c>
      <c r="AU693">
        <v>2019</v>
      </c>
      <c r="AV693">
        <v>31</v>
      </c>
      <c r="AW693">
        <v>1</v>
      </c>
      <c r="AX693" t="s">
        <v>74</v>
      </c>
      <c r="AY693" t="s">
        <v>74</v>
      </c>
      <c r="AZ693" t="s">
        <v>74</v>
      </c>
      <c r="BA693" t="s">
        <v>74</v>
      </c>
      <c r="BB693">
        <v>16</v>
      </c>
      <c r="BC693">
        <v>22</v>
      </c>
      <c r="BD693" t="s">
        <v>74</v>
      </c>
      <c r="BE693" t="s">
        <v>13561</v>
      </c>
      <c r="BF693" t="str">
        <f>HYPERLINK("http://dx.doi.org/10.1017/S0954102018000469","http://dx.doi.org/10.1017/S0954102018000469")</f>
        <v>http://dx.doi.org/10.1017/S0954102018000469</v>
      </c>
      <c r="BG693" t="s">
        <v>74</v>
      </c>
      <c r="BH693" t="s">
        <v>74</v>
      </c>
      <c r="BI693">
        <v>7</v>
      </c>
      <c r="BJ693" t="s">
        <v>4532</v>
      </c>
      <c r="BK693" t="s">
        <v>102</v>
      </c>
      <c r="BL693" t="s">
        <v>4533</v>
      </c>
      <c r="BM693" t="s">
        <v>13531</v>
      </c>
      <c r="BN693" t="s">
        <v>74</v>
      </c>
      <c r="BO693" t="s">
        <v>74</v>
      </c>
      <c r="BP693" t="s">
        <v>74</v>
      </c>
      <c r="BQ693" t="s">
        <v>74</v>
      </c>
      <c r="BR693" t="s">
        <v>107</v>
      </c>
      <c r="BS693" t="s">
        <v>13562</v>
      </c>
      <c r="BT693" t="str">
        <f>HYPERLINK("https%3A%2F%2Fwww.webofscience.com%2Fwos%2Fwoscc%2Ffull-record%2FWOS:000459031700004","View Full Record in Web of Science")</f>
        <v>View Full Record in Web of Science</v>
      </c>
    </row>
    <row r="694" spans="1:72" x14ac:dyDescent="0.15">
      <c r="A694" t="s">
        <v>72</v>
      </c>
      <c r="B694" t="s">
        <v>13563</v>
      </c>
      <c r="C694" t="s">
        <v>74</v>
      </c>
      <c r="D694" t="s">
        <v>74</v>
      </c>
      <c r="E694" t="s">
        <v>74</v>
      </c>
      <c r="F694" t="s">
        <v>13564</v>
      </c>
      <c r="G694" t="s">
        <v>74</v>
      </c>
      <c r="H694" t="s">
        <v>74</v>
      </c>
      <c r="I694" t="s">
        <v>13565</v>
      </c>
      <c r="J694" t="s">
        <v>4519</v>
      </c>
      <c r="K694" t="s">
        <v>74</v>
      </c>
      <c r="L694" t="s">
        <v>74</v>
      </c>
      <c r="M694" t="s">
        <v>78</v>
      </c>
      <c r="N694" t="s">
        <v>79</v>
      </c>
      <c r="O694" t="s">
        <v>74</v>
      </c>
      <c r="P694" t="s">
        <v>74</v>
      </c>
      <c r="Q694" t="s">
        <v>74</v>
      </c>
      <c r="R694" t="s">
        <v>74</v>
      </c>
      <c r="S694" t="s">
        <v>74</v>
      </c>
      <c r="T694" t="s">
        <v>13566</v>
      </c>
      <c r="U694" t="s">
        <v>13567</v>
      </c>
      <c r="V694" t="s">
        <v>13568</v>
      </c>
      <c r="W694" t="s">
        <v>13569</v>
      </c>
      <c r="X694" t="s">
        <v>13570</v>
      </c>
      <c r="Y694" t="s">
        <v>13571</v>
      </c>
      <c r="Z694" t="s">
        <v>13572</v>
      </c>
      <c r="AA694" t="s">
        <v>13573</v>
      </c>
      <c r="AB694" t="s">
        <v>13574</v>
      </c>
      <c r="AC694" t="s">
        <v>13575</v>
      </c>
      <c r="AD694" t="s">
        <v>13576</v>
      </c>
      <c r="AE694" t="s">
        <v>13577</v>
      </c>
      <c r="AF694" t="s">
        <v>74</v>
      </c>
      <c r="AG694">
        <v>40</v>
      </c>
      <c r="AH694">
        <v>13</v>
      </c>
      <c r="AI694">
        <v>13</v>
      </c>
      <c r="AJ694">
        <v>0</v>
      </c>
      <c r="AK694">
        <v>35</v>
      </c>
      <c r="AL694" t="s">
        <v>2960</v>
      </c>
      <c r="AM694" t="s">
        <v>607</v>
      </c>
      <c r="AN694" t="s">
        <v>4525</v>
      </c>
      <c r="AO694" t="s">
        <v>4526</v>
      </c>
      <c r="AP694" t="s">
        <v>4527</v>
      </c>
      <c r="AQ694" t="s">
        <v>74</v>
      </c>
      <c r="AR694" t="s">
        <v>4528</v>
      </c>
      <c r="AS694" t="s">
        <v>4529</v>
      </c>
      <c r="AT694" t="s">
        <v>12668</v>
      </c>
      <c r="AU694">
        <v>2019</v>
      </c>
      <c r="AV694">
        <v>31</v>
      </c>
      <c r="AW694">
        <v>1</v>
      </c>
      <c r="AX694" t="s">
        <v>74</v>
      </c>
      <c r="AY694" t="s">
        <v>74</v>
      </c>
      <c r="AZ694" t="s">
        <v>74</v>
      </c>
      <c r="BA694" t="s">
        <v>74</v>
      </c>
      <c r="BB694">
        <v>23</v>
      </c>
      <c r="BC694">
        <v>33</v>
      </c>
      <c r="BD694" t="s">
        <v>74</v>
      </c>
      <c r="BE694" t="s">
        <v>13578</v>
      </c>
      <c r="BF694" t="str">
        <f>HYPERLINK("http://dx.doi.org/10.1017/S0954102018000470","http://dx.doi.org/10.1017/S0954102018000470")</f>
        <v>http://dx.doi.org/10.1017/S0954102018000470</v>
      </c>
      <c r="BG694" t="s">
        <v>74</v>
      </c>
      <c r="BH694" t="s">
        <v>74</v>
      </c>
      <c r="BI694">
        <v>11</v>
      </c>
      <c r="BJ694" t="s">
        <v>4532</v>
      </c>
      <c r="BK694" t="s">
        <v>102</v>
      </c>
      <c r="BL694" t="s">
        <v>4533</v>
      </c>
      <c r="BM694" t="s">
        <v>13531</v>
      </c>
      <c r="BN694" t="s">
        <v>74</v>
      </c>
      <c r="BO694" t="s">
        <v>74</v>
      </c>
      <c r="BP694" t="s">
        <v>74</v>
      </c>
      <c r="BQ694" t="s">
        <v>74</v>
      </c>
      <c r="BR694" t="s">
        <v>107</v>
      </c>
      <c r="BS694" t="s">
        <v>13579</v>
      </c>
      <c r="BT694" t="str">
        <f>HYPERLINK("https%3A%2F%2Fwww.webofscience.com%2Fwos%2Fwoscc%2Ffull-record%2FWOS:000459031700005","View Full Record in Web of Science")</f>
        <v>View Full Record in Web of Science</v>
      </c>
    </row>
    <row r="695" spans="1:72" x14ac:dyDescent="0.15">
      <c r="A695" t="s">
        <v>72</v>
      </c>
      <c r="B695" t="s">
        <v>13580</v>
      </c>
      <c r="C695" t="s">
        <v>74</v>
      </c>
      <c r="D695" t="s">
        <v>74</v>
      </c>
      <c r="E695" t="s">
        <v>74</v>
      </c>
      <c r="F695" t="s">
        <v>13581</v>
      </c>
      <c r="G695" t="s">
        <v>74</v>
      </c>
      <c r="H695" t="s">
        <v>74</v>
      </c>
      <c r="I695" t="s">
        <v>13582</v>
      </c>
      <c r="J695" t="s">
        <v>4519</v>
      </c>
      <c r="K695" t="s">
        <v>74</v>
      </c>
      <c r="L695" t="s">
        <v>74</v>
      </c>
      <c r="M695" t="s">
        <v>78</v>
      </c>
      <c r="N695" t="s">
        <v>79</v>
      </c>
      <c r="O695" t="s">
        <v>74</v>
      </c>
      <c r="P695" t="s">
        <v>74</v>
      </c>
      <c r="Q695" t="s">
        <v>74</v>
      </c>
      <c r="R695" t="s">
        <v>74</v>
      </c>
      <c r="S695" t="s">
        <v>74</v>
      </c>
      <c r="T695" t="s">
        <v>74</v>
      </c>
      <c r="U695" t="s">
        <v>74</v>
      </c>
      <c r="V695" t="s">
        <v>74</v>
      </c>
      <c r="W695" t="s">
        <v>13583</v>
      </c>
      <c r="X695" t="s">
        <v>10295</v>
      </c>
      <c r="Y695" t="s">
        <v>13584</v>
      </c>
      <c r="Z695" t="s">
        <v>13585</v>
      </c>
      <c r="AA695" t="s">
        <v>74</v>
      </c>
      <c r="AB695" t="s">
        <v>74</v>
      </c>
      <c r="AC695" t="s">
        <v>74</v>
      </c>
      <c r="AD695" t="s">
        <v>74</v>
      </c>
      <c r="AE695" t="s">
        <v>74</v>
      </c>
      <c r="AF695" t="s">
        <v>74</v>
      </c>
      <c r="AG695">
        <v>8</v>
      </c>
      <c r="AH695">
        <v>0</v>
      </c>
      <c r="AI695">
        <v>1</v>
      </c>
      <c r="AJ695">
        <v>0</v>
      </c>
      <c r="AK695">
        <v>2</v>
      </c>
      <c r="AL695" t="s">
        <v>2960</v>
      </c>
      <c r="AM695" t="s">
        <v>607</v>
      </c>
      <c r="AN695" t="s">
        <v>4525</v>
      </c>
      <c r="AO695" t="s">
        <v>4526</v>
      </c>
      <c r="AP695" t="s">
        <v>4527</v>
      </c>
      <c r="AQ695" t="s">
        <v>74</v>
      </c>
      <c r="AR695" t="s">
        <v>4528</v>
      </c>
      <c r="AS695" t="s">
        <v>4529</v>
      </c>
      <c r="AT695" t="s">
        <v>12668</v>
      </c>
      <c r="AU695">
        <v>2019</v>
      </c>
      <c r="AV695">
        <v>31</v>
      </c>
      <c r="AW695">
        <v>1</v>
      </c>
      <c r="AX695" t="s">
        <v>74</v>
      </c>
      <c r="AY695" t="s">
        <v>74</v>
      </c>
      <c r="AZ695" t="s">
        <v>74</v>
      </c>
      <c r="BA695" t="s">
        <v>74</v>
      </c>
      <c r="BB695">
        <v>35</v>
      </c>
      <c r="BC695">
        <v>36</v>
      </c>
      <c r="BD695" t="s">
        <v>74</v>
      </c>
      <c r="BE695" t="s">
        <v>13586</v>
      </c>
      <c r="BF695" t="str">
        <f>HYPERLINK("http://dx.doi.org/10.1017/S0954102018000512","http://dx.doi.org/10.1017/S0954102018000512")</f>
        <v>http://dx.doi.org/10.1017/S0954102018000512</v>
      </c>
      <c r="BG695" t="s">
        <v>74</v>
      </c>
      <c r="BH695" t="s">
        <v>74</v>
      </c>
      <c r="BI695">
        <v>2</v>
      </c>
      <c r="BJ695" t="s">
        <v>4532</v>
      </c>
      <c r="BK695" t="s">
        <v>102</v>
      </c>
      <c r="BL695" t="s">
        <v>4533</v>
      </c>
      <c r="BM695" t="s">
        <v>13531</v>
      </c>
      <c r="BN695" t="s">
        <v>74</v>
      </c>
      <c r="BO695" t="s">
        <v>74</v>
      </c>
      <c r="BP695" t="s">
        <v>74</v>
      </c>
      <c r="BQ695" t="s">
        <v>74</v>
      </c>
      <c r="BR695" t="s">
        <v>107</v>
      </c>
      <c r="BS695" t="s">
        <v>13587</v>
      </c>
      <c r="BT695" t="str">
        <f>HYPERLINK("https%3A%2F%2Fwww.webofscience.com%2Fwos%2Fwoscc%2Ffull-record%2FWOS:000459031700006","View Full Record in Web of Science")</f>
        <v>View Full Record in Web of Science</v>
      </c>
    </row>
    <row r="696" spans="1:72" x14ac:dyDescent="0.15">
      <c r="A696" t="s">
        <v>72</v>
      </c>
      <c r="B696" t="s">
        <v>13588</v>
      </c>
      <c r="C696" t="s">
        <v>74</v>
      </c>
      <c r="D696" t="s">
        <v>74</v>
      </c>
      <c r="E696" t="s">
        <v>74</v>
      </c>
      <c r="F696" t="s">
        <v>13589</v>
      </c>
      <c r="G696" t="s">
        <v>74</v>
      </c>
      <c r="H696" t="s">
        <v>74</v>
      </c>
      <c r="I696" t="s">
        <v>13590</v>
      </c>
      <c r="J696" t="s">
        <v>4519</v>
      </c>
      <c r="K696" t="s">
        <v>74</v>
      </c>
      <c r="L696" t="s">
        <v>74</v>
      </c>
      <c r="M696" t="s">
        <v>78</v>
      </c>
      <c r="N696" t="s">
        <v>79</v>
      </c>
      <c r="O696" t="s">
        <v>74</v>
      </c>
      <c r="P696" t="s">
        <v>74</v>
      </c>
      <c r="Q696" t="s">
        <v>74</v>
      </c>
      <c r="R696" t="s">
        <v>74</v>
      </c>
      <c r="S696" t="s">
        <v>74</v>
      </c>
      <c r="T696" t="s">
        <v>13591</v>
      </c>
      <c r="U696" t="s">
        <v>13592</v>
      </c>
      <c r="V696" t="s">
        <v>13593</v>
      </c>
      <c r="W696" t="s">
        <v>13594</v>
      </c>
      <c r="X696" t="s">
        <v>13595</v>
      </c>
      <c r="Y696" t="s">
        <v>13596</v>
      </c>
      <c r="Z696" t="s">
        <v>13597</v>
      </c>
      <c r="AA696" t="s">
        <v>13598</v>
      </c>
      <c r="AB696" t="s">
        <v>13599</v>
      </c>
      <c r="AC696" t="s">
        <v>13600</v>
      </c>
      <c r="AD696" t="s">
        <v>13601</v>
      </c>
      <c r="AE696" t="s">
        <v>13602</v>
      </c>
      <c r="AF696" t="s">
        <v>74</v>
      </c>
      <c r="AG696">
        <v>39</v>
      </c>
      <c r="AH696">
        <v>5</v>
      </c>
      <c r="AI696">
        <v>5</v>
      </c>
      <c r="AJ696">
        <v>3</v>
      </c>
      <c r="AK696">
        <v>7</v>
      </c>
      <c r="AL696" t="s">
        <v>2960</v>
      </c>
      <c r="AM696" t="s">
        <v>607</v>
      </c>
      <c r="AN696" t="s">
        <v>4525</v>
      </c>
      <c r="AO696" t="s">
        <v>4526</v>
      </c>
      <c r="AP696" t="s">
        <v>4527</v>
      </c>
      <c r="AQ696" t="s">
        <v>74</v>
      </c>
      <c r="AR696" t="s">
        <v>4528</v>
      </c>
      <c r="AS696" t="s">
        <v>4529</v>
      </c>
      <c r="AT696" t="s">
        <v>12668</v>
      </c>
      <c r="AU696">
        <v>2019</v>
      </c>
      <c r="AV696">
        <v>31</v>
      </c>
      <c r="AW696">
        <v>1</v>
      </c>
      <c r="AX696" t="s">
        <v>74</v>
      </c>
      <c r="AY696" t="s">
        <v>74</v>
      </c>
      <c r="AZ696" t="s">
        <v>74</v>
      </c>
      <c r="BA696" t="s">
        <v>74</v>
      </c>
      <c r="BB696">
        <v>37</v>
      </c>
      <c r="BC696">
        <v>51</v>
      </c>
      <c r="BD696" t="s">
        <v>74</v>
      </c>
      <c r="BE696" t="s">
        <v>13603</v>
      </c>
      <c r="BF696" t="str">
        <f>HYPERLINK("http://dx.doi.org/10.1017/S0954102018000433","http://dx.doi.org/10.1017/S0954102018000433")</f>
        <v>http://dx.doi.org/10.1017/S0954102018000433</v>
      </c>
      <c r="BG696" t="s">
        <v>74</v>
      </c>
      <c r="BH696" t="s">
        <v>74</v>
      </c>
      <c r="BI696">
        <v>15</v>
      </c>
      <c r="BJ696" t="s">
        <v>4532</v>
      </c>
      <c r="BK696" t="s">
        <v>102</v>
      </c>
      <c r="BL696" t="s">
        <v>4533</v>
      </c>
      <c r="BM696" t="s">
        <v>13531</v>
      </c>
      <c r="BN696" t="s">
        <v>74</v>
      </c>
      <c r="BO696" t="s">
        <v>74</v>
      </c>
      <c r="BP696" t="s">
        <v>74</v>
      </c>
      <c r="BQ696" t="s">
        <v>74</v>
      </c>
      <c r="BR696" t="s">
        <v>107</v>
      </c>
      <c r="BS696" t="s">
        <v>13604</v>
      </c>
      <c r="BT696" t="str">
        <f>HYPERLINK("https%3A%2F%2Fwww.webofscience.com%2Fwos%2Fwoscc%2Ffull-record%2FWOS:000459031700007","View Full Record in Web of Science")</f>
        <v>View Full Record in Web of Science</v>
      </c>
    </row>
    <row r="697" spans="1:72" x14ac:dyDescent="0.15">
      <c r="A697" t="s">
        <v>72</v>
      </c>
      <c r="B697" t="s">
        <v>13605</v>
      </c>
      <c r="C697" t="s">
        <v>74</v>
      </c>
      <c r="D697" t="s">
        <v>74</v>
      </c>
      <c r="E697" t="s">
        <v>74</v>
      </c>
      <c r="F697" t="s">
        <v>13606</v>
      </c>
      <c r="G697" t="s">
        <v>74</v>
      </c>
      <c r="H697" t="s">
        <v>74</v>
      </c>
      <c r="I697" t="s">
        <v>13607</v>
      </c>
      <c r="J697" t="s">
        <v>13608</v>
      </c>
      <c r="K697" t="s">
        <v>74</v>
      </c>
      <c r="L697" t="s">
        <v>74</v>
      </c>
      <c r="M697" t="s">
        <v>78</v>
      </c>
      <c r="N697" t="s">
        <v>79</v>
      </c>
      <c r="O697" t="s">
        <v>74</v>
      </c>
      <c r="P697" t="s">
        <v>74</v>
      </c>
      <c r="Q697" t="s">
        <v>74</v>
      </c>
      <c r="R697" t="s">
        <v>74</v>
      </c>
      <c r="S697" t="s">
        <v>74</v>
      </c>
      <c r="T697" t="s">
        <v>74</v>
      </c>
      <c r="U697" t="s">
        <v>13609</v>
      </c>
      <c r="V697" t="s">
        <v>13610</v>
      </c>
      <c r="W697" t="s">
        <v>13611</v>
      </c>
      <c r="X697" t="s">
        <v>13612</v>
      </c>
      <c r="Y697" t="s">
        <v>13613</v>
      </c>
      <c r="Z697" t="s">
        <v>13614</v>
      </c>
      <c r="AA697" t="s">
        <v>13615</v>
      </c>
      <c r="AB697" t="s">
        <v>13616</v>
      </c>
      <c r="AC697" t="s">
        <v>13617</v>
      </c>
      <c r="AD697" t="s">
        <v>13618</v>
      </c>
      <c r="AE697" t="s">
        <v>13619</v>
      </c>
      <c r="AF697" t="s">
        <v>74</v>
      </c>
      <c r="AG697">
        <v>74</v>
      </c>
      <c r="AH697">
        <v>16</v>
      </c>
      <c r="AI697">
        <v>19</v>
      </c>
      <c r="AJ697">
        <v>1</v>
      </c>
      <c r="AK697">
        <v>22</v>
      </c>
      <c r="AL697" t="s">
        <v>662</v>
      </c>
      <c r="AM697" t="s">
        <v>635</v>
      </c>
      <c r="AN697" t="s">
        <v>663</v>
      </c>
      <c r="AO697" t="s">
        <v>13620</v>
      </c>
      <c r="AP697" t="s">
        <v>13621</v>
      </c>
      <c r="AQ697" t="s">
        <v>74</v>
      </c>
      <c r="AR697" t="s">
        <v>13608</v>
      </c>
      <c r="AS697" t="s">
        <v>13622</v>
      </c>
      <c r="AT697" t="s">
        <v>12668</v>
      </c>
      <c r="AU697">
        <v>2019</v>
      </c>
      <c r="AV697">
        <v>326</v>
      </c>
      <c r="AW697" t="s">
        <v>74</v>
      </c>
      <c r="AX697" t="s">
        <v>74</v>
      </c>
      <c r="AY697" t="s">
        <v>74</v>
      </c>
      <c r="AZ697" t="s">
        <v>74</v>
      </c>
      <c r="BA697" t="s">
        <v>74</v>
      </c>
      <c r="BB697">
        <v>370</v>
      </c>
      <c r="BC697">
        <v>383</v>
      </c>
      <c r="BD697" t="s">
        <v>74</v>
      </c>
      <c r="BE697" t="s">
        <v>13623</v>
      </c>
      <c r="BF697" t="str">
        <f>HYPERLINK("http://dx.doi.org/10.1016/j.lithos.2018.12.031","http://dx.doi.org/10.1016/j.lithos.2018.12.031")</f>
        <v>http://dx.doi.org/10.1016/j.lithos.2018.12.031</v>
      </c>
      <c r="BG697" t="s">
        <v>74</v>
      </c>
      <c r="BH697" t="s">
        <v>74</v>
      </c>
      <c r="BI697">
        <v>14</v>
      </c>
      <c r="BJ697" t="s">
        <v>5677</v>
      </c>
      <c r="BK697" t="s">
        <v>102</v>
      </c>
      <c r="BL697" t="s">
        <v>5677</v>
      </c>
      <c r="BM697" t="s">
        <v>13624</v>
      </c>
      <c r="BN697" t="s">
        <v>74</v>
      </c>
      <c r="BO697" t="s">
        <v>1014</v>
      </c>
      <c r="BP697" t="s">
        <v>74</v>
      </c>
      <c r="BQ697" t="s">
        <v>74</v>
      </c>
      <c r="BR697" t="s">
        <v>107</v>
      </c>
      <c r="BS697" t="s">
        <v>13625</v>
      </c>
      <c r="BT697" t="str">
        <f>HYPERLINK("https%3A%2F%2Fwww.webofscience.com%2Fwos%2Fwoscc%2Ffull-record%2FWOS:000458942700023","View Full Record in Web of Science")</f>
        <v>View Full Record in Web of Science</v>
      </c>
    </row>
    <row r="698" spans="1:72" x14ac:dyDescent="0.15">
      <c r="A698" t="s">
        <v>72</v>
      </c>
      <c r="B698" t="s">
        <v>13626</v>
      </c>
      <c r="C698" t="s">
        <v>74</v>
      </c>
      <c r="D698" t="s">
        <v>74</v>
      </c>
      <c r="E698" t="s">
        <v>74</v>
      </c>
      <c r="F698" t="s">
        <v>13627</v>
      </c>
      <c r="G698" t="s">
        <v>74</v>
      </c>
      <c r="H698" t="s">
        <v>74</v>
      </c>
      <c r="I698" t="s">
        <v>13628</v>
      </c>
      <c r="J698" t="s">
        <v>13629</v>
      </c>
      <c r="K698" t="s">
        <v>74</v>
      </c>
      <c r="L698" t="s">
        <v>74</v>
      </c>
      <c r="M698" t="s">
        <v>78</v>
      </c>
      <c r="N698" t="s">
        <v>469</v>
      </c>
      <c r="O698" t="s">
        <v>74</v>
      </c>
      <c r="P698" t="s">
        <v>74</v>
      </c>
      <c r="Q698" t="s">
        <v>74</v>
      </c>
      <c r="R698" t="s">
        <v>74</v>
      </c>
      <c r="S698" t="s">
        <v>74</v>
      </c>
      <c r="T698" t="s">
        <v>13630</v>
      </c>
      <c r="U698" t="s">
        <v>13631</v>
      </c>
      <c r="V698" t="s">
        <v>13632</v>
      </c>
      <c r="W698" t="s">
        <v>13633</v>
      </c>
      <c r="X698" t="s">
        <v>13634</v>
      </c>
      <c r="Y698" t="s">
        <v>13635</v>
      </c>
      <c r="Z698" t="s">
        <v>13636</v>
      </c>
      <c r="AA698" t="s">
        <v>13637</v>
      </c>
      <c r="AB698" t="s">
        <v>74</v>
      </c>
      <c r="AC698" t="s">
        <v>13638</v>
      </c>
      <c r="AD698" t="s">
        <v>13639</v>
      </c>
      <c r="AE698" t="s">
        <v>13640</v>
      </c>
      <c r="AF698" t="s">
        <v>74</v>
      </c>
      <c r="AG698">
        <v>109</v>
      </c>
      <c r="AH698">
        <v>36</v>
      </c>
      <c r="AI698">
        <v>36</v>
      </c>
      <c r="AJ698">
        <v>2</v>
      </c>
      <c r="AK698">
        <v>48</v>
      </c>
      <c r="AL698" t="s">
        <v>153</v>
      </c>
      <c r="AM698" t="s">
        <v>154</v>
      </c>
      <c r="AN698" t="s">
        <v>155</v>
      </c>
      <c r="AO698" t="s">
        <v>13641</v>
      </c>
      <c r="AP698" t="s">
        <v>13642</v>
      </c>
      <c r="AQ698" t="s">
        <v>74</v>
      </c>
      <c r="AR698" t="s">
        <v>13643</v>
      </c>
      <c r="AS698" t="s">
        <v>13644</v>
      </c>
      <c r="AT698" t="s">
        <v>12668</v>
      </c>
      <c r="AU698">
        <v>2019</v>
      </c>
      <c r="AV698">
        <v>11</v>
      </c>
      <c r="AW698">
        <v>1</v>
      </c>
      <c r="AX698" t="s">
        <v>74</v>
      </c>
      <c r="AY698" t="s">
        <v>74</v>
      </c>
      <c r="AZ698" t="s">
        <v>74</v>
      </c>
      <c r="BA698" t="s">
        <v>74</v>
      </c>
      <c r="BB698">
        <v>133</v>
      </c>
      <c r="BC698">
        <v>148</v>
      </c>
      <c r="BD698" t="s">
        <v>74</v>
      </c>
      <c r="BE698" t="s">
        <v>13645</v>
      </c>
      <c r="BF698" t="str">
        <f>HYPERLINK("http://dx.doi.org/10.1111/raq.12230","http://dx.doi.org/10.1111/raq.12230")</f>
        <v>http://dx.doi.org/10.1111/raq.12230</v>
      </c>
      <c r="BG698" t="s">
        <v>74</v>
      </c>
      <c r="BH698" t="s">
        <v>74</v>
      </c>
      <c r="BI698">
        <v>16</v>
      </c>
      <c r="BJ698" t="s">
        <v>753</v>
      </c>
      <c r="BK698" t="s">
        <v>102</v>
      </c>
      <c r="BL698" t="s">
        <v>753</v>
      </c>
      <c r="BM698" t="s">
        <v>13646</v>
      </c>
      <c r="BN698" t="s">
        <v>74</v>
      </c>
      <c r="BO698" t="s">
        <v>279</v>
      </c>
      <c r="BP698" t="s">
        <v>74</v>
      </c>
      <c r="BQ698" t="s">
        <v>74</v>
      </c>
      <c r="BR698" t="s">
        <v>107</v>
      </c>
      <c r="BS698" t="s">
        <v>13647</v>
      </c>
      <c r="BT698" t="str">
        <f>HYPERLINK("https%3A%2F%2Fwww.webofscience.com%2Fwos%2Fwoscc%2Ffull-record%2FWOS:000458688100008","View Full Record in Web of Science")</f>
        <v>View Full Record in Web of Science</v>
      </c>
    </row>
    <row r="699" spans="1:72" x14ac:dyDescent="0.15">
      <c r="A699" t="s">
        <v>72</v>
      </c>
      <c r="B699" t="s">
        <v>13648</v>
      </c>
      <c r="C699" t="s">
        <v>74</v>
      </c>
      <c r="D699" t="s">
        <v>74</v>
      </c>
      <c r="E699" t="s">
        <v>74</v>
      </c>
      <c r="F699" t="s">
        <v>13649</v>
      </c>
      <c r="G699" t="s">
        <v>74</v>
      </c>
      <c r="H699" t="s">
        <v>74</v>
      </c>
      <c r="I699" t="s">
        <v>13650</v>
      </c>
      <c r="J699" t="s">
        <v>13651</v>
      </c>
      <c r="K699" t="s">
        <v>74</v>
      </c>
      <c r="L699" t="s">
        <v>74</v>
      </c>
      <c r="M699" t="s">
        <v>78</v>
      </c>
      <c r="N699" t="s">
        <v>79</v>
      </c>
      <c r="O699" t="s">
        <v>74</v>
      </c>
      <c r="P699" t="s">
        <v>74</v>
      </c>
      <c r="Q699" t="s">
        <v>74</v>
      </c>
      <c r="R699" t="s">
        <v>74</v>
      </c>
      <c r="S699" t="s">
        <v>74</v>
      </c>
      <c r="T699" t="s">
        <v>13652</v>
      </c>
      <c r="U699" t="s">
        <v>13653</v>
      </c>
      <c r="V699" t="s">
        <v>13654</v>
      </c>
      <c r="W699" t="s">
        <v>13655</v>
      </c>
      <c r="X699" t="s">
        <v>13656</v>
      </c>
      <c r="Y699" t="s">
        <v>13657</v>
      </c>
      <c r="Z699" t="s">
        <v>2659</v>
      </c>
      <c r="AA699" t="s">
        <v>13658</v>
      </c>
      <c r="AB699" t="s">
        <v>13659</v>
      </c>
      <c r="AC699" t="s">
        <v>13660</v>
      </c>
      <c r="AD699" t="s">
        <v>13660</v>
      </c>
      <c r="AE699" t="s">
        <v>13661</v>
      </c>
      <c r="AF699" t="s">
        <v>74</v>
      </c>
      <c r="AG699">
        <v>44</v>
      </c>
      <c r="AH699">
        <v>13</v>
      </c>
      <c r="AI699">
        <v>14</v>
      </c>
      <c r="AJ699">
        <v>0</v>
      </c>
      <c r="AK699">
        <v>18</v>
      </c>
      <c r="AL699" t="s">
        <v>306</v>
      </c>
      <c r="AM699" t="s">
        <v>93</v>
      </c>
      <c r="AN699" t="s">
        <v>307</v>
      </c>
      <c r="AO699" t="s">
        <v>13662</v>
      </c>
      <c r="AP699" t="s">
        <v>13663</v>
      </c>
      <c r="AQ699" t="s">
        <v>74</v>
      </c>
      <c r="AR699" t="s">
        <v>13664</v>
      </c>
      <c r="AS699" t="s">
        <v>13665</v>
      </c>
      <c r="AT699" t="s">
        <v>12668</v>
      </c>
      <c r="AU699">
        <v>2019</v>
      </c>
      <c r="AV699">
        <v>123</v>
      </c>
      <c r="AW699">
        <v>2</v>
      </c>
      <c r="AX699" t="s">
        <v>74</v>
      </c>
      <c r="AY699" t="s">
        <v>74</v>
      </c>
      <c r="AZ699" t="s">
        <v>74</v>
      </c>
      <c r="BA699" t="s">
        <v>74</v>
      </c>
      <c r="BB699">
        <v>151</v>
      </c>
      <c r="BC699">
        <v>158</v>
      </c>
      <c r="BD699" t="s">
        <v>74</v>
      </c>
      <c r="BE699" t="s">
        <v>13666</v>
      </c>
      <c r="BF699" t="str">
        <f>HYPERLINK("http://dx.doi.org/10.1016/j.funbio.2018.11.011","http://dx.doi.org/10.1016/j.funbio.2018.11.011")</f>
        <v>http://dx.doi.org/10.1016/j.funbio.2018.11.011</v>
      </c>
      <c r="BG699" t="s">
        <v>74</v>
      </c>
      <c r="BH699" t="s">
        <v>74</v>
      </c>
      <c r="BI699">
        <v>8</v>
      </c>
      <c r="BJ699" t="s">
        <v>13667</v>
      </c>
      <c r="BK699" t="s">
        <v>102</v>
      </c>
      <c r="BL699" t="s">
        <v>13667</v>
      </c>
      <c r="BM699" t="s">
        <v>13668</v>
      </c>
      <c r="BN699">
        <v>30709520</v>
      </c>
      <c r="BO699" t="s">
        <v>74</v>
      </c>
      <c r="BP699" t="s">
        <v>74</v>
      </c>
      <c r="BQ699" t="s">
        <v>74</v>
      </c>
      <c r="BR699" t="s">
        <v>107</v>
      </c>
      <c r="BS699" t="s">
        <v>13669</v>
      </c>
      <c r="BT699" t="str">
        <f>HYPERLINK("https%3A%2F%2Fwww.webofscience.com%2Fwos%2Fwoscc%2Ffull-record%2FWOS:000458709300007","View Full Record in Web of Science")</f>
        <v>View Full Record in Web of Science</v>
      </c>
    </row>
    <row r="700" spans="1:72" x14ac:dyDescent="0.15">
      <c r="A700" t="s">
        <v>72</v>
      </c>
      <c r="B700" t="s">
        <v>13670</v>
      </c>
      <c r="C700" t="s">
        <v>74</v>
      </c>
      <c r="D700" t="s">
        <v>74</v>
      </c>
      <c r="E700" t="s">
        <v>74</v>
      </c>
      <c r="F700" t="s">
        <v>13671</v>
      </c>
      <c r="G700" t="s">
        <v>74</v>
      </c>
      <c r="H700" t="s">
        <v>74</v>
      </c>
      <c r="I700" t="s">
        <v>13672</v>
      </c>
      <c r="J700" t="s">
        <v>13673</v>
      </c>
      <c r="K700" t="s">
        <v>74</v>
      </c>
      <c r="L700" t="s">
        <v>74</v>
      </c>
      <c r="M700" t="s">
        <v>78</v>
      </c>
      <c r="N700" t="s">
        <v>79</v>
      </c>
      <c r="O700" t="s">
        <v>74</v>
      </c>
      <c r="P700" t="s">
        <v>74</v>
      </c>
      <c r="Q700" t="s">
        <v>74</v>
      </c>
      <c r="R700" t="s">
        <v>74</v>
      </c>
      <c r="S700" t="s">
        <v>74</v>
      </c>
      <c r="T700" t="s">
        <v>74</v>
      </c>
      <c r="U700" t="s">
        <v>13674</v>
      </c>
      <c r="V700" t="s">
        <v>13675</v>
      </c>
      <c r="W700" t="s">
        <v>13676</v>
      </c>
      <c r="X700" t="s">
        <v>13677</v>
      </c>
      <c r="Y700" t="s">
        <v>13678</v>
      </c>
      <c r="Z700" t="s">
        <v>13679</v>
      </c>
      <c r="AA700" t="s">
        <v>13680</v>
      </c>
      <c r="AB700" t="s">
        <v>13681</v>
      </c>
      <c r="AC700" t="s">
        <v>74</v>
      </c>
      <c r="AD700" t="s">
        <v>74</v>
      </c>
      <c r="AE700" t="s">
        <v>74</v>
      </c>
      <c r="AF700" t="s">
        <v>74</v>
      </c>
      <c r="AG700">
        <v>111</v>
      </c>
      <c r="AH700">
        <v>11</v>
      </c>
      <c r="AI700">
        <v>12</v>
      </c>
      <c r="AJ700">
        <v>1</v>
      </c>
      <c r="AK700">
        <v>17</v>
      </c>
      <c r="AL700" t="s">
        <v>576</v>
      </c>
      <c r="AM700" t="s">
        <v>607</v>
      </c>
      <c r="AN700" t="s">
        <v>2143</v>
      </c>
      <c r="AO700" t="s">
        <v>13682</v>
      </c>
      <c r="AP700" t="s">
        <v>13683</v>
      </c>
      <c r="AQ700" t="s">
        <v>74</v>
      </c>
      <c r="AR700" t="s">
        <v>13684</v>
      </c>
      <c r="AS700" t="s">
        <v>13685</v>
      </c>
      <c r="AT700" t="s">
        <v>12668</v>
      </c>
      <c r="AU700">
        <v>2019</v>
      </c>
      <c r="AV700">
        <v>39</v>
      </c>
      <c r="AW700">
        <v>1</v>
      </c>
      <c r="AX700" t="s">
        <v>74</v>
      </c>
      <c r="AY700" t="s">
        <v>74</v>
      </c>
      <c r="AZ700" t="s">
        <v>74</v>
      </c>
      <c r="BA700" t="s">
        <v>74</v>
      </c>
      <c r="BB700">
        <v>77</v>
      </c>
      <c r="BC700">
        <v>99</v>
      </c>
      <c r="BD700" t="s">
        <v>74</v>
      </c>
      <c r="BE700" t="s">
        <v>13686</v>
      </c>
      <c r="BF700" t="str">
        <f>HYPERLINK("http://dx.doi.org/10.1007/s00367-018-00558-8","http://dx.doi.org/10.1007/s00367-018-00558-8")</f>
        <v>http://dx.doi.org/10.1007/s00367-018-00558-8</v>
      </c>
      <c r="BG700" t="s">
        <v>74</v>
      </c>
      <c r="BH700" t="s">
        <v>74</v>
      </c>
      <c r="BI700">
        <v>23</v>
      </c>
      <c r="BJ700" t="s">
        <v>13687</v>
      </c>
      <c r="BK700" t="s">
        <v>102</v>
      </c>
      <c r="BL700" t="s">
        <v>13688</v>
      </c>
      <c r="BM700" t="s">
        <v>13689</v>
      </c>
      <c r="BN700" t="s">
        <v>74</v>
      </c>
      <c r="BO700" t="s">
        <v>403</v>
      </c>
      <c r="BP700" t="s">
        <v>74</v>
      </c>
      <c r="BQ700" t="s">
        <v>74</v>
      </c>
      <c r="BR700" t="s">
        <v>107</v>
      </c>
      <c r="BS700" t="s">
        <v>13690</v>
      </c>
      <c r="BT700" t="str">
        <f>HYPERLINK("https%3A%2F%2Fwww.webofscience.com%2Fwos%2Fwoscc%2Ffull-record%2FWOS:000458181500006","View Full Record in Web of Science")</f>
        <v>View Full Record in Web of Science</v>
      </c>
    </row>
    <row r="701" spans="1:72" x14ac:dyDescent="0.15">
      <c r="A701" t="s">
        <v>72</v>
      </c>
      <c r="B701" t="s">
        <v>13691</v>
      </c>
      <c r="C701" t="s">
        <v>74</v>
      </c>
      <c r="D701" t="s">
        <v>74</v>
      </c>
      <c r="E701" t="s">
        <v>74</v>
      </c>
      <c r="F701" t="s">
        <v>13692</v>
      </c>
      <c r="G701" t="s">
        <v>74</v>
      </c>
      <c r="H701" t="s">
        <v>74</v>
      </c>
      <c r="I701" t="s">
        <v>13693</v>
      </c>
      <c r="J701" t="s">
        <v>13694</v>
      </c>
      <c r="K701" t="s">
        <v>74</v>
      </c>
      <c r="L701" t="s">
        <v>74</v>
      </c>
      <c r="M701" t="s">
        <v>78</v>
      </c>
      <c r="N701" t="s">
        <v>79</v>
      </c>
      <c r="O701" t="s">
        <v>74</v>
      </c>
      <c r="P701" t="s">
        <v>74</v>
      </c>
      <c r="Q701" t="s">
        <v>74</v>
      </c>
      <c r="R701" t="s">
        <v>74</v>
      </c>
      <c r="S701" t="s">
        <v>74</v>
      </c>
      <c r="T701" t="s">
        <v>13695</v>
      </c>
      <c r="U701" t="s">
        <v>13696</v>
      </c>
      <c r="V701" t="s">
        <v>13697</v>
      </c>
      <c r="W701" t="s">
        <v>13698</v>
      </c>
      <c r="X701" t="s">
        <v>13699</v>
      </c>
      <c r="Y701" t="s">
        <v>13700</v>
      </c>
      <c r="Z701" t="s">
        <v>13701</v>
      </c>
      <c r="AA701" t="s">
        <v>13702</v>
      </c>
      <c r="AB701" t="s">
        <v>13703</v>
      </c>
      <c r="AC701" t="s">
        <v>13704</v>
      </c>
      <c r="AD701" t="s">
        <v>13705</v>
      </c>
      <c r="AE701" t="s">
        <v>13706</v>
      </c>
      <c r="AF701" t="s">
        <v>74</v>
      </c>
      <c r="AG701">
        <v>66</v>
      </c>
      <c r="AH701">
        <v>3</v>
      </c>
      <c r="AI701">
        <v>3</v>
      </c>
      <c r="AJ701">
        <v>0</v>
      </c>
      <c r="AK701">
        <v>15</v>
      </c>
      <c r="AL701" t="s">
        <v>576</v>
      </c>
      <c r="AM701" t="s">
        <v>607</v>
      </c>
      <c r="AN701" t="s">
        <v>2143</v>
      </c>
      <c r="AO701" t="s">
        <v>13707</v>
      </c>
      <c r="AP701" t="s">
        <v>13708</v>
      </c>
      <c r="AQ701" t="s">
        <v>74</v>
      </c>
      <c r="AR701" t="s">
        <v>13709</v>
      </c>
      <c r="AS701" t="s">
        <v>13710</v>
      </c>
      <c r="AT701" t="s">
        <v>12668</v>
      </c>
      <c r="AU701">
        <v>2019</v>
      </c>
      <c r="AV701">
        <v>108</v>
      </c>
      <c r="AW701">
        <v>1</v>
      </c>
      <c r="AX701" t="s">
        <v>74</v>
      </c>
      <c r="AY701" t="s">
        <v>74</v>
      </c>
      <c r="AZ701" t="s">
        <v>74</v>
      </c>
      <c r="BA701" t="s">
        <v>74</v>
      </c>
      <c r="BB701">
        <v>267</v>
      </c>
      <c r="BC701">
        <v>285</v>
      </c>
      <c r="BD701" t="s">
        <v>74</v>
      </c>
      <c r="BE701" t="s">
        <v>13711</v>
      </c>
      <c r="BF701" t="str">
        <f>HYPERLINK("http://dx.doi.org/10.1007/s00531-018-1653-3","http://dx.doi.org/10.1007/s00531-018-1653-3")</f>
        <v>http://dx.doi.org/10.1007/s00531-018-1653-3</v>
      </c>
      <c r="BG701" t="s">
        <v>74</v>
      </c>
      <c r="BH701" t="s">
        <v>74</v>
      </c>
      <c r="BI701">
        <v>19</v>
      </c>
      <c r="BJ701" t="s">
        <v>922</v>
      </c>
      <c r="BK701" t="s">
        <v>102</v>
      </c>
      <c r="BL701" t="s">
        <v>923</v>
      </c>
      <c r="BM701" t="s">
        <v>13712</v>
      </c>
      <c r="BN701" t="s">
        <v>74</v>
      </c>
      <c r="BO701" t="s">
        <v>74</v>
      </c>
      <c r="BP701" t="s">
        <v>74</v>
      </c>
      <c r="BQ701" t="s">
        <v>74</v>
      </c>
      <c r="BR701" t="s">
        <v>107</v>
      </c>
      <c r="BS701" t="s">
        <v>13713</v>
      </c>
      <c r="BT701" t="str">
        <f>HYPERLINK("https%3A%2F%2Fwww.webofscience.com%2Fwos%2Fwoscc%2Ffull-record%2FWOS:000458652200015","View Full Record in Web of Science")</f>
        <v>View Full Record in Web of Science</v>
      </c>
    </row>
    <row r="702" spans="1:72" x14ac:dyDescent="0.15">
      <c r="A702" t="s">
        <v>72</v>
      </c>
      <c r="B702" t="s">
        <v>13714</v>
      </c>
      <c r="C702" t="s">
        <v>74</v>
      </c>
      <c r="D702" t="s">
        <v>74</v>
      </c>
      <c r="E702" t="s">
        <v>74</v>
      </c>
      <c r="F702" t="s">
        <v>13715</v>
      </c>
      <c r="G702" t="s">
        <v>74</v>
      </c>
      <c r="H702" t="s">
        <v>74</v>
      </c>
      <c r="I702" t="s">
        <v>13716</v>
      </c>
      <c r="J702" t="s">
        <v>256</v>
      </c>
      <c r="K702" t="s">
        <v>74</v>
      </c>
      <c r="L702" t="s">
        <v>74</v>
      </c>
      <c r="M702" t="s">
        <v>78</v>
      </c>
      <c r="N702" t="s">
        <v>79</v>
      </c>
      <c r="O702" t="s">
        <v>74</v>
      </c>
      <c r="P702" t="s">
        <v>74</v>
      </c>
      <c r="Q702" t="s">
        <v>74</v>
      </c>
      <c r="R702" t="s">
        <v>74</v>
      </c>
      <c r="S702" t="s">
        <v>74</v>
      </c>
      <c r="T702" t="s">
        <v>13717</v>
      </c>
      <c r="U702" t="s">
        <v>13718</v>
      </c>
      <c r="V702" t="s">
        <v>13719</v>
      </c>
      <c r="W702" t="s">
        <v>13720</v>
      </c>
      <c r="X702" t="s">
        <v>13721</v>
      </c>
      <c r="Y702" t="s">
        <v>13722</v>
      </c>
      <c r="Z702" t="s">
        <v>13723</v>
      </c>
      <c r="AA702" t="s">
        <v>13724</v>
      </c>
      <c r="AB702" t="s">
        <v>13725</v>
      </c>
      <c r="AC702" t="s">
        <v>13726</v>
      </c>
      <c r="AD702" t="s">
        <v>13727</v>
      </c>
      <c r="AE702" t="s">
        <v>13728</v>
      </c>
      <c r="AF702" t="s">
        <v>74</v>
      </c>
      <c r="AG702">
        <v>96</v>
      </c>
      <c r="AH702">
        <v>23</v>
      </c>
      <c r="AI702">
        <v>23</v>
      </c>
      <c r="AJ702">
        <v>1</v>
      </c>
      <c r="AK702">
        <v>11</v>
      </c>
      <c r="AL702" t="s">
        <v>269</v>
      </c>
      <c r="AM702" t="s">
        <v>270</v>
      </c>
      <c r="AN702" t="s">
        <v>271</v>
      </c>
      <c r="AO702" t="s">
        <v>272</v>
      </c>
      <c r="AP702" t="s">
        <v>273</v>
      </c>
      <c r="AQ702" t="s">
        <v>74</v>
      </c>
      <c r="AR702" t="s">
        <v>274</v>
      </c>
      <c r="AS702" t="s">
        <v>275</v>
      </c>
      <c r="AT702" t="s">
        <v>12668</v>
      </c>
      <c r="AU702">
        <v>2019</v>
      </c>
      <c r="AV702">
        <v>49</v>
      </c>
      <c r="AW702">
        <v>2</v>
      </c>
      <c r="AX702" t="s">
        <v>74</v>
      </c>
      <c r="AY702" t="s">
        <v>74</v>
      </c>
      <c r="AZ702" t="s">
        <v>74</v>
      </c>
      <c r="BA702" t="s">
        <v>74</v>
      </c>
      <c r="BB702">
        <v>585</v>
      </c>
      <c r="BC702">
        <v>605</v>
      </c>
      <c r="BD702" t="s">
        <v>74</v>
      </c>
      <c r="BE702" t="s">
        <v>13729</v>
      </c>
      <c r="BF702" t="str">
        <f>HYPERLINK("http://dx.doi.org/10.1175/JPO-D-18-0129.1","http://dx.doi.org/10.1175/JPO-D-18-0129.1")</f>
        <v>http://dx.doi.org/10.1175/JPO-D-18-0129.1</v>
      </c>
      <c r="BG702" t="s">
        <v>74</v>
      </c>
      <c r="BH702" t="s">
        <v>74</v>
      </c>
      <c r="BI702">
        <v>21</v>
      </c>
      <c r="BJ702" t="s">
        <v>277</v>
      </c>
      <c r="BK702" t="s">
        <v>102</v>
      </c>
      <c r="BL702" t="s">
        <v>277</v>
      </c>
      <c r="BM702" t="s">
        <v>13730</v>
      </c>
      <c r="BN702" t="s">
        <v>74</v>
      </c>
      <c r="BO702" t="s">
        <v>13731</v>
      </c>
      <c r="BP702" t="s">
        <v>74</v>
      </c>
      <c r="BQ702" t="s">
        <v>74</v>
      </c>
      <c r="BR702" t="s">
        <v>107</v>
      </c>
      <c r="BS702" t="s">
        <v>13732</v>
      </c>
      <c r="BT702" t="str">
        <f>HYPERLINK("https%3A%2F%2Fwww.webofscience.com%2Fwos%2Fwoscc%2Ffull-record%2FWOS:000458507400001","View Full Record in Web of Science")</f>
        <v>View Full Record in Web of Science</v>
      </c>
    </row>
    <row r="703" spans="1:72" x14ac:dyDescent="0.15">
      <c r="A703" t="s">
        <v>72</v>
      </c>
      <c r="B703" t="s">
        <v>13733</v>
      </c>
      <c r="C703" t="s">
        <v>74</v>
      </c>
      <c r="D703" t="s">
        <v>74</v>
      </c>
      <c r="E703" t="s">
        <v>74</v>
      </c>
      <c r="F703" t="s">
        <v>13734</v>
      </c>
      <c r="G703" t="s">
        <v>74</v>
      </c>
      <c r="H703" t="s">
        <v>74</v>
      </c>
      <c r="I703" t="s">
        <v>13735</v>
      </c>
      <c r="J703" t="s">
        <v>9003</v>
      </c>
      <c r="K703" t="s">
        <v>74</v>
      </c>
      <c r="L703" t="s">
        <v>74</v>
      </c>
      <c r="M703" t="s">
        <v>78</v>
      </c>
      <c r="N703" t="s">
        <v>79</v>
      </c>
      <c r="O703" t="s">
        <v>74</v>
      </c>
      <c r="P703" t="s">
        <v>74</v>
      </c>
      <c r="Q703" t="s">
        <v>74</v>
      </c>
      <c r="R703" t="s">
        <v>74</v>
      </c>
      <c r="S703" t="s">
        <v>74</v>
      </c>
      <c r="T703" t="s">
        <v>13736</v>
      </c>
      <c r="U703" t="s">
        <v>13737</v>
      </c>
      <c r="V703" t="s">
        <v>13738</v>
      </c>
      <c r="W703" t="s">
        <v>13739</v>
      </c>
      <c r="X703" t="s">
        <v>13740</v>
      </c>
      <c r="Y703" t="s">
        <v>13741</v>
      </c>
      <c r="Z703" t="s">
        <v>13742</v>
      </c>
      <c r="AA703" t="s">
        <v>13743</v>
      </c>
      <c r="AB703" t="s">
        <v>13744</v>
      </c>
      <c r="AC703" t="s">
        <v>74</v>
      </c>
      <c r="AD703" t="s">
        <v>74</v>
      </c>
      <c r="AE703" t="s">
        <v>74</v>
      </c>
      <c r="AF703" t="s">
        <v>74</v>
      </c>
      <c r="AG703">
        <v>108</v>
      </c>
      <c r="AH703">
        <v>2</v>
      </c>
      <c r="AI703">
        <v>2</v>
      </c>
      <c r="AJ703">
        <v>1</v>
      </c>
      <c r="AK703">
        <v>27</v>
      </c>
      <c r="AL703" t="s">
        <v>2960</v>
      </c>
      <c r="AM703" t="s">
        <v>607</v>
      </c>
      <c r="AN703" t="s">
        <v>4525</v>
      </c>
      <c r="AO703" t="s">
        <v>9016</v>
      </c>
      <c r="AP703" t="s">
        <v>9017</v>
      </c>
      <c r="AQ703" t="s">
        <v>74</v>
      </c>
      <c r="AR703" t="s">
        <v>9018</v>
      </c>
      <c r="AS703" t="s">
        <v>9019</v>
      </c>
      <c r="AT703" t="s">
        <v>12668</v>
      </c>
      <c r="AU703">
        <v>2019</v>
      </c>
      <c r="AV703">
        <v>99</v>
      </c>
      <c r="AW703">
        <v>1</v>
      </c>
      <c r="AX703" t="s">
        <v>74</v>
      </c>
      <c r="AY703" t="s">
        <v>74</v>
      </c>
      <c r="AZ703" t="s">
        <v>74</v>
      </c>
      <c r="BA703" t="s">
        <v>74</v>
      </c>
      <c r="BB703">
        <v>51</v>
      </c>
      <c r="BC703">
        <v>65</v>
      </c>
      <c r="BD703" t="s">
        <v>74</v>
      </c>
      <c r="BE703" t="s">
        <v>13745</v>
      </c>
      <c r="BF703" t="str">
        <f>HYPERLINK("http://dx.doi.org/10.1017/S0025315417001989","http://dx.doi.org/10.1017/S0025315417001989")</f>
        <v>http://dx.doi.org/10.1017/S0025315417001989</v>
      </c>
      <c r="BG703" t="s">
        <v>74</v>
      </c>
      <c r="BH703" t="s">
        <v>74</v>
      </c>
      <c r="BI703">
        <v>15</v>
      </c>
      <c r="BJ703" t="s">
        <v>558</v>
      </c>
      <c r="BK703" t="s">
        <v>102</v>
      </c>
      <c r="BL703" t="s">
        <v>558</v>
      </c>
      <c r="BM703" t="s">
        <v>13746</v>
      </c>
      <c r="BN703" t="s">
        <v>74</v>
      </c>
      <c r="BO703" t="s">
        <v>74</v>
      </c>
      <c r="BP703" t="s">
        <v>74</v>
      </c>
      <c r="BQ703" t="s">
        <v>74</v>
      </c>
      <c r="BR703" t="s">
        <v>107</v>
      </c>
      <c r="BS703" t="s">
        <v>13747</v>
      </c>
      <c r="BT703" t="str">
        <f>HYPERLINK("https%3A%2F%2Fwww.webofscience.com%2Fwos%2Fwoscc%2Ffull-record%2FWOS:000458495600006","View Full Record in Web of Science")</f>
        <v>View Full Record in Web of Science</v>
      </c>
    </row>
    <row r="704" spans="1:72" x14ac:dyDescent="0.15">
      <c r="A704" t="s">
        <v>72</v>
      </c>
      <c r="B704" t="s">
        <v>13748</v>
      </c>
      <c r="C704" t="s">
        <v>74</v>
      </c>
      <c r="D704" t="s">
        <v>74</v>
      </c>
      <c r="E704" t="s">
        <v>74</v>
      </c>
      <c r="F704" t="s">
        <v>13749</v>
      </c>
      <c r="G704" t="s">
        <v>74</v>
      </c>
      <c r="H704" t="s">
        <v>74</v>
      </c>
      <c r="I704" t="s">
        <v>13750</v>
      </c>
      <c r="J704" t="s">
        <v>5382</v>
      </c>
      <c r="K704" t="s">
        <v>74</v>
      </c>
      <c r="L704" t="s">
        <v>74</v>
      </c>
      <c r="M704" t="s">
        <v>78</v>
      </c>
      <c r="N704" t="s">
        <v>79</v>
      </c>
      <c r="O704" t="s">
        <v>74</v>
      </c>
      <c r="P704" t="s">
        <v>74</v>
      </c>
      <c r="Q704" t="s">
        <v>74</v>
      </c>
      <c r="R704" t="s">
        <v>74</v>
      </c>
      <c r="S704" t="s">
        <v>74</v>
      </c>
      <c r="T704" t="s">
        <v>13751</v>
      </c>
      <c r="U704" t="s">
        <v>13752</v>
      </c>
      <c r="V704" t="s">
        <v>13753</v>
      </c>
      <c r="W704" t="s">
        <v>13754</v>
      </c>
      <c r="X704" t="s">
        <v>13755</v>
      </c>
      <c r="Y704" t="s">
        <v>13756</v>
      </c>
      <c r="Z704" t="s">
        <v>13757</v>
      </c>
      <c r="AA704" t="s">
        <v>13758</v>
      </c>
      <c r="AB704" t="s">
        <v>13759</v>
      </c>
      <c r="AC704" t="s">
        <v>13760</v>
      </c>
      <c r="AD704" t="s">
        <v>8160</v>
      </c>
      <c r="AE704" t="s">
        <v>13761</v>
      </c>
      <c r="AF704" t="s">
        <v>74</v>
      </c>
      <c r="AG704">
        <v>67</v>
      </c>
      <c r="AH704">
        <v>10</v>
      </c>
      <c r="AI704">
        <v>12</v>
      </c>
      <c r="AJ704">
        <v>0</v>
      </c>
      <c r="AK704">
        <v>8</v>
      </c>
      <c r="AL704" t="s">
        <v>550</v>
      </c>
      <c r="AM704" t="s">
        <v>551</v>
      </c>
      <c r="AN704" t="s">
        <v>552</v>
      </c>
      <c r="AO704" t="s">
        <v>5395</v>
      </c>
      <c r="AP704" t="s">
        <v>5396</v>
      </c>
      <c r="AQ704" t="s">
        <v>74</v>
      </c>
      <c r="AR704" t="s">
        <v>5397</v>
      </c>
      <c r="AS704" t="s">
        <v>5398</v>
      </c>
      <c r="AT704" t="s">
        <v>12668</v>
      </c>
      <c r="AU704">
        <v>2019</v>
      </c>
      <c r="AV704">
        <v>49</v>
      </c>
      <c r="AW704">
        <v>1</v>
      </c>
      <c r="AX704" t="s">
        <v>74</v>
      </c>
      <c r="AY704" t="s">
        <v>74</v>
      </c>
      <c r="AZ704" t="s">
        <v>74</v>
      </c>
      <c r="BA704" t="s">
        <v>74</v>
      </c>
      <c r="BB704">
        <v>451</v>
      </c>
      <c r="BC704">
        <v>462</v>
      </c>
      <c r="BD704" t="s">
        <v>74</v>
      </c>
      <c r="BE704" t="s">
        <v>13762</v>
      </c>
      <c r="BF704" t="str">
        <f>HYPERLINK("http://dx.doi.org/10.1007/s12526-017-0830-0","http://dx.doi.org/10.1007/s12526-017-0830-0")</f>
        <v>http://dx.doi.org/10.1007/s12526-017-0830-0</v>
      </c>
      <c r="BG704" t="s">
        <v>74</v>
      </c>
      <c r="BH704" t="s">
        <v>74</v>
      </c>
      <c r="BI704">
        <v>12</v>
      </c>
      <c r="BJ704" t="s">
        <v>5400</v>
      </c>
      <c r="BK704" t="s">
        <v>102</v>
      </c>
      <c r="BL704" t="s">
        <v>5401</v>
      </c>
      <c r="BM704" t="s">
        <v>13763</v>
      </c>
      <c r="BN704" t="s">
        <v>74</v>
      </c>
      <c r="BO704" t="s">
        <v>74</v>
      </c>
      <c r="BP704" t="s">
        <v>74</v>
      </c>
      <c r="BQ704" t="s">
        <v>74</v>
      </c>
      <c r="BR704" t="s">
        <v>107</v>
      </c>
      <c r="BS704" t="s">
        <v>13764</v>
      </c>
      <c r="BT704" t="str">
        <f>HYPERLINK("https%3A%2F%2Fwww.webofscience.com%2Fwos%2Fwoscc%2Ffull-record%2FWOS:000458258100035","View Full Record in Web of Science")</f>
        <v>View Full Record in Web of Science</v>
      </c>
    </row>
    <row r="705" spans="1:72" x14ac:dyDescent="0.15">
      <c r="A705" t="s">
        <v>72</v>
      </c>
      <c r="B705" t="s">
        <v>13765</v>
      </c>
      <c r="C705" t="s">
        <v>74</v>
      </c>
      <c r="D705" t="s">
        <v>74</v>
      </c>
      <c r="E705" t="s">
        <v>74</v>
      </c>
      <c r="F705" t="s">
        <v>13766</v>
      </c>
      <c r="G705" t="s">
        <v>74</v>
      </c>
      <c r="H705" t="s">
        <v>74</v>
      </c>
      <c r="I705" t="s">
        <v>13767</v>
      </c>
      <c r="J705" t="s">
        <v>300</v>
      </c>
      <c r="K705" t="s">
        <v>74</v>
      </c>
      <c r="L705" t="s">
        <v>74</v>
      </c>
      <c r="M705" t="s">
        <v>78</v>
      </c>
      <c r="N705" t="s">
        <v>79</v>
      </c>
      <c r="O705" t="s">
        <v>74</v>
      </c>
      <c r="P705" t="s">
        <v>74</v>
      </c>
      <c r="Q705" t="s">
        <v>74</v>
      </c>
      <c r="R705" t="s">
        <v>74</v>
      </c>
      <c r="S705" t="s">
        <v>74</v>
      </c>
      <c r="T705" t="s">
        <v>74</v>
      </c>
      <c r="U705" t="s">
        <v>13768</v>
      </c>
      <c r="V705" t="s">
        <v>13769</v>
      </c>
      <c r="W705" t="s">
        <v>13770</v>
      </c>
      <c r="X705" t="s">
        <v>5209</v>
      </c>
      <c r="Y705" t="s">
        <v>13771</v>
      </c>
      <c r="Z705" t="s">
        <v>13772</v>
      </c>
      <c r="AA705" t="s">
        <v>13773</v>
      </c>
      <c r="AB705" t="s">
        <v>13774</v>
      </c>
      <c r="AC705" t="s">
        <v>10702</v>
      </c>
      <c r="AD705" t="s">
        <v>10703</v>
      </c>
      <c r="AE705" t="s">
        <v>13775</v>
      </c>
      <c r="AF705" t="s">
        <v>74</v>
      </c>
      <c r="AG705">
        <v>54</v>
      </c>
      <c r="AH705">
        <v>28</v>
      </c>
      <c r="AI705">
        <v>28</v>
      </c>
      <c r="AJ705">
        <v>1</v>
      </c>
      <c r="AK705">
        <v>14</v>
      </c>
      <c r="AL705" t="s">
        <v>306</v>
      </c>
      <c r="AM705" t="s">
        <v>93</v>
      </c>
      <c r="AN705" t="s">
        <v>307</v>
      </c>
      <c r="AO705" t="s">
        <v>308</v>
      </c>
      <c r="AP705" t="s">
        <v>309</v>
      </c>
      <c r="AQ705" t="s">
        <v>74</v>
      </c>
      <c r="AR705" t="s">
        <v>310</v>
      </c>
      <c r="AS705" t="s">
        <v>311</v>
      </c>
      <c r="AT705" t="s">
        <v>12668</v>
      </c>
      <c r="AU705">
        <v>2019</v>
      </c>
      <c r="AV705">
        <v>100</v>
      </c>
      <c r="AW705" t="s">
        <v>74</v>
      </c>
      <c r="AX705" t="s">
        <v>74</v>
      </c>
      <c r="AY705" t="s">
        <v>74</v>
      </c>
      <c r="AZ705" t="s">
        <v>74</v>
      </c>
      <c r="BA705" t="s">
        <v>74</v>
      </c>
      <c r="BB705">
        <v>307</v>
      </c>
      <c r="BC705">
        <v>315</v>
      </c>
      <c r="BD705" t="s">
        <v>74</v>
      </c>
      <c r="BE705" t="s">
        <v>13776</v>
      </c>
      <c r="BF705" t="str">
        <f>HYPERLINK("http://dx.doi.org/10.1016/j.marpol.2018.11.040","http://dx.doi.org/10.1016/j.marpol.2018.11.040")</f>
        <v>http://dx.doi.org/10.1016/j.marpol.2018.11.040</v>
      </c>
      <c r="BG705" t="s">
        <v>74</v>
      </c>
      <c r="BH705" t="s">
        <v>74</v>
      </c>
      <c r="BI705">
        <v>9</v>
      </c>
      <c r="BJ705" t="s">
        <v>313</v>
      </c>
      <c r="BK705" t="s">
        <v>314</v>
      </c>
      <c r="BL705" t="s">
        <v>315</v>
      </c>
      <c r="BM705" t="s">
        <v>13777</v>
      </c>
      <c r="BN705" t="s">
        <v>74</v>
      </c>
      <c r="BO705" t="s">
        <v>403</v>
      </c>
      <c r="BP705" t="s">
        <v>74</v>
      </c>
      <c r="BQ705" t="s">
        <v>74</v>
      </c>
      <c r="BR705" t="s">
        <v>107</v>
      </c>
      <c r="BS705" t="s">
        <v>13778</v>
      </c>
      <c r="BT705" t="str">
        <f>HYPERLINK("https%3A%2F%2Fwww.webofscience.com%2Fwos%2Fwoscc%2Ffull-record%2FWOS:000458708000033","View Full Record in Web of Science")</f>
        <v>View Full Record in Web of Science</v>
      </c>
    </row>
    <row r="706" spans="1:72" x14ac:dyDescent="0.15">
      <c r="A706" t="s">
        <v>72</v>
      </c>
      <c r="B706" t="s">
        <v>13779</v>
      </c>
      <c r="C706" t="s">
        <v>74</v>
      </c>
      <c r="D706" t="s">
        <v>74</v>
      </c>
      <c r="E706" t="s">
        <v>74</v>
      </c>
      <c r="F706" t="s">
        <v>13780</v>
      </c>
      <c r="G706" t="s">
        <v>74</v>
      </c>
      <c r="H706" t="s">
        <v>74</v>
      </c>
      <c r="I706" t="s">
        <v>13781</v>
      </c>
      <c r="J706" t="s">
        <v>4739</v>
      </c>
      <c r="K706" t="s">
        <v>74</v>
      </c>
      <c r="L706" t="s">
        <v>74</v>
      </c>
      <c r="M706" t="s">
        <v>78</v>
      </c>
      <c r="N706" t="s">
        <v>79</v>
      </c>
      <c r="O706" t="s">
        <v>74</v>
      </c>
      <c r="P706" t="s">
        <v>74</v>
      </c>
      <c r="Q706" t="s">
        <v>74</v>
      </c>
      <c r="R706" t="s">
        <v>74</v>
      </c>
      <c r="S706" t="s">
        <v>74</v>
      </c>
      <c r="T706" t="s">
        <v>74</v>
      </c>
      <c r="U706" t="s">
        <v>13782</v>
      </c>
      <c r="V706" t="s">
        <v>13783</v>
      </c>
      <c r="W706" t="s">
        <v>13784</v>
      </c>
      <c r="X706" t="s">
        <v>13785</v>
      </c>
      <c r="Y706" t="s">
        <v>8912</v>
      </c>
      <c r="Z706" t="s">
        <v>8913</v>
      </c>
      <c r="AA706" t="s">
        <v>8914</v>
      </c>
      <c r="AB706" t="s">
        <v>13786</v>
      </c>
      <c r="AC706" t="s">
        <v>13787</v>
      </c>
      <c r="AD706" t="s">
        <v>13788</v>
      </c>
      <c r="AE706" t="s">
        <v>13789</v>
      </c>
      <c r="AF706" t="s">
        <v>74</v>
      </c>
      <c r="AG706">
        <v>74</v>
      </c>
      <c r="AH706">
        <v>15</v>
      </c>
      <c r="AI706">
        <v>16</v>
      </c>
      <c r="AJ706">
        <v>0</v>
      </c>
      <c r="AK706">
        <v>29</v>
      </c>
      <c r="AL706" t="s">
        <v>153</v>
      </c>
      <c r="AM706" t="s">
        <v>154</v>
      </c>
      <c r="AN706" t="s">
        <v>155</v>
      </c>
      <c r="AO706" t="s">
        <v>4751</v>
      </c>
      <c r="AP706" t="s">
        <v>4752</v>
      </c>
      <c r="AQ706" t="s">
        <v>74</v>
      </c>
      <c r="AR706" t="s">
        <v>4753</v>
      </c>
      <c r="AS706" t="s">
        <v>4754</v>
      </c>
      <c r="AT706" t="s">
        <v>12668</v>
      </c>
      <c r="AU706">
        <v>2019</v>
      </c>
      <c r="AV706">
        <v>54</v>
      </c>
      <c r="AW706">
        <v>2</v>
      </c>
      <c r="AX706" t="s">
        <v>74</v>
      </c>
      <c r="AY706" t="s">
        <v>74</v>
      </c>
      <c r="AZ706" t="s">
        <v>74</v>
      </c>
      <c r="BA706" t="s">
        <v>74</v>
      </c>
      <c r="BB706">
        <v>415</v>
      </c>
      <c r="BC706">
        <v>430</v>
      </c>
      <c r="BD706" t="s">
        <v>74</v>
      </c>
      <c r="BE706" t="s">
        <v>13790</v>
      </c>
      <c r="BF706" t="str">
        <f>HYPERLINK("http://dx.doi.org/10.1111/maps.13216","http://dx.doi.org/10.1111/maps.13216")</f>
        <v>http://dx.doi.org/10.1111/maps.13216</v>
      </c>
      <c r="BG706" t="s">
        <v>74</v>
      </c>
      <c r="BH706" t="s">
        <v>74</v>
      </c>
      <c r="BI706">
        <v>16</v>
      </c>
      <c r="BJ706" t="s">
        <v>643</v>
      </c>
      <c r="BK706" t="s">
        <v>102</v>
      </c>
      <c r="BL706" t="s">
        <v>643</v>
      </c>
      <c r="BM706" t="s">
        <v>13791</v>
      </c>
      <c r="BN706">
        <v>32499671</v>
      </c>
      <c r="BO706" t="s">
        <v>1014</v>
      </c>
      <c r="BP706" t="s">
        <v>74</v>
      </c>
      <c r="BQ706" t="s">
        <v>74</v>
      </c>
      <c r="BR706" t="s">
        <v>107</v>
      </c>
      <c r="BS706" t="s">
        <v>13792</v>
      </c>
      <c r="BT706" t="str">
        <f>HYPERLINK("https%3A%2F%2Fwww.webofscience.com%2Fwos%2Fwoscc%2Ffull-record%2FWOS:000458546500011","View Full Record in Web of Science")</f>
        <v>View Full Record in Web of Science</v>
      </c>
    </row>
    <row r="707" spans="1:72" x14ac:dyDescent="0.15">
      <c r="A707" t="s">
        <v>72</v>
      </c>
      <c r="B707" t="s">
        <v>13793</v>
      </c>
      <c r="C707" t="s">
        <v>74</v>
      </c>
      <c r="D707" t="s">
        <v>74</v>
      </c>
      <c r="E707" t="s">
        <v>74</v>
      </c>
      <c r="F707" t="s">
        <v>13794</v>
      </c>
      <c r="G707" t="s">
        <v>74</v>
      </c>
      <c r="H707" t="s">
        <v>74</v>
      </c>
      <c r="I707" t="s">
        <v>13795</v>
      </c>
      <c r="J707" t="s">
        <v>9135</v>
      </c>
      <c r="K707" t="s">
        <v>74</v>
      </c>
      <c r="L707" t="s">
        <v>74</v>
      </c>
      <c r="M707" t="s">
        <v>78</v>
      </c>
      <c r="N707" t="s">
        <v>79</v>
      </c>
      <c r="O707" t="s">
        <v>74</v>
      </c>
      <c r="P707" t="s">
        <v>74</v>
      </c>
      <c r="Q707" t="s">
        <v>74</v>
      </c>
      <c r="R707" t="s">
        <v>74</v>
      </c>
      <c r="S707" t="s">
        <v>74</v>
      </c>
      <c r="T707" t="s">
        <v>74</v>
      </c>
      <c r="U707" t="s">
        <v>13796</v>
      </c>
      <c r="V707" t="s">
        <v>13797</v>
      </c>
      <c r="W707" t="s">
        <v>13798</v>
      </c>
      <c r="X707" t="s">
        <v>13799</v>
      </c>
      <c r="Y707" t="s">
        <v>13800</v>
      </c>
      <c r="Z707" t="s">
        <v>13801</v>
      </c>
      <c r="AA707" t="s">
        <v>13802</v>
      </c>
      <c r="AB707" t="s">
        <v>13803</v>
      </c>
      <c r="AC707" t="s">
        <v>13804</v>
      </c>
      <c r="AD707" t="s">
        <v>13805</v>
      </c>
      <c r="AE707" t="s">
        <v>13806</v>
      </c>
      <c r="AF707" t="s">
        <v>74</v>
      </c>
      <c r="AG707">
        <v>57</v>
      </c>
      <c r="AH707">
        <v>10</v>
      </c>
      <c r="AI707">
        <v>11</v>
      </c>
      <c r="AJ707">
        <v>0</v>
      </c>
      <c r="AK707">
        <v>28</v>
      </c>
      <c r="AL707" t="s">
        <v>9147</v>
      </c>
      <c r="AM707" t="s">
        <v>329</v>
      </c>
      <c r="AN707" t="s">
        <v>9148</v>
      </c>
      <c r="AO707" t="s">
        <v>9149</v>
      </c>
      <c r="AP707" t="s">
        <v>9150</v>
      </c>
      <c r="AQ707" t="s">
        <v>74</v>
      </c>
      <c r="AR707" t="s">
        <v>9151</v>
      </c>
      <c r="AS707" t="s">
        <v>9152</v>
      </c>
      <c r="AT707" t="s">
        <v>12783</v>
      </c>
      <c r="AU707">
        <v>2019</v>
      </c>
      <c r="AV707">
        <v>18</v>
      </c>
      <c r="AW707">
        <v>2</v>
      </c>
      <c r="AX707" t="s">
        <v>74</v>
      </c>
      <c r="AY707" t="s">
        <v>74</v>
      </c>
      <c r="AZ707" t="s">
        <v>74</v>
      </c>
      <c r="BA707" t="s">
        <v>74</v>
      </c>
      <c r="BB707">
        <v>400</v>
      </c>
      <c r="BC707">
        <v>412</v>
      </c>
      <c r="BD707" t="s">
        <v>74</v>
      </c>
      <c r="BE707" t="s">
        <v>13807</v>
      </c>
      <c r="BF707" t="str">
        <f>HYPERLINK("http://dx.doi.org/10.1039/c8pp00421h","http://dx.doi.org/10.1039/c8pp00421h")</f>
        <v>http://dx.doi.org/10.1039/c8pp00421h</v>
      </c>
      <c r="BG707" t="s">
        <v>74</v>
      </c>
      <c r="BH707" t="s">
        <v>74</v>
      </c>
      <c r="BI707">
        <v>13</v>
      </c>
      <c r="BJ707" t="s">
        <v>9154</v>
      </c>
      <c r="BK707" t="s">
        <v>102</v>
      </c>
      <c r="BL707" t="s">
        <v>9155</v>
      </c>
      <c r="BM707" t="s">
        <v>13808</v>
      </c>
      <c r="BN707">
        <v>30608105</v>
      </c>
      <c r="BO707" t="s">
        <v>74</v>
      </c>
      <c r="BP707" t="s">
        <v>74</v>
      </c>
      <c r="BQ707" t="s">
        <v>74</v>
      </c>
      <c r="BR707" t="s">
        <v>107</v>
      </c>
      <c r="BS707" t="s">
        <v>13809</v>
      </c>
      <c r="BT707" t="str">
        <f>HYPERLINK("https%3A%2F%2Fwww.webofscience.com%2Fwos%2Fwoscc%2Ffull-record%2FWOS:000458569100013","View Full Record in Web of Science")</f>
        <v>View Full Record in Web of Science</v>
      </c>
    </row>
    <row r="708" spans="1:72" x14ac:dyDescent="0.15">
      <c r="A708" t="s">
        <v>72</v>
      </c>
      <c r="B708" t="s">
        <v>13810</v>
      </c>
      <c r="C708" t="s">
        <v>74</v>
      </c>
      <c r="D708" t="s">
        <v>74</v>
      </c>
      <c r="E708" t="s">
        <v>74</v>
      </c>
      <c r="F708" t="s">
        <v>13811</v>
      </c>
      <c r="G708" t="s">
        <v>74</v>
      </c>
      <c r="H708" t="s">
        <v>74</v>
      </c>
      <c r="I708" t="s">
        <v>13812</v>
      </c>
      <c r="J708" t="s">
        <v>13813</v>
      </c>
      <c r="K708" t="s">
        <v>74</v>
      </c>
      <c r="L708" t="s">
        <v>74</v>
      </c>
      <c r="M708" t="s">
        <v>78</v>
      </c>
      <c r="N708" t="s">
        <v>469</v>
      </c>
      <c r="O708" t="s">
        <v>74</v>
      </c>
      <c r="P708" t="s">
        <v>74</v>
      </c>
      <c r="Q708" t="s">
        <v>74</v>
      </c>
      <c r="R708" t="s">
        <v>74</v>
      </c>
      <c r="S708" t="s">
        <v>74</v>
      </c>
      <c r="T708" t="s">
        <v>13814</v>
      </c>
      <c r="U708" t="s">
        <v>13815</v>
      </c>
      <c r="V708" t="s">
        <v>13816</v>
      </c>
      <c r="W708" t="s">
        <v>13817</v>
      </c>
      <c r="X708" t="s">
        <v>13818</v>
      </c>
      <c r="Y708" t="s">
        <v>13819</v>
      </c>
      <c r="Z708" t="s">
        <v>13820</v>
      </c>
      <c r="AA708" t="s">
        <v>13821</v>
      </c>
      <c r="AB708" t="s">
        <v>13822</v>
      </c>
      <c r="AC708" t="s">
        <v>13823</v>
      </c>
      <c r="AD708" t="s">
        <v>13824</v>
      </c>
      <c r="AE708" t="s">
        <v>13825</v>
      </c>
      <c r="AF708" t="s">
        <v>74</v>
      </c>
      <c r="AG708">
        <v>98</v>
      </c>
      <c r="AH708">
        <v>41</v>
      </c>
      <c r="AI708">
        <v>44</v>
      </c>
      <c r="AJ708">
        <v>0</v>
      </c>
      <c r="AK708">
        <v>29</v>
      </c>
      <c r="AL708" t="s">
        <v>576</v>
      </c>
      <c r="AM708" t="s">
        <v>577</v>
      </c>
      <c r="AN708" t="s">
        <v>578</v>
      </c>
      <c r="AO708" t="s">
        <v>13826</v>
      </c>
      <c r="AP708" t="s">
        <v>13827</v>
      </c>
      <c r="AQ708" t="s">
        <v>74</v>
      </c>
      <c r="AR708" t="s">
        <v>13828</v>
      </c>
      <c r="AS708" t="s">
        <v>13829</v>
      </c>
      <c r="AT708" t="s">
        <v>12668</v>
      </c>
      <c r="AU708">
        <v>2019</v>
      </c>
      <c r="AV708">
        <v>215</v>
      </c>
      <c r="AW708">
        <v>1</v>
      </c>
      <c r="AX708" t="s">
        <v>74</v>
      </c>
      <c r="AY708" t="s">
        <v>74</v>
      </c>
      <c r="AZ708" t="s">
        <v>74</v>
      </c>
      <c r="BA708" t="s">
        <v>74</v>
      </c>
      <c r="BB708" t="s">
        <v>74</v>
      </c>
      <c r="BC708" t="s">
        <v>74</v>
      </c>
      <c r="BD708">
        <v>18</v>
      </c>
      <c r="BE708" t="s">
        <v>13830</v>
      </c>
      <c r="BF708" t="str">
        <f>HYPERLINK("http://dx.doi.org/10.1007/s11214-019-0583-0","http://dx.doi.org/10.1007/s11214-019-0583-0")</f>
        <v>http://dx.doi.org/10.1007/s11214-019-0583-0</v>
      </c>
      <c r="BG708" t="s">
        <v>74</v>
      </c>
      <c r="BH708" t="s">
        <v>74</v>
      </c>
      <c r="BI708">
        <v>27</v>
      </c>
      <c r="BJ708" t="s">
        <v>2579</v>
      </c>
      <c r="BK708" t="s">
        <v>102</v>
      </c>
      <c r="BL708" t="s">
        <v>2579</v>
      </c>
      <c r="BM708" t="s">
        <v>13831</v>
      </c>
      <c r="BN708" t="s">
        <v>74</v>
      </c>
      <c r="BO708" t="s">
        <v>6520</v>
      </c>
      <c r="BP708" t="s">
        <v>74</v>
      </c>
      <c r="BQ708" t="s">
        <v>74</v>
      </c>
      <c r="BR708" t="s">
        <v>107</v>
      </c>
      <c r="BS708" t="s">
        <v>13832</v>
      </c>
      <c r="BT708" t="str">
        <f>HYPERLINK("https%3A%2F%2Fwww.webofscience.com%2Fwos%2Fwoscc%2Ffull-record%2FWOS:000458569200002","View Full Record in Web of Science")</f>
        <v>View Full Record in Web of Science</v>
      </c>
    </row>
    <row r="709" spans="1:72" x14ac:dyDescent="0.15">
      <c r="A709" t="s">
        <v>72</v>
      </c>
      <c r="B709" t="s">
        <v>13833</v>
      </c>
      <c r="C709" t="s">
        <v>74</v>
      </c>
      <c r="D709" t="s">
        <v>74</v>
      </c>
      <c r="E709" t="s">
        <v>74</v>
      </c>
      <c r="F709" t="s">
        <v>13834</v>
      </c>
      <c r="G709" t="s">
        <v>74</v>
      </c>
      <c r="H709" t="s">
        <v>74</v>
      </c>
      <c r="I709" t="s">
        <v>13835</v>
      </c>
      <c r="J709" t="s">
        <v>13836</v>
      </c>
      <c r="K709" t="s">
        <v>74</v>
      </c>
      <c r="L709" t="s">
        <v>74</v>
      </c>
      <c r="M709" t="s">
        <v>78</v>
      </c>
      <c r="N709" t="s">
        <v>79</v>
      </c>
      <c r="O709" t="s">
        <v>74</v>
      </c>
      <c r="P709" t="s">
        <v>74</v>
      </c>
      <c r="Q709" t="s">
        <v>74</v>
      </c>
      <c r="R709" t="s">
        <v>74</v>
      </c>
      <c r="S709" t="s">
        <v>74</v>
      </c>
      <c r="T709" t="s">
        <v>13837</v>
      </c>
      <c r="U709" t="s">
        <v>13838</v>
      </c>
      <c r="V709" t="s">
        <v>13839</v>
      </c>
      <c r="W709" t="s">
        <v>13840</v>
      </c>
      <c r="X709" t="s">
        <v>13841</v>
      </c>
      <c r="Y709" t="s">
        <v>13842</v>
      </c>
      <c r="Z709" t="s">
        <v>13843</v>
      </c>
      <c r="AA709" t="s">
        <v>13844</v>
      </c>
      <c r="AB709" t="s">
        <v>13845</v>
      </c>
      <c r="AC709" t="s">
        <v>13846</v>
      </c>
      <c r="AD709" t="s">
        <v>13846</v>
      </c>
      <c r="AE709" t="s">
        <v>13847</v>
      </c>
      <c r="AF709" t="s">
        <v>74</v>
      </c>
      <c r="AG709">
        <v>52</v>
      </c>
      <c r="AH709">
        <v>6</v>
      </c>
      <c r="AI709">
        <v>6</v>
      </c>
      <c r="AJ709">
        <v>1</v>
      </c>
      <c r="AK709">
        <v>16</v>
      </c>
      <c r="AL709" t="s">
        <v>634</v>
      </c>
      <c r="AM709" t="s">
        <v>635</v>
      </c>
      <c r="AN709" t="s">
        <v>636</v>
      </c>
      <c r="AO709" t="s">
        <v>13848</v>
      </c>
      <c r="AP709" t="s">
        <v>13849</v>
      </c>
      <c r="AQ709" t="s">
        <v>74</v>
      </c>
      <c r="AR709" t="s">
        <v>13850</v>
      </c>
      <c r="AS709" t="s">
        <v>13851</v>
      </c>
      <c r="AT709" t="s">
        <v>12783</v>
      </c>
      <c r="AU709">
        <v>2019</v>
      </c>
      <c r="AV709">
        <v>393</v>
      </c>
      <c r="AW709" t="s">
        <v>74</v>
      </c>
      <c r="AX709" t="s">
        <v>74</v>
      </c>
      <c r="AY709" t="s">
        <v>74</v>
      </c>
      <c r="AZ709" t="s">
        <v>74</v>
      </c>
      <c r="BA709" t="s">
        <v>74</v>
      </c>
      <c r="BB709">
        <v>66</v>
      </c>
      <c r="BC709">
        <v>75</v>
      </c>
      <c r="BD709" t="s">
        <v>74</v>
      </c>
      <c r="BE709" t="s">
        <v>13852</v>
      </c>
      <c r="BF709" t="str">
        <f>HYPERLINK("http://dx.doi.org/10.1016/j.ecolmodel.2018.11.004","http://dx.doi.org/10.1016/j.ecolmodel.2018.11.004")</f>
        <v>http://dx.doi.org/10.1016/j.ecolmodel.2018.11.004</v>
      </c>
      <c r="BG709" t="s">
        <v>74</v>
      </c>
      <c r="BH709" t="s">
        <v>74</v>
      </c>
      <c r="BI709">
        <v>10</v>
      </c>
      <c r="BJ709" t="s">
        <v>5763</v>
      </c>
      <c r="BK709" t="s">
        <v>102</v>
      </c>
      <c r="BL709" t="s">
        <v>2297</v>
      </c>
      <c r="BM709" t="s">
        <v>13853</v>
      </c>
      <c r="BN709" t="s">
        <v>74</v>
      </c>
      <c r="BO709" t="s">
        <v>74</v>
      </c>
      <c r="BP709" t="s">
        <v>74</v>
      </c>
      <c r="BQ709" t="s">
        <v>74</v>
      </c>
      <c r="BR709" t="s">
        <v>107</v>
      </c>
      <c r="BS709" t="s">
        <v>13854</v>
      </c>
      <c r="BT709" t="str">
        <f>HYPERLINK("https%3A%2F%2Fwww.webofscience.com%2Fwos%2Fwoscc%2Ffull-record%2FWOS:000458223000008","View Full Record in Web of Science")</f>
        <v>View Full Record in Web of Science</v>
      </c>
    </row>
    <row r="710" spans="1:72" x14ac:dyDescent="0.15">
      <c r="A710" t="s">
        <v>72</v>
      </c>
      <c r="B710" t="s">
        <v>13855</v>
      </c>
      <c r="C710" t="s">
        <v>74</v>
      </c>
      <c r="D710" t="s">
        <v>74</v>
      </c>
      <c r="E710" t="s">
        <v>74</v>
      </c>
      <c r="F710" t="s">
        <v>13856</v>
      </c>
      <c r="G710" t="s">
        <v>74</v>
      </c>
      <c r="H710" t="s">
        <v>74</v>
      </c>
      <c r="I710" t="s">
        <v>13857</v>
      </c>
      <c r="J710" t="s">
        <v>4675</v>
      </c>
      <c r="K710" t="s">
        <v>74</v>
      </c>
      <c r="L710" t="s">
        <v>74</v>
      </c>
      <c r="M710" t="s">
        <v>78</v>
      </c>
      <c r="N710" t="s">
        <v>79</v>
      </c>
      <c r="O710" t="s">
        <v>74</v>
      </c>
      <c r="P710" t="s">
        <v>74</v>
      </c>
      <c r="Q710" t="s">
        <v>74</v>
      </c>
      <c r="R710" t="s">
        <v>74</v>
      </c>
      <c r="S710" t="s">
        <v>74</v>
      </c>
      <c r="T710" t="s">
        <v>13858</v>
      </c>
      <c r="U710" t="s">
        <v>13859</v>
      </c>
      <c r="V710" t="s">
        <v>13860</v>
      </c>
      <c r="W710" t="s">
        <v>13861</v>
      </c>
      <c r="X710" t="s">
        <v>13862</v>
      </c>
      <c r="Y710" t="s">
        <v>13863</v>
      </c>
      <c r="Z710" t="s">
        <v>13864</v>
      </c>
      <c r="AA710" t="s">
        <v>13865</v>
      </c>
      <c r="AB710" t="s">
        <v>13866</v>
      </c>
      <c r="AC710" t="s">
        <v>13867</v>
      </c>
      <c r="AD710" t="s">
        <v>13868</v>
      </c>
      <c r="AE710" t="s">
        <v>13869</v>
      </c>
      <c r="AF710" t="s">
        <v>74</v>
      </c>
      <c r="AG710">
        <v>78</v>
      </c>
      <c r="AH710">
        <v>9</v>
      </c>
      <c r="AI710">
        <v>9</v>
      </c>
      <c r="AJ710">
        <v>0</v>
      </c>
      <c r="AK710">
        <v>10</v>
      </c>
      <c r="AL710" t="s">
        <v>153</v>
      </c>
      <c r="AM710" t="s">
        <v>154</v>
      </c>
      <c r="AN710" t="s">
        <v>155</v>
      </c>
      <c r="AO710" t="s">
        <v>4686</v>
      </c>
      <c r="AP710" t="s">
        <v>4687</v>
      </c>
      <c r="AQ710" t="s">
        <v>74</v>
      </c>
      <c r="AR710" t="s">
        <v>4688</v>
      </c>
      <c r="AS710" t="s">
        <v>4689</v>
      </c>
      <c r="AT710" t="s">
        <v>12668</v>
      </c>
      <c r="AU710">
        <v>2019</v>
      </c>
      <c r="AV710">
        <v>46</v>
      </c>
      <c r="AW710">
        <v>2</v>
      </c>
      <c r="AX710" t="s">
        <v>74</v>
      </c>
      <c r="AY710" t="s">
        <v>74</v>
      </c>
      <c r="AZ710" t="s">
        <v>74</v>
      </c>
      <c r="BA710" t="s">
        <v>74</v>
      </c>
      <c r="BB710">
        <v>442</v>
      </c>
      <c r="BC710">
        <v>453</v>
      </c>
      <c r="BD710" t="s">
        <v>74</v>
      </c>
      <c r="BE710" t="s">
        <v>13870</v>
      </c>
      <c r="BF710" t="str">
        <f>HYPERLINK("http://dx.doi.org/10.1111/jbi.13513","http://dx.doi.org/10.1111/jbi.13513")</f>
        <v>http://dx.doi.org/10.1111/jbi.13513</v>
      </c>
      <c r="BG710" t="s">
        <v>74</v>
      </c>
      <c r="BH710" t="s">
        <v>74</v>
      </c>
      <c r="BI710">
        <v>12</v>
      </c>
      <c r="BJ710" t="s">
        <v>4691</v>
      </c>
      <c r="BK710" t="s">
        <v>102</v>
      </c>
      <c r="BL710" t="s">
        <v>4692</v>
      </c>
      <c r="BM710" t="s">
        <v>13871</v>
      </c>
      <c r="BN710" t="s">
        <v>74</v>
      </c>
      <c r="BO710" t="s">
        <v>74</v>
      </c>
      <c r="BP710" t="s">
        <v>74</v>
      </c>
      <c r="BQ710" t="s">
        <v>74</v>
      </c>
      <c r="BR710" t="s">
        <v>107</v>
      </c>
      <c r="BS710" t="s">
        <v>13872</v>
      </c>
      <c r="BT710" t="str">
        <f>HYPERLINK("https%3A%2F%2Fwww.webofscience.com%2Fwos%2Fwoscc%2Ffull-record%2FWOS:000458273300016","View Full Record in Web of Science")</f>
        <v>View Full Record in Web of Science</v>
      </c>
    </row>
    <row r="711" spans="1:72" x14ac:dyDescent="0.15">
      <c r="A711" t="s">
        <v>72</v>
      </c>
      <c r="B711" t="s">
        <v>13873</v>
      </c>
      <c r="C711" t="s">
        <v>74</v>
      </c>
      <c r="D711" t="s">
        <v>74</v>
      </c>
      <c r="E711" t="s">
        <v>74</v>
      </c>
      <c r="F711" t="s">
        <v>13874</v>
      </c>
      <c r="G711" t="s">
        <v>74</v>
      </c>
      <c r="H711" t="s">
        <v>74</v>
      </c>
      <c r="I711" t="s">
        <v>13875</v>
      </c>
      <c r="J711" t="s">
        <v>10693</v>
      </c>
      <c r="K711" t="s">
        <v>74</v>
      </c>
      <c r="L711" t="s">
        <v>74</v>
      </c>
      <c r="M711" t="s">
        <v>78</v>
      </c>
      <c r="N711" t="s">
        <v>79</v>
      </c>
      <c r="O711" t="s">
        <v>74</v>
      </c>
      <c r="P711" t="s">
        <v>74</v>
      </c>
      <c r="Q711" t="s">
        <v>74</v>
      </c>
      <c r="R711" t="s">
        <v>74</v>
      </c>
      <c r="S711" t="s">
        <v>74</v>
      </c>
      <c r="T711" t="s">
        <v>74</v>
      </c>
      <c r="U711" t="s">
        <v>13876</v>
      </c>
      <c r="V711" t="s">
        <v>13877</v>
      </c>
      <c r="W711" t="s">
        <v>13878</v>
      </c>
      <c r="X711" t="s">
        <v>13879</v>
      </c>
      <c r="Y711" t="s">
        <v>13880</v>
      </c>
      <c r="Z711" t="s">
        <v>13881</v>
      </c>
      <c r="AA711" t="s">
        <v>13882</v>
      </c>
      <c r="AB711" t="s">
        <v>13883</v>
      </c>
      <c r="AC711" t="s">
        <v>13884</v>
      </c>
      <c r="AD711" t="s">
        <v>13885</v>
      </c>
      <c r="AE711" t="s">
        <v>13886</v>
      </c>
      <c r="AF711" t="s">
        <v>74</v>
      </c>
      <c r="AG711">
        <v>56</v>
      </c>
      <c r="AH711">
        <v>168</v>
      </c>
      <c r="AI711">
        <v>175</v>
      </c>
      <c r="AJ711">
        <v>4</v>
      </c>
      <c r="AK711">
        <v>111</v>
      </c>
      <c r="AL711" t="s">
        <v>328</v>
      </c>
      <c r="AM711" t="s">
        <v>329</v>
      </c>
      <c r="AN711" t="s">
        <v>330</v>
      </c>
      <c r="AO711" t="s">
        <v>10705</v>
      </c>
      <c r="AP711" t="s">
        <v>74</v>
      </c>
      <c r="AQ711" t="s">
        <v>74</v>
      </c>
      <c r="AR711" t="s">
        <v>10706</v>
      </c>
      <c r="AS711" t="s">
        <v>10707</v>
      </c>
      <c r="AT711" t="s">
        <v>12668</v>
      </c>
      <c r="AU711">
        <v>2019</v>
      </c>
      <c r="AV711">
        <v>2</v>
      </c>
      <c r="AW711">
        <v>2</v>
      </c>
      <c r="AX711" t="s">
        <v>74</v>
      </c>
      <c r="AY711" t="s">
        <v>74</v>
      </c>
      <c r="AZ711" t="s">
        <v>74</v>
      </c>
      <c r="BA711" t="s">
        <v>74</v>
      </c>
      <c r="BB711">
        <v>130</v>
      </c>
      <c r="BC711">
        <v>137</v>
      </c>
      <c r="BD711" t="s">
        <v>74</v>
      </c>
      <c r="BE711" t="s">
        <v>13887</v>
      </c>
      <c r="BF711" t="str">
        <f>HYPERLINK("http://dx.doi.org/10.1038/s41893-018-0210-1","http://dx.doi.org/10.1038/s41893-018-0210-1")</f>
        <v>http://dx.doi.org/10.1038/s41893-018-0210-1</v>
      </c>
      <c r="BG711" t="s">
        <v>74</v>
      </c>
      <c r="BH711" t="s">
        <v>74</v>
      </c>
      <c r="BI711">
        <v>8</v>
      </c>
      <c r="BJ711" t="s">
        <v>10709</v>
      </c>
      <c r="BK711" t="s">
        <v>337</v>
      </c>
      <c r="BL711" t="s">
        <v>10710</v>
      </c>
      <c r="BM711" t="s">
        <v>13888</v>
      </c>
      <c r="BN711" t="s">
        <v>74</v>
      </c>
      <c r="BO711" t="s">
        <v>6520</v>
      </c>
      <c r="BP711" t="s">
        <v>74</v>
      </c>
      <c r="BQ711" t="s">
        <v>74</v>
      </c>
      <c r="BR711" t="s">
        <v>107</v>
      </c>
      <c r="BS711" t="s">
        <v>13889</v>
      </c>
      <c r="BT711" t="str">
        <f>HYPERLINK("https%3A%2F%2Fwww.webofscience.com%2Fwos%2Fwoscc%2Ffull-record%2FWOS:000458334800014","View Full Record in Web of Science")</f>
        <v>View Full Record in Web of Science</v>
      </c>
    </row>
    <row r="712" spans="1:72" x14ac:dyDescent="0.15">
      <c r="A712" t="s">
        <v>72</v>
      </c>
      <c r="B712" t="s">
        <v>13890</v>
      </c>
      <c r="C712" t="s">
        <v>74</v>
      </c>
      <c r="D712" t="s">
        <v>74</v>
      </c>
      <c r="E712" t="s">
        <v>74</v>
      </c>
      <c r="F712" t="s">
        <v>13891</v>
      </c>
      <c r="G712" t="s">
        <v>74</v>
      </c>
      <c r="H712" t="s">
        <v>74</v>
      </c>
      <c r="I712" t="s">
        <v>13892</v>
      </c>
      <c r="J712" t="s">
        <v>256</v>
      </c>
      <c r="K712" t="s">
        <v>74</v>
      </c>
      <c r="L712" t="s">
        <v>74</v>
      </c>
      <c r="M712" t="s">
        <v>78</v>
      </c>
      <c r="N712" t="s">
        <v>79</v>
      </c>
      <c r="O712" t="s">
        <v>74</v>
      </c>
      <c r="P712" t="s">
        <v>74</v>
      </c>
      <c r="Q712" t="s">
        <v>74</v>
      </c>
      <c r="R712" t="s">
        <v>74</v>
      </c>
      <c r="S712" t="s">
        <v>74</v>
      </c>
      <c r="T712" t="s">
        <v>13893</v>
      </c>
      <c r="U712" t="s">
        <v>13894</v>
      </c>
      <c r="V712" t="s">
        <v>13895</v>
      </c>
      <c r="W712" t="s">
        <v>13896</v>
      </c>
      <c r="X712" t="s">
        <v>13897</v>
      </c>
      <c r="Y712" t="s">
        <v>13898</v>
      </c>
      <c r="Z712" t="s">
        <v>13899</v>
      </c>
      <c r="AA712" t="s">
        <v>13900</v>
      </c>
      <c r="AB712" t="s">
        <v>13901</v>
      </c>
      <c r="AC712" t="s">
        <v>13902</v>
      </c>
      <c r="AD712" t="s">
        <v>13903</v>
      </c>
      <c r="AE712" t="s">
        <v>13904</v>
      </c>
      <c r="AF712" t="s">
        <v>74</v>
      </c>
      <c r="AG712">
        <v>48</v>
      </c>
      <c r="AH712">
        <v>18</v>
      </c>
      <c r="AI712">
        <v>19</v>
      </c>
      <c r="AJ712">
        <v>0</v>
      </c>
      <c r="AK712">
        <v>21</v>
      </c>
      <c r="AL712" t="s">
        <v>269</v>
      </c>
      <c r="AM712" t="s">
        <v>270</v>
      </c>
      <c r="AN712" t="s">
        <v>271</v>
      </c>
      <c r="AO712" t="s">
        <v>272</v>
      </c>
      <c r="AP712" t="s">
        <v>273</v>
      </c>
      <c r="AQ712" t="s">
        <v>74</v>
      </c>
      <c r="AR712" t="s">
        <v>274</v>
      </c>
      <c r="AS712" t="s">
        <v>275</v>
      </c>
      <c r="AT712" t="s">
        <v>12668</v>
      </c>
      <c r="AU712">
        <v>2019</v>
      </c>
      <c r="AV712">
        <v>49</v>
      </c>
      <c r="AW712">
        <v>2</v>
      </c>
      <c r="AX712" t="s">
        <v>74</v>
      </c>
      <c r="AY712" t="s">
        <v>74</v>
      </c>
      <c r="AZ712" t="s">
        <v>74</v>
      </c>
      <c r="BA712" t="s">
        <v>74</v>
      </c>
      <c r="BB712">
        <v>543</v>
      </c>
      <c r="BC712">
        <v>559</v>
      </c>
      <c r="BD712" t="s">
        <v>74</v>
      </c>
      <c r="BE712" t="s">
        <v>13905</v>
      </c>
      <c r="BF712" t="str">
        <f>HYPERLINK("http://dx.doi.org/10.1175/JPO-D-18-0149.1","http://dx.doi.org/10.1175/JPO-D-18-0149.1")</f>
        <v>http://dx.doi.org/10.1175/JPO-D-18-0149.1</v>
      </c>
      <c r="BG712" t="s">
        <v>74</v>
      </c>
      <c r="BH712" t="s">
        <v>74</v>
      </c>
      <c r="BI712">
        <v>17</v>
      </c>
      <c r="BJ712" t="s">
        <v>277</v>
      </c>
      <c r="BK712" t="s">
        <v>102</v>
      </c>
      <c r="BL712" t="s">
        <v>277</v>
      </c>
      <c r="BM712" t="s">
        <v>13906</v>
      </c>
      <c r="BN712" t="s">
        <v>74</v>
      </c>
      <c r="BO712" t="s">
        <v>2764</v>
      </c>
      <c r="BP712" t="s">
        <v>74</v>
      </c>
      <c r="BQ712" t="s">
        <v>74</v>
      </c>
      <c r="BR712" t="s">
        <v>107</v>
      </c>
      <c r="BS712" t="s">
        <v>13907</v>
      </c>
      <c r="BT712" t="str">
        <f>HYPERLINK("https%3A%2F%2Fwww.webofscience.com%2Fwos%2Fwoscc%2Ffull-record%2FWOS:000458392400001","View Full Record in Web of Science")</f>
        <v>View Full Record in Web of Science</v>
      </c>
    </row>
    <row r="713" spans="1:72" x14ac:dyDescent="0.15">
      <c r="A713" t="s">
        <v>72</v>
      </c>
      <c r="B713" t="s">
        <v>13908</v>
      </c>
      <c r="C713" t="s">
        <v>74</v>
      </c>
      <c r="D713" t="s">
        <v>74</v>
      </c>
      <c r="E713" t="s">
        <v>74</v>
      </c>
      <c r="F713" t="s">
        <v>13909</v>
      </c>
      <c r="G713" t="s">
        <v>74</v>
      </c>
      <c r="H713" t="s">
        <v>74</v>
      </c>
      <c r="I713" t="s">
        <v>13910</v>
      </c>
      <c r="J713" t="s">
        <v>1740</v>
      </c>
      <c r="K713" t="s">
        <v>74</v>
      </c>
      <c r="L713" t="s">
        <v>74</v>
      </c>
      <c r="M713" t="s">
        <v>78</v>
      </c>
      <c r="N713" t="s">
        <v>79</v>
      </c>
      <c r="O713" t="s">
        <v>74</v>
      </c>
      <c r="P713" t="s">
        <v>74</v>
      </c>
      <c r="Q713" t="s">
        <v>74</v>
      </c>
      <c r="R713" t="s">
        <v>74</v>
      </c>
      <c r="S713" t="s">
        <v>74</v>
      </c>
      <c r="T713" t="s">
        <v>13911</v>
      </c>
      <c r="U713" t="s">
        <v>13912</v>
      </c>
      <c r="V713" t="s">
        <v>13913</v>
      </c>
      <c r="W713" t="s">
        <v>13914</v>
      </c>
      <c r="X713" t="s">
        <v>13915</v>
      </c>
      <c r="Y713" t="s">
        <v>13916</v>
      </c>
      <c r="Z713" t="s">
        <v>13917</v>
      </c>
      <c r="AA713" t="s">
        <v>13918</v>
      </c>
      <c r="AB713" t="s">
        <v>13919</v>
      </c>
      <c r="AC713" t="s">
        <v>13920</v>
      </c>
      <c r="AD713" t="s">
        <v>13921</v>
      </c>
      <c r="AE713" t="s">
        <v>13922</v>
      </c>
      <c r="AF713" t="s">
        <v>74</v>
      </c>
      <c r="AG713">
        <v>123</v>
      </c>
      <c r="AH713">
        <v>17</v>
      </c>
      <c r="AI713">
        <v>20</v>
      </c>
      <c r="AJ713">
        <v>3</v>
      </c>
      <c r="AK713">
        <v>34</v>
      </c>
      <c r="AL713" t="s">
        <v>634</v>
      </c>
      <c r="AM713" t="s">
        <v>635</v>
      </c>
      <c r="AN713" t="s">
        <v>636</v>
      </c>
      <c r="AO713" t="s">
        <v>1751</v>
      </c>
      <c r="AP713" t="s">
        <v>1752</v>
      </c>
      <c r="AQ713" t="s">
        <v>74</v>
      </c>
      <c r="AR713" t="s">
        <v>1753</v>
      </c>
      <c r="AS713" t="s">
        <v>1754</v>
      </c>
      <c r="AT713" t="s">
        <v>12783</v>
      </c>
      <c r="AU713">
        <v>2019</v>
      </c>
      <c r="AV713">
        <v>515</v>
      </c>
      <c r="AW713" t="s">
        <v>74</v>
      </c>
      <c r="AX713" t="s">
        <v>74</v>
      </c>
      <c r="AY713" t="s">
        <v>74</v>
      </c>
      <c r="AZ713" t="s">
        <v>247</v>
      </c>
      <c r="BA713" t="s">
        <v>74</v>
      </c>
      <c r="BB713">
        <v>70</v>
      </c>
      <c r="BC713">
        <v>82</v>
      </c>
      <c r="BD713" t="s">
        <v>74</v>
      </c>
      <c r="BE713" t="s">
        <v>13923</v>
      </c>
      <c r="BF713" t="str">
        <f>HYPERLINK("http://dx.doi.org/10.1016/j.palaeo.2017.10.010","http://dx.doi.org/10.1016/j.palaeo.2017.10.010")</f>
        <v>http://dx.doi.org/10.1016/j.palaeo.2017.10.010</v>
      </c>
      <c r="BG713" t="s">
        <v>74</v>
      </c>
      <c r="BH713" t="s">
        <v>74</v>
      </c>
      <c r="BI713">
        <v>13</v>
      </c>
      <c r="BJ713" t="s">
        <v>1756</v>
      </c>
      <c r="BK713" t="s">
        <v>102</v>
      </c>
      <c r="BL713" t="s">
        <v>1757</v>
      </c>
      <c r="BM713" t="s">
        <v>13924</v>
      </c>
      <c r="BN713" t="s">
        <v>74</v>
      </c>
      <c r="BO713" t="s">
        <v>74</v>
      </c>
      <c r="BP713" t="s">
        <v>74</v>
      </c>
      <c r="BQ713" t="s">
        <v>74</v>
      </c>
      <c r="BR713" t="s">
        <v>107</v>
      </c>
      <c r="BS713" t="s">
        <v>13925</v>
      </c>
      <c r="BT713" t="str">
        <f>HYPERLINK("https%3A%2F%2Fwww.webofscience.com%2Fwos%2Fwoscc%2Ffull-record%2FWOS:000457811700006","View Full Record in Web of Science")</f>
        <v>View Full Record in Web of Science</v>
      </c>
    </row>
    <row r="714" spans="1:72" x14ac:dyDescent="0.15">
      <c r="A714" t="s">
        <v>72</v>
      </c>
      <c r="B714" t="s">
        <v>13926</v>
      </c>
      <c r="C714" t="s">
        <v>74</v>
      </c>
      <c r="D714" t="s">
        <v>74</v>
      </c>
      <c r="E714" t="s">
        <v>74</v>
      </c>
      <c r="F714" t="s">
        <v>13927</v>
      </c>
      <c r="G714" t="s">
        <v>74</v>
      </c>
      <c r="H714" t="s">
        <v>74</v>
      </c>
      <c r="I714" t="s">
        <v>13928</v>
      </c>
      <c r="J714" t="s">
        <v>1740</v>
      </c>
      <c r="K714" t="s">
        <v>74</v>
      </c>
      <c r="L714" t="s">
        <v>74</v>
      </c>
      <c r="M714" t="s">
        <v>78</v>
      </c>
      <c r="N714" t="s">
        <v>79</v>
      </c>
      <c r="O714" t="s">
        <v>74</v>
      </c>
      <c r="P714" t="s">
        <v>74</v>
      </c>
      <c r="Q714" t="s">
        <v>74</v>
      </c>
      <c r="R714" t="s">
        <v>74</v>
      </c>
      <c r="S714" t="s">
        <v>74</v>
      </c>
      <c r="T714" t="s">
        <v>13929</v>
      </c>
      <c r="U714" t="s">
        <v>13930</v>
      </c>
      <c r="V714" t="s">
        <v>13931</v>
      </c>
      <c r="W714" t="s">
        <v>13932</v>
      </c>
      <c r="X714" t="s">
        <v>13933</v>
      </c>
      <c r="Y714" t="s">
        <v>13934</v>
      </c>
      <c r="Z714" t="s">
        <v>13935</v>
      </c>
      <c r="AA714" t="s">
        <v>13936</v>
      </c>
      <c r="AB714" t="s">
        <v>13937</v>
      </c>
      <c r="AC714" t="s">
        <v>13938</v>
      </c>
      <c r="AD714" t="s">
        <v>13939</v>
      </c>
      <c r="AE714" t="s">
        <v>13940</v>
      </c>
      <c r="AF714" t="s">
        <v>74</v>
      </c>
      <c r="AG714">
        <v>108</v>
      </c>
      <c r="AH714">
        <v>20</v>
      </c>
      <c r="AI714">
        <v>22</v>
      </c>
      <c r="AJ714">
        <v>1</v>
      </c>
      <c r="AK714">
        <v>15</v>
      </c>
      <c r="AL714" t="s">
        <v>662</v>
      </c>
      <c r="AM714" t="s">
        <v>635</v>
      </c>
      <c r="AN714" t="s">
        <v>663</v>
      </c>
      <c r="AO714" t="s">
        <v>1751</v>
      </c>
      <c r="AP714" t="s">
        <v>1752</v>
      </c>
      <c r="AQ714" t="s">
        <v>74</v>
      </c>
      <c r="AR714" t="s">
        <v>1753</v>
      </c>
      <c r="AS714" t="s">
        <v>1754</v>
      </c>
      <c r="AT714" t="s">
        <v>12783</v>
      </c>
      <c r="AU714">
        <v>2019</v>
      </c>
      <c r="AV714">
        <v>515</v>
      </c>
      <c r="AW714" t="s">
        <v>74</v>
      </c>
      <c r="AX714" t="s">
        <v>74</v>
      </c>
      <c r="AY714" t="s">
        <v>74</v>
      </c>
      <c r="AZ714" t="s">
        <v>247</v>
      </c>
      <c r="BA714" t="s">
        <v>74</v>
      </c>
      <c r="BB714">
        <v>152</v>
      </c>
      <c r="BC714">
        <v>161</v>
      </c>
      <c r="BD714" t="s">
        <v>74</v>
      </c>
      <c r="BE714" t="s">
        <v>13941</v>
      </c>
      <c r="BF714" t="str">
        <f>HYPERLINK("http://dx.doi.org/10.1016/j.palaeo.2018.01.039","http://dx.doi.org/10.1016/j.palaeo.2018.01.039")</f>
        <v>http://dx.doi.org/10.1016/j.palaeo.2018.01.039</v>
      </c>
      <c r="BG714" t="s">
        <v>74</v>
      </c>
      <c r="BH714" t="s">
        <v>74</v>
      </c>
      <c r="BI714">
        <v>10</v>
      </c>
      <c r="BJ714" t="s">
        <v>1756</v>
      </c>
      <c r="BK714" t="s">
        <v>102</v>
      </c>
      <c r="BL714" t="s">
        <v>1757</v>
      </c>
      <c r="BM714" t="s">
        <v>13924</v>
      </c>
      <c r="BN714" t="s">
        <v>74</v>
      </c>
      <c r="BO714" t="s">
        <v>2808</v>
      </c>
      <c r="BP714" t="s">
        <v>74</v>
      </c>
      <c r="BQ714" t="s">
        <v>74</v>
      </c>
      <c r="BR714" t="s">
        <v>107</v>
      </c>
      <c r="BS714" t="s">
        <v>13942</v>
      </c>
      <c r="BT714" t="str">
        <f>HYPERLINK("https%3A%2F%2Fwww.webofscience.com%2Fwos%2Fwoscc%2Ffull-record%2FWOS:000457811700013","View Full Record in Web of Science")</f>
        <v>View Full Record in Web of Science</v>
      </c>
    </row>
    <row r="715" spans="1:72" x14ac:dyDescent="0.15">
      <c r="A715" t="s">
        <v>72</v>
      </c>
      <c r="B715" t="s">
        <v>13943</v>
      </c>
      <c r="C715" t="s">
        <v>74</v>
      </c>
      <c r="D715" t="s">
        <v>74</v>
      </c>
      <c r="E715" t="s">
        <v>74</v>
      </c>
      <c r="F715" t="s">
        <v>13944</v>
      </c>
      <c r="G715" t="s">
        <v>74</v>
      </c>
      <c r="H715" t="s">
        <v>74</v>
      </c>
      <c r="I715" t="s">
        <v>13945</v>
      </c>
      <c r="J715" t="s">
        <v>13946</v>
      </c>
      <c r="K715" t="s">
        <v>74</v>
      </c>
      <c r="L715" t="s">
        <v>74</v>
      </c>
      <c r="M715" t="s">
        <v>78</v>
      </c>
      <c r="N715" t="s">
        <v>79</v>
      </c>
      <c r="O715" t="s">
        <v>74</v>
      </c>
      <c r="P715" t="s">
        <v>74</v>
      </c>
      <c r="Q715" t="s">
        <v>74</v>
      </c>
      <c r="R715" t="s">
        <v>74</v>
      </c>
      <c r="S715" t="s">
        <v>74</v>
      </c>
      <c r="T715" t="s">
        <v>13947</v>
      </c>
      <c r="U715" t="s">
        <v>13948</v>
      </c>
      <c r="V715" t="s">
        <v>13949</v>
      </c>
      <c r="W715" t="s">
        <v>13950</v>
      </c>
      <c r="X715" t="s">
        <v>13951</v>
      </c>
      <c r="Y715" t="s">
        <v>13952</v>
      </c>
      <c r="Z715" t="s">
        <v>13953</v>
      </c>
      <c r="AA715" t="s">
        <v>13954</v>
      </c>
      <c r="AB715" t="s">
        <v>13955</v>
      </c>
      <c r="AC715" t="s">
        <v>13956</v>
      </c>
      <c r="AD715" t="s">
        <v>13956</v>
      </c>
      <c r="AE715" t="s">
        <v>13957</v>
      </c>
      <c r="AF715" t="s">
        <v>74</v>
      </c>
      <c r="AG715">
        <v>79</v>
      </c>
      <c r="AH715">
        <v>7</v>
      </c>
      <c r="AI715">
        <v>7</v>
      </c>
      <c r="AJ715">
        <v>1</v>
      </c>
      <c r="AK715">
        <v>13</v>
      </c>
      <c r="AL715" t="s">
        <v>662</v>
      </c>
      <c r="AM715" t="s">
        <v>635</v>
      </c>
      <c r="AN715" t="s">
        <v>663</v>
      </c>
      <c r="AO715" t="s">
        <v>13958</v>
      </c>
      <c r="AP715" t="s">
        <v>13959</v>
      </c>
      <c r="AQ715" t="s">
        <v>74</v>
      </c>
      <c r="AR715" t="s">
        <v>13960</v>
      </c>
      <c r="AS715" t="s">
        <v>13961</v>
      </c>
      <c r="AT715" t="s">
        <v>12668</v>
      </c>
      <c r="AU715">
        <v>2019</v>
      </c>
      <c r="AV715">
        <v>380</v>
      </c>
      <c r="AW715" t="s">
        <v>74</v>
      </c>
      <c r="AX715" t="s">
        <v>74</v>
      </c>
      <c r="AY715" t="s">
        <v>74</v>
      </c>
      <c r="AZ715" t="s">
        <v>74</v>
      </c>
      <c r="BA715" t="s">
        <v>74</v>
      </c>
      <c r="BB715">
        <v>21</v>
      </c>
      <c r="BC715">
        <v>30</v>
      </c>
      <c r="BD715" t="s">
        <v>74</v>
      </c>
      <c r="BE715" t="s">
        <v>13962</v>
      </c>
      <c r="BF715" t="str">
        <f>HYPERLINK("http://dx.doi.org/10.1016/j.sedgeo.2018.11.013","http://dx.doi.org/10.1016/j.sedgeo.2018.11.013")</f>
        <v>http://dx.doi.org/10.1016/j.sedgeo.2018.11.013</v>
      </c>
      <c r="BG715" t="s">
        <v>74</v>
      </c>
      <c r="BH715" t="s">
        <v>74</v>
      </c>
      <c r="BI715">
        <v>10</v>
      </c>
      <c r="BJ715" t="s">
        <v>923</v>
      </c>
      <c r="BK715" t="s">
        <v>102</v>
      </c>
      <c r="BL715" t="s">
        <v>923</v>
      </c>
      <c r="BM715" t="s">
        <v>13963</v>
      </c>
      <c r="BN715" t="s">
        <v>74</v>
      </c>
      <c r="BO715" t="s">
        <v>74</v>
      </c>
      <c r="BP715" t="s">
        <v>74</v>
      </c>
      <c r="BQ715" t="s">
        <v>74</v>
      </c>
      <c r="BR715" t="s">
        <v>107</v>
      </c>
      <c r="BS715" t="s">
        <v>13964</v>
      </c>
      <c r="BT715" t="str">
        <f>HYPERLINK("https%3A%2F%2Fwww.webofscience.com%2Fwos%2Fwoscc%2Ffull-record%2FWOS:000457504000002","View Full Record in Web of Science")</f>
        <v>View Full Record in Web of Science</v>
      </c>
    </row>
    <row r="716" spans="1:72" x14ac:dyDescent="0.15">
      <c r="A716" t="s">
        <v>72</v>
      </c>
      <c r="B716" t="s">
        <v>13965</v>
      </c>
      <c r="C716" t="s">
        <v>74</v>
      </c>
      <c r="D716" t="s">
        <v>74</v>
      </c>
      <c r="E716" t="s">
        <v>74</v>
      </c>
      <c r="F716" t="s">
        <v>13966</v>
      </c>
      <c r="G716" t="s">
        <v>74</v>
      </c>
      <c r="H716" t="s">
        <v>74</v>
      </c>
      <c r="I716" t="s">
        <v>13967</v>
      </c>
      <c r="J716" t="s">
        <v>13968</v>
      </c>
      <c r="K716" t="s">
        <v>74</v>
      </c>
      <c r="L716" t="s">
        <v>74</v>
      </c>
      <c r="M716" t="s">
        <v>78</v>
      </c>
      <c r="N716" t="s">
        <v>79</v>
      </c>
      <c r="O716" t="s">
        <v>74</v>
      </c>
      <c r="P716" t="s">
        <v>74</v>
      </c>
      <c r="Q716" t="s">
        <v>74</v>
      </c>
      <c r="R716" t="s">
        <v>74</v>
      </c>
      <c r="S716" t="s">
        <v>74</v>
      </c>
      <c r="T716" t="s">
        <v>74</v>
      </c>
      <c r="U716" t="s">
        <v>13969</v>
      </c>
      <c r="V716" t="s">
        <v>13970</v>
      </c>
      <c r="W716" t="s">
        <v>13971</v>
      </c>
      <c r="X716" t="s">
        <v>13972</v>
      </c>
      <c r="Y716" t="s">
        <v>13973</v>
      </c>
      <c r="Z716" t="s">
        <v>13974</v>
      </c>
      <c r="AA716" t="s">
        <v>13975</v>
      </c>
      <c r="AB716" t="s">
        <v>13976</v>
      </c>
      <c r="AC716" t="s">
        <v>13977</v>
      </c>
      <c r="AD716" t="s">
        <v>13978</v>
      </c>
      <c r="AE716" t="s">
        <v>13979</v>
      </c>
      <c r="AF716" t="s">
        <v>74</v>
      </c>
      <c r="AG716">
        <v>92</v>
      </c>
      <c r="AH716">
        <v>12</v>
      </c>
      <c r="AI716">
        <v>15</v>
      </c>
      <c r="AJ716">
        <v>3</v>
      </c>
      <c r="AK716">
        <v>27</v>
      </c>
      <c r="AL716" t="s">
        <v>306</v>
      </c>
      <c r="AM716" t="s">
        <v>93</v>
      </c>
      <c r="AN716" t="s">
        <v>307</v>
      </c>
      <c r="AO716" t="s">
        <v>13980</v>
      </c>
      <c r="AP716" t="s">
        <v>13981</v>
      </c>
      <c r="AQ716" t="s">
        <v>74</v>
      </c>
      <c r="AR716" t="s">
        <v>13982</v>
      </c>
      <c r="AS716" t="s">
        <v>13983</v>
      </c>
      <c r="AT716" t="s">
        <v>12668</v>
      </c>
      <c r="AU716">
        <v>2019</v>
      </c>
      <c r="AV716">
        <v>36</v>
      </c>
      <c r="AW716" t="s">
        <v>74</v>
      </c>
      <c r="AX716" t="s">
        <v>74</v>
      </c>
      <c r="AY716" t="s">
        <v>74</v>
      </c>
      <c r="AZ716" t="s">
        <v>74</v>
      </c>
      <c r="BA716" t="s">
        <v>74</v>
      </c>
      <c r="BB716">
        <v>45</v>
      </c>
      <c r="BC716">
        <v>60</v>
      </c>
      <c r="BD716" t="s">
        <v>74</v>
      </c>
      <c r="BE716" t="s">
        <v>13984</v>
      </c>
      <c r="BF716" t="str">
        <f>HYPERLINK("http://dx.doi.org/10.1016/j.aeolia.2018.11.001","http://dx.doi.org/10.1016/j.aeolia.2018.11.001")</f>
        <v>http://dx.doi.org/10.1016/j.aeolia.2018.11.001</v>
      </c>
      <c r="BG716" t="s">
        <v>74</v>
      </c>
      <c r="BH716" t="s">
        <v>74</v>
      </c>
      <c r="BI716">
        <v>16</v>
      </c>
      <c r="BJ716" t="s">
        <v>12670</v>
      </c>
      <c r="BK716" t="s">
        <v>102</v>
      </c>
      <c r="BL716" t="s">
        <v>12671</v>
      </c>
      <c r="BM716" t="s">
        <v>13985</v>
      </c>
      <c r="BN716" t="s">
        <v>74</v>
      </c>
      <c r="BO716" t="s">
        <v>942</v>
      </c>
      <c r="BP716" t="s">
        <v>74</v>
      </c>
      <c r="BQ716" t="s">
        <v>74</v>
      </c>
      <c r="BR716" t="s">
        <v>107</v>
      </c>
      <c r="BS716" t="s">
        <v>13986</v>
      </c>
      <c r="BT716" t="str">
        <f>HYPERLINK("https%3A%2F%2Fwww.webofscience.com%2Fwos%2Fwoscc%2Ffull-record%2FWOS:000457665300004","View Full Record in Web of Science")</f>
        <v>View Full Record in Web of Science</v>
      </c>
    </row>
    <row r="717" spans="1:72" x14ac:dyDescent="0.15">
      <c r="A717" t="s">
        <v>72</v>
      </c>
      <c r="B717" t="s">
        <v>13987</v>
      </c>
      <c r="C717" t="s">
        <v>74</v>
      </c>
      <c r="D717" t="s">
        <v>74</v>
      </c>
      <c r="E717" t="s">
        <v>74</v>
      </c>
      <c r="F717" t="s">
        <v>13988</v>
      </c>
      <c r="G717" t="s">
        <v>74</v>
      </c>
      <c r="H717" t="s">
        <v>74</v>
      </c>
      <c r="I717" t="s">
        <v>13989</v>
      </c>
      <c r="J717" t="s">
        <v>1632</v>
      </c>
      <c r="K717" t="s">
        <v>74</v>
      </c>
      <c r="L717" t="s">
        <v>74</v>
      </c>
      <c r="M717" t="s">
        <v>78</v>
      </c>
      <c r="N717" t="s">
        <v>79</v>
      </c>
      <c r="O717" t="s">
        <v>74</v>
      </c>
      <c r="P717" t="s">
        <v>74</v>
      </c>
      <c r="Q717" t="s">
        <v>74</v>
      </c>
      <c r="R717" t="s">
        <v>74</v>
      </c>
      <c r="S717" t="s">
        <v>74</v>
      </c>
      <c r="T717" t="s">
        <v>13990</v>
      </c>
      <c r="U717" t="s">
        <v>13991</v>
      </c>
      <c r="V717" t="s">
        <v>13992</v>
      </c>
      <c r="W717" t="s">
        <v>13993</v>
      </c>
      <c r="X717" t="s">
        <v>13994</v>
      </c>
      <c r="Y717" t="s">
        <v>13995</v>
      </c>
      <c r="Z717" t="s">
        <v>13996</v>
      </c>
      <c r="AA717" t="s">
        <v>13997</v>
      </c>
      <c r="AB717" t="s">
        <v>13998</v>
      </c>
      <c r="AC717" t="s">
        <v>13999</v>
      </c>
      <c r="AD717" t="s">
        <v>14000</v>
      </c>
      <c r="AE717" t="s">
        <v>14001</v>
      </c>
      <c r="AF717" t="s">
        <v>74</v>
      </c>
      <c r="AG717">
        <v>116</v>
      </c>
      <c r="AH717">
        <v>38</v>
      </c>
      <c r="AI717">
        <v>47</v>
      </c>
      <c r="AJ717">
        <v>1</v>
      </c>
      <c r="AK717">
        <v>31</v>
      </c>
      <c r="AL717" t="s">
        <v>378</v>
      </c>
      <c r="AM717" t="s">
        <v>93</v>
      </c>
      <c r="AN717" t="s">
        <v>379</v>
      </c>
      <c r="AO717" t="s">
        <v>1645</v>
      </c>
      <c r="AP717" t="s">
        <v>74</v>
      </c>
      <c r="AQ717" t="s">
        <v>74</v>
      </c>
      <c r="AR717" t="s">
        <v>1646</v>
      </c>
      <c r="AS717" t="s">
        <v>1647</v>
      </c>
      <c r="AT717" t="s">
        <v>12783</v>
      </c>
      <c r="AU717">
        <v>2019</v>
      </c>
      <c r="AV717">
        <v>205</v>
      </c>
      <c r="AW717" t="s">
        <v>74</v>
      </c>
      <c r="AX717" t="s">
        <v>74</v>
      </c>
      <c r="AY717" t="s">
        <v>74</v>
      </c>
      <c r="AZ717" t="s">
        <v>74</v>
      </c>
      <c r="BA717" t="s">
        <v>74</v>
      </c>
      <c r="BB717">
        <v>143</v>
      </c>
      <c r="BC717">
        <v>153</v>
      </c>
      <c r="BD717" t="s">
        <v>74</v>
      </c>
      <c r="BE717" t="s">
        <v>14002</v>
      </c>
      <c r="BF717" t="str">
        <f>HYPERLINK("http://dx.doi.org/10.1016/j.quascirev.2018.12.018","http://dx.doi.org/10.1016/j.quascirev.2018.12.018")</f>
        <v>http://dx.doi.org/10.1016/j.quascirev.2018.12.018</v>
      </c>
      <c r="BG717" t="s">
        <v>74</v>
      </c>
      <c r="BH717" t="s">
        <v>74</v>
      </c>
      <c r="BI717">
        <v>11</v>
      </c>
      <c r="BJ717" t="s">
        <v>1142</v>
      </c>
      <c r="BK717" t="s">
        <v>102</v>
      </c>
      <c r="BL717" t="s">
        <v>1143</v>
      </c>
      <c r="BM717" t="s">
        <v>14003</v>
      </c>
      <c r="BN717" t="s">
        <v>74</v>
      </c>
      <c r="BO717" t="s">
        <v>8519</v>
      </c>
      <c r="BP717" t="s">
        <v>74</v>
      </c>
      <c r="BQ717" t="s">
        <v>74</v>
      </c>
      <c r="BR717" t="s">
        <v>107</v>
      </c>
      <c r="BS717" t="s">
        <v>14004</v>
      </c>
      <c r="BT717" t="str">
        <f>HYPERLINK("https%3A%2F%2Fwww.webofscience.com%2Fwos%2Fwoscc%2Ffull-record%2FWOS:000457658600011","View Full Record in Web of Science")</f>
        <v>View Full Record in Web of Science</v>
      </c>
    </row>
    <row r="718" spans="1:72" x14ac:dyDescent="0.15">
      <c r="A718" t="s">
        <v>72</v>
      </c>
      <c r="B718" t="s">
        <v>14005</v>
      </c>
      <c r="C718" t="s">
        <v>74</v>
      </c>
      <c r="D718" t="s">
        <v>74</v>
      </c>
      <c r="E718" t="s">
        <v>74</v>
      </c>
      <c r="F718" t="s">
        <v>14006</v>
      </c>
      <c r="G718" t="s">
        <v>74</v>
      </c>
      <c r="H718" t="s">
        <v>74</v>
      </c>
      <c r="I718" t="s">
        <v>14007</v>
      </c>
      <c r="J718" t="s">
        <v>14008</v>
      </c>
      <c r="K718" t="s">
        <v>74</v>
      </c>
      <c r="L718" t="s">
        <v>74</v>
      </c>
      <c r="M718" t="s">
        <v>78</v>
      </c>
      <c r="N718" t="s">
        <v>79</v>
      </c>
      <c r="O718" t="s">
        <v>74</v>
      </c>
      <c r="P718" t="s">
        <v>74</v>
      </c>
      <c r="Q718" t="s">
        <v>74</v>
      </c>
      <c r="R718" t="s">
        <v>74</v>
      </c>
      <c r="S718" t="s">
        <v>74</v>
      </c>
      <c r="T718" t="s">
        <v>14009</v>
      </c>
      <c r="U718" t="s">
        <v>14010</v>
      </c>
      <c r="V718" t="s">
        <v>14011</v>
      </c>
      <c r="W718" t="s">
        <v>14012</v>
      </c>
      <c r="X718" t="s">
        <v>14013</v>
      </c>
      <c r="Y718" t="s">
        <v>14014</v>
      </c>
      <c r="Z718" t="s">
        <v>14015</v>
      </c>
      <c r="AA718" t="s">
        <v>14016</v>
      </c>
      <c r="AB718" t="s">
        <v>14017</v>
      </c>
      <c r="AC718" t="s">
        <v>14018</v>
      </c>
      <c r="AD718" t="s">
        <v>14019</v>
      </c>
      <c r="AE718" t="s">
        <v>14020</v>
      </c>
      <c r="AF718" t="s">
        <v>74</v>
      </c>
      <c r="AG718">
        <v>80</v>
      </c>
      <c r="AH718">
        <v>6</v>
      </c>
      <c r="AI718">
        <v>9</v>
      </c>
      <c r="AJ718">
        <v>1</v>
      </c>
      <c r="AK718">
        <v>17</v>
      </c>
      <c r="AL718" t="s">
        <v>793</v>
      </c>
      <c r="AM718" t="s">
        <v>794</v>
      </c>
      <c r="AN718" t="s">
        <v>795</v>
      </c>
      <c r="AO718" t="s">
        <v>14021</v>
      </c>
      <c r="AP718" t="s">
        <v>14022</v>
      </c>
      <c r="AQ718" t="s">
        <v>74</v>
      </c>
      <c r="AR718" t="s">
        <v>14023</v>
      </c>
      <c r="AS718" t="s">
        <v>14024</v>
      </c>
      <c r="AT718" t="s">
        <v>12668</v>
      </c>
      <c r="AU718">
        <v>2019</v>
      </c>
      <c r="AV718">
        <v>240</v>
      </c>
      <c r="AW718">
        <v>2</v>
      </c>
      <c r="AX718" t="s">
        <v>74</v>
      </c>
      <c r="AY718" t="s">
        <v>74</v>
      </c>
      <c r="AZ718" t="s">
        <v>74</v>
      </c>
      <c r="BA718" t="s">
        <v>74</v>
      </c>
      <c r="BB718" t="s">
        <v>74</v>
      </c>
      <c r="BC718" t="s">
        <v>74</v>
      </c>
      <c r="BD718">
        <v>16</v>
      </c>
      <c r="BE718" t="s">
        <v>14025</v>
      </c>
      <c r="BF718" t="str">
        <f>HYPERLINK("http://dx.doi.org/10.3847/1538-4365/aaec0c","http://dx.doi.org/10.3847/1538-4365/aaec0c")</f>
        <v>http://dx.doi.org/10.3847/1538-4365/aaec0c</v>
      </c>
      <c r="BG718" t="s">
        <v>74</v>
      </c>
      <c r="BH718" t="s">
        <v>74</v>
      </c>
      <c r="BI718">
        <v>32</v>
      </c>
      <c r="BJ718" t="s">
        <v>2579</v>
      </c>
      <c r="BK718" t="s">
        <v>102</v>
      </c>
      <c r="BL718" t="s">
        <v>2579</v>
      </c>
      <c r="BM718" t="s">
        <v>14026</v>
      </c>
      <c r="BN718" t="s">
        <v>74</v>
      </c>
      <c r="BO718" t="s">
        <v>2228</v>
      </c>
      <c r="BP718" t="s">
        <v>74</v>
      </c>
      <c r="BQ718" t="s">
        <v>74</v>
      </c>
      <c r="BR718" t="s">
        <v>107</v>
      </c>
      <c r="BS718" t="s">
        <v>14027</v>
      </c>
      <c r="BT718" t="str">
        <f>HYPERLINK("https%3A%2F%2Fwww.webofscience.com%2Fwos%2Fwoscc%2Ffull-record%2FWOS:000456841400001","View Full Record in Web of Science")</f>
        <v>View Full Record in Web of Science</v>
      </c>
    </row>
    <row r="719" spans="1:72" x14ac:dyDescent="0.15">
      <c r="A719" t="s">
        <v>72</v>
      </c>
      <c r="B719" t="s">
        <v>14005</v>
      </c>
      <c r="C719" t="s">
        <v>74</v>
      </c>
      <c r="D719" t="s">
        <v>74</v>
      </c>
      <c r="E719" t="s">
        <v>74</v>
      </c>
      <c r="F719" t="s">
        <v>14006</v>
      </c>
      <c r="G719" t="s">
        <v>74</v>
      </c>
      <c r="H719" t="s">
        <v>74</v>
      </c>
      <c r="I719" t="s">
        <v>14028</v>
      </c>
      <c r="J719" t="s">
        <v>14008</v>
      </c>
      <c r="K719" t="s">
        <v>74</v>
      </c>
      <c r="L719" t="s">
        <v>74</v>
      </c>
      <c r="M719" t="s">
        <v>78</v>
      </c>
      <c r="N719" t="s">
        <v>79</v>
      </c>
      <c r="O719" t="s">
        <v>74</v>
      </c>
      <c r="P719" t="s">
        <v>74</v>
      </c>
      <c r="Q719" t="s">
        <v>74</v>
      </c>
      <c r="R719" t="s">
        <v>74</v>
      </c>
      <c r="S719" t="s">
        <v>74</v>
      </c>
      <c r="T719" t="s">
        <v>14009</v>
      </c>
      <c r="U719" t="s">
        <v>14029</v>
      </c>
      <c r="V719" t="s">
        <v>14030</v>
      </c>
      <c r="W719" t="s">
        <v>14031</v>
      </c>
      <c r="X719" t="s">
        <v>14032</v>
      </c>
      <c r="Y719" t="s">
        <v>14033</v>
      </c>
      <c r="Z719" t="s">
        <v>14015</v>
      </c>
      <c r="AA719" t="s">
        <v>14034</v>
      </c>
      <c r="AB719" t="s">
        <v>14035</v>
      </c>
      <c r="AC719" t="s">
        <v>14036</v>
      </c>
      <c r="AD719" t="s">
        <v>14037</v>
      </c>
      <c r="AE719" t="s">
        <v>14038</v>
      </c>
      <c r="AF719" t="s">
        <v>74</v>
      </c>
      <c r="AG719">
        <v>83</v>
      </c>
      <c r="AH719">
        <v>11</v>
      </c>
      <c r="AI719">
        <v>14</v>
      </c>
      <c r="AJ719">
        <v>0</v>
      </c>
      <c r="AK719">
        <v>16</v>
      </c>
      <c r="AL719" t="s">
        <v>793</v>
      </c>
      <c r="AM719" t="s">
        <v>794</v>
      </c>
      <c r="AN719" t="s">
        <v>795</v>
      </c>
      <c r="AO719" t="s">
        <v>14021</v>
      </c>
      <c r="AP719" t="s">
        <v>14022</v>
      </c>
      <c r="AQ719" t="s">
        <v>74</v>
      </c>
      <c r="AR719" t="s">
        <v>14023</v>
      </c>
      <c r="AS719" t="s">
        <v>14024</v>
      </c>
      <c r="AT719" t="s">
        <v>12668</v>
      </c>
      <c r="AU719">
        <v>2019</v>
      </c>
      <c r="AV719">
        <v>240</v>
      </c>
      <c r="AW719">
        <v>2</v>
      </c>
      <c r="AX719" t="s">
        <v>74</v>
      </c>
      <c r="AY719" t="s">
        <v>74</v>
      </c>
      <c r="AZ719" t="s">
        <v>74</v>
      </c>
      <c r="BA719" t="s">
        <v>74</v>
      </c>
      <c r="BB719" t="s">
        <v>74</v>
      </c>
      <c r="BC719" t="s">
        <v>74</v>
      </c>
      <c r="BD719">
        <v>17</v>
      </c>
      <c r="BE719" t="s">
        <v>14039</v>
      </c>
      <c r="BF719" t="str">
        <f>HYPERLINK("http://dx.doi.org/10.3847/1538-4365/aaf583","http://dx.doi.org/10.3847/1538-4365/aaf583")</f>
        <v>http://dx.doi.org/10.3847/1538-4365/aaf583</v>
      </c>
      <c r="BG719" t="s">
        <v>74</v>
      </c>
      <c r="BH719" t="s">
        <v>74</v>
      </c>
      <c r="BI719">
        <v>37</v>
      </c>
      <c r="BJ719" t="s">
        <v>2579</v>
      </c>
      <c r="BK719" t="s">
        <v>102</v>
      </c>
      <c r="BL719" t="s">
        <v>2579</v>
      </c>
      <c r="BM719" t="s">
        <v>14026</v>
      </c>
      <c r="BN719" t="s">
        <v>74</v>
      </c>
      <c r="BO719" t="s">
        <v>2228</v>
      </c>
      <c r="BP719" t="s">
        <v>74</v>
      </c>
      <c r="BQ719" t="s">
        <v>74</v>
      </c>
      <c r="BR719" t="s">
        <v>107</v>
      </c>
      <c r="BS719" t="s">
        <v>14040</v>
      </c>
      <c r="BT719" t="str">
        <f>HYPERLINK("https%3A%2F%2Fwww.webofscience.com%2Fwos%2Fwoscc%2Ffull-record%2FWOS:000456841400002","View Full Record in Web of Science")</f>
        <v>View Full Record in Web of Science</v>
      </c>
    </row>
    <row r="720" spans="1:72" x14ac:dyDescent="0.15">
      <c r="A720" t="s">
        <v>72</v>
      </c>
      <c r="B720" t="s">
        <v>14041</v>
      </c>
      <c r="C720" t="s">
        <v>74</v>
      </c>
      <c r="D720" t="s">
        <v>74</v>
      </c>
      <c r="E720" t="s">
        <v>74</v>
      </c>
      <c r="F720" t="s">
        <v>14042</v>
      </c>
      <c r="G720" t="s">
        <v>74</v>
      </c>
      <c r="H720" t="s">
        <v>74</v>
      </c>
      <c r="I720" t="s">
        <v>14043</v>
      </c>
      <c r="J720" t="s">
        <v>1125</v>
      </c>
      <c r="K720" t="s">
        <v>74</v>
      </c>
      <c r="L720" t="s">
        <v>74</v>
      </c>
      <c r="M720" t="s">
        <v>78</v>
      </c>
      <c r="N720" t="s">
        <v>79</v>
      </c>
      <c r="O720" t="s">
        <v>74</v>
      </c>
      <c r="P720" t="s">
        <v>74</v>
      </c>
      <c r="Q720" t="s">
        <v>74</v>
      </c>
      <c r="R720" t="s">
        <v>74</v>
      </c>
      <c r="S720" t="s">
        <v>74</v>
      </c>
      <c r="T720" t="s">
        <v>74</v>
      </c>
      <c r="U720" t="s">
        <v>14044</v>
      </c>
      <c r="V720" t="s">
        <v>14045</v>
      </c>
      <c r="W720" t="s">
        <v>14046</v>
      </c>
      <c r="X720" t="s">
        <v>14047</v>
      </c>
      <c r="Y720" t="s">
        <v>14048</v>
      </c>
      <c r="Z720" t="s">
        <v>14049</v>
      </c>
      <c r="AA720" t="s">
        <v>14050</v>
      </c>
      <c r="AB720" t="s">
        <v>14051</v>
      </c>
      <c r="AC720" t="s">
        <v>14052</v>
      </c>
      <c r="AD720" t="s">
        <v>14053</v>
      </c>
      <c r="AE720" t="s">
        <v>14054</v>
      </c>
      <c r="AF720" t="s">
        <v>74</v>
      </c>
      <c r="AG720">
        <v>66</v>
      </c>
      <c r="AH720">
        <v>69</v>
      </c>
      <c r="AI720">
        <v>71</v>
      </c>
      <c r="AJ720">
        <v>4</v>
      </c>
      <c r="AK720">
        <v>73</v>
      </c>
      <c r="AL720" t="s">
        <v>868</v>
      </c>
      <c r="AM720" t="s">
        <v>869</v>
      </c>
      <c r="AN720" t="s">
        <v>870</v>
      </c>
      <c r="AO720" t="s">
        <v>1137</v>
      </c>
      <c r="AP720" t="s">
        <v>1138</v>
      </c>
      <c r="AQ720" t="s">
        <v>74</v>
      </c>
      <c r="AR720" t="s">
        <v>1125</v>
      </c>
      <c r="AS720" t="s">
        <v>1139</v>
      </c>
      <c r="AT720" t="s">
        <v>12783</v>
      </c>
      <c r="AU720">
        <v>2019</v>
      </c>
      <c r="AV720">
        <v>13</v>
      </c>
      <c r="AW720">
        <v>1</v>
      </c>
      <c r="AX720" t="s">
        <v>74</v>
      </c>
      <c r="AY720" t="s">
        <v>74</v>
      </c>
      <c r="AZ720" t="s">
        <v>74</v>
      </c>
      <c r="BA720" t="s">
        <v>74</v>
      </c>
      <c r="BB720">
        <v>325</v>
      </c>
      <c r="BC720">
        <v>350</v>
      </c>
      <c r="BD720" t="s">
        <v>74</v>
      </c>
      <c r="BE720" t="s">
        <v>14055</v>
      </c>
      <c r="BF720" t="str">
        <f>HYPERLINK("http://dx.doi.org/10.5194/tc-13-325-2019","http://dx.doi.org/10.5194/tc-13-325-2019")</f>
        <v>http://dx.doi.org/10.5194/tc-13-325-2019</v>
      </c>
      <c r="BG720" t="s">
        <v>74</v>
      </c>
      <c r="BH720" t="s">
        <v>74</v>
      </c>
      <c r="BI720">
        <v>26</v>
      </c>
      <c r="BJ720" t="s">
        <v>1142</v>
      </c>
      <c r="BK720" t="s">
        <v>102</v>
      </c>
      <c r="BL720" t="s">
        <v>1143</v>
      </c>
      <c r="BM720" t="s">
        <v>14056</v>
      </c>
      <c r="BN720" t="s">
        <v>74</v>
      </c>
      <c r="BO720" t="s">
        <v>11339</v>
      </c>
      <c r="BP720" t="s">
        <v>74</v>
      </c>
      <c r="BQ720" t="s">
        <v>74</v>
      </c>
      <c r="BR720" t="s">
        <v>107</v>
      </c>
      <c r="BS720" t="s">
        <v>14057</v>
      </c>
      <c r="BT720" t="str">
        <f>HYPERLINK("https%3A%2F%2Fwww.webofscience.com%2Fwos%2Fwoscc%2Ffull-record%2FWOS:000457426200001","View Full Record in Web of Science")</f>
        <v>View Full Record in Web of Science</v>
      </c>
    </row>
    <row r="721" spans="1:72" x14ac:dyDescent="0.15">
      <c r="A721" t="s">
        <v>72</v>
      </c>
      <c r="B721" t="s">
        <v>14058</v>
      </c>
      <c r="C721" t="s">
        <v>74</v>
      </c>
      <c r="D721" t="s">
        <v>74</v>
      </c>
      <c r="E721" t="s">
        <v>74</v>
      </c>
      <c r="F721" t="s">
        <v>14059</v>
      </c>
      <c r="G721" t="s">
        <v>74</v>
      </c>
      <c r="H721" t="s">
        <v>74</v>
      </c>
      <c r="I721" t="s">
        <v>14060</v>
      </c>
      <c r="J721" t="s">
        <v>621</v>
      </c>
      <c r="K721" t="s">
        <v>74</v>
      </c>
      <c r="L721" t="s">
        <v>74</v>
      </c>
      <c r="M721" t="s">
        <v>78</v>
      </c>
      <c r="N721" t="s">
        <v>79</v>
      </c>
      <c r="O721" t="s">
        <v>74</v>
      </c>
      <c r="P721" t="s">
        <v>74</v>
      </c>
      <c r="Q721" t="s">
        <v>74</v>
      </c>
      <c r="R721" t="s">
        <v>74</v>
      </c>
      <c r="S721" t="s">
        <v>74</v>
      </c>
      <c r="T721" t="s">
        <v>14061</v>
      </c>
      <c r="U721" t="s">
        <v>14062</v>
      </c>
      <c r="V721" t="s">
        <v>14063</v>
      </c>
      <c r="W721" t="s">
        <v>14064</v>
      </c>
      <c r="X721" t="s">
        <v>14065</v>
      </c>
      <c r="Y721" t="s">
        <v>14066</v>
      </c>
      <c r="Z721" t="s">
        <v>14067</v>
      </c>
      <c r="AA721" t="s">
        <v>13023</v>
      </c>
      <c r="AB721" t="s">
        <v>14068</v>
      </c>
      <c r="AC721" t="s">
        <v>14069</v>
      </c>
      <c r="AD721" t="s">
        <v>14070</v>
      </c>
      <c r="AE721" t="s">
        <v>14071</v>
      </c>
      <c r="AF721" t="s">
        <v>74</v>
      </c>
      <c r="AG721">
        <v>52</v>
      </c>
      <c r="AH721">
        <v>35</v>
      </c>
      <c r="AI721">
        <v>45</v>
      </c>
      <c r="AJ721">
        <v>0</v>
      </c>
      <c r="AK721">
        <v>15</v>
      </c>
      <c r="AL721" t="s">
        <v>634</v>
      </c>
      <c r="AM721" t="s">
        <v>635</v>
      </c>
      <c r="AN721" t="s">
        <v>636</v>
      </c>
      <c r="AO721" t="s">
        <v>637</v>
      </c>
      <c r="AP721" t="s">
        <v>638</v>
      </c>
      <c r="AQ721" t="s">
        <v>74</v>
      </c>
      <c r="AR721" t="s">
        <v>639</v>
      </c>
      <c r="AS721" t="s">
        <v>640</v>
      </c>
      <c r="AT721" t="s">
        <v>12783</v>
      </c>
      <c r="AU721">
        <v>2019</v>
      </c>
      <c r="AV721">
        <v>507</v>
      </c>
      <c r="AW721" t="s">
        <v>74</v>
      </c>
      <c r="AX721" t="s">
        <v>74</v>
      </c>
      <c r="AY721" t="s">
        <v>74</v>
      </c>
      <c r="AZ721" t="s">
        <v>74</v>
      </c>
      <c r="BA721" t="s">
        <v>74</v>
      </c>
      <c r="BB721">
        <v>199</v>
      </c>
      <c r="BC721">
        <v>206</v>
      </c>
      <c r="BD721" t="s">
        <v>74</v>
      </c>
      <c r="BE721" t="s">
        <v>14072</v>
      </c>
      <c r="BF721" t="str">
        <f>HYPERLINK("http://dx.doi.org/10.1016/j.epsl.2018.12.008","http://dx.doi.org/10.1016/j.epsl.2018.12.008")</f>
        <v>http://dx.doi.org/10.1016/j.epsl.2018.12.008</v>
      </c>
      <c r="BG721" t="s">
        <v>74</v>
      </c>
      <c r="BH721" t="s">
        <v>74</v>
      </c>
      <c r="BI721">
        <v>8</v>
      </c>
      <c r="BJ721" t="s">
        <v>643</v>
      </c>
      <c r="BK721" t="s">
        <v>102</v>
      </c>
      <c r="BL721" t="s">
        <v>643</v>
      </c>
      <c r="BM721" t="s">
        <v>14073</v>
      </c>
      <c r="BN721" t="s">
        <v>74</v>
      </c>
      <c r="BO721" t="s">
        <v>198</v>
      </c>
      <c r="BP721" t="s">
        <v>74</v>
      </c>
      <c r="BQ721" t="s">
        <v>74</v>
      </c>
      <c r="BR721" t="s">
        <v>107</v>
      </c>
      <c r="BS721" t="s">
        <v>14074</v>
      </c>
      <c r="BT721" t="str">
        <f>HYPERLINK("https%3A%2F%2Fwww.webofscience.com%2Fwos%2Fwoscc%2Ffull-record%2FWOS:000456889800019","View Full Record in Web of Science")</f>
        <v>View Full Record in Web of Science</v>
      </c>
    </row>
    <row r="722" spans="1:72" x14ac:dyDescent="0.15">
      <c r="A722" t="s">
        <v>72</v>
      </c>
      <c r="B722" t="s">
        <v>14075</v>
      </c>
      <c r="C722" t="s">
        <v>74</v>
      </c>
      <c r="D722" t="s">
        <v>74</v>
      </c>
      <c r="E722" t="s">
        <v>74</v>
      </c>
      <c r="F722" t="s">
        <v>14076</v>
      </c>
      <c r="G722" t="s">
        <v>74</v>
      </c>
      <c r="H722" t="s">
        <v>74</v>
      </c>
      <c r="I722" t="s">
        <v>14077</v>
      </c>
      <c r="J722" t="s">
        <v>496</v>
      </c>
      <c r="K722" t="s">
        <v>74</v>
      </c>
      <c r="L722" t="s">
        <v>74</v>
      </c>
      <c r="M722" t="s">
        <v>78</v>
      </c>
      <c r="N722" t="s">
        <v>79</v>
      </c>
      <c r="O722" t="s">
        <v>74</v>
      </c>
      <c r="P722" t="s">
        <v>74</v>
      </c>
      <c r="Q722" t="s">
        <v>74</v>
      </c>
      <c r="R722" t="s">
        <v>74</v>
      </c>
      <c r="S722" t="s">
        <v>74</v>
      </c>
      <c r="T722" t="s">
        <v>14078</v>
      </c>
      <c r="U722" t="s">
        <v>14079</v>
      </c>
      <c r="V722" t="s">
        <v>14080</v>
      </c>
      <c r="W722" t="s">
        <v>14081</v>
      </c>
      <c r="X722" t="s">
        <v>14082</v>
      </c>
      <c r="Y722" t="s">
        <v>14083</v>
      </c>
      <c r="Z722" t="s">
        <v>14084</v>
      </c>
      <c r="AA722" t="s">
        <v>14085</v>
      </c>
      <c r="AB722" t="s">
        <v>14086</v>
      </c>
      <c r="AC722" t="s">
        <v>14087</v>
      </c>
      <c r="AD722" t="s">
        <v>14088</v>
      </c>
      <c r="AE722" t="s">
        <v>14089</v>
      </c>
      <c r="AF722" t="s">
        <v>74</v>
      </c>
      <c r="AG722">
        <v>100</v>
      </c>
      <c r="AH722">
        <v>4</v>
      </c>
      <c r="AI722">
        <v>5</v>
      </c>
      <c r="AJ722">
        <v>2</v>
      </c>
      <c r="AK722">
        <v>29</v>
      </c>
      <c r="AL722" t="s">
        <v>269</v>
      </c>
      <c r="AM722" t="s">
        <v>270</v>
      </c>
      <c r="AN722" t="s">
        <v>271</v>
      </c>
      <c r="AO722" t="s">
        <v>509</v>
      </c>
      <c r="AP722" t="s">
        <v>510</v>
      </c>
      <c r="AQ722" t="s">
        <v>74</v>
      </c>
      <c r="AR722" t="s">
        <v>511</v>
      </c>
      <c r="AS722" t="s">
        <v>512</v>
      </c>
      <c r="AT722" t="s">
        <v>12668</v>
      </c>
      <c r="AU722">
        <v>2019</v>
      </c>
      <c r="AV722">
        <v>32</v>
      </c>
      <c r="AW722">
        <v>3</v>
      </c>
      <c r="AX722" t="s">
        <v>74</v>
      </c>
      <c r="AY722" t="s">
        <v>74</v>
      </c>
      <c r="AZ722" t="s">
        <v>74</v>
      </c>
      <c r="BA722" t="s">
        <v>74</v>
      </c>
      <c r="BB722">
        <v>897</v>
      </c>
      <c r="BC722">
        <v>916</v>
      </c>
      <c r="BD722" t="s">
        <v>74</v>
      </c>
      <c r="BE722" t="s">
        <v>14090</v>
      </c>
      <c r="BF722" t="str">
        <f>HYPERLINK("http://dx.doi.org/10.1175/JCLI-D-18-0378.1","http://dx.doi.org/10.1175/JCLI-D-18-0378.1")</f>
        <v>http://dx.doi.org/10.1175/JCLI-D-18-0378.1</v>
      </c>
      <c r="BG722" t="s">
        <v>74</v>
      </c>
      <c r="BH722" t="s">
        <v>74</v>
      </c>
      <c r="BI722">
        <v>20</v>
      </c>
      <c r="BJ722" t="s">
        <v>133</v>
      </c>
      <c r="BK722" t="s">
        <v>102</v>
      </c>
      <c r="BL722" t="s">
        <v>133</v>
      </c>
      <c r="BM722" t="s">
        <v>14091</v>
      </c>
      <c r="BN722" t="s">
        <v>74</v>
      </c>
      <c r="BO722" t="s">
        <v>279</v>
      </c>
      <c r="BP722" t="s">
        <v>74</v>
      </c>
      <c r="BQ722" t="s">
        <v>74</v>
      </c>
      <c r="BR722" t="s">
        <v>107</v>
      </c>
      <c r="BS722" t="s">
        <v>14092</v>
      </c>
      <c r="BT722" t="str">
        <f>HYPERLINK("https%3A%2F%2Fwww.webofscience.com%2Fwos%2Fwoscc%2Ffull-record%2FWOS:000457261700002","View Full Record in Web of Science")</f>
        <v>View Full Record in Web of Science</v>
      </c>
    </row>
    <row r="723" spans="1:72" x14ac:dyDescent="0.15">
      <c r="A723" t="s">
        <v>72</v>
      </c>
      <c r="B723" t="s">
        <v>14093</v>
      </c>
      <c r="C723" t="s">
        <v>74</v>
      </c>
      <c r="D723" t="s">
        <v>74</v>
      </c>
      <c r="E723" t="s">
        <v>74</v>
      </c>
      <c r="F723" t="s">
        <v>14094</v>
      </c>
      <c r="G723" t="s">
        <v>74</v>
      </c>
      <c r="H723" t="s">
        <v>74</v>
      </c>
      <c r="I723" t="s">
        <v>14095</v>
      </c>
      <c r="J723" t="s">
        <v>496</v>
      </c>
      <c r="K723" t="s">
        <v>74</v>
      </c>
      <c r="L723" t="s">
        <v>74</v>
      </c>
      <c r="M723" t="s">
        <v>78</v>
      </c>
      <c r="N723" t="s">
        <v>79</v>
      </c>
      <c r="O723" t="s">
        <v>74</v>
      </c>
      <c r="P723" t="s">
        <v>74</v>
      </c>
      <c r="Q723" t="s">
        <v>74</v>
      </c>
      <c r="R723" t="s">
        <v>74</v>
      </c>
      <c r="S723" t="s">
        <v>74</v>
      </c>
      <c r="T723" t="s">
        <v>14096</v>
      </c>
      <c r="U723" t="s">
        <v>14097</v>
      </c>
      <c r="V723" t="s">
        <v>14098</v>
      </c>
      <c r="W723" t="s">
        <v>14099</v>
      </c>
      <c r="X723" t="s">
        <v>14100</v>
      </c>
      <c r="Y723" t="s">
        <v>14101</v>
      </c>
      <c r="Z723" t="s">
        <v>14102</v>
      </c>
      <c r="AA723" t="s">
        <v>74</v>
      </c>
      <c r="AB723" t="s">
        <v>14103</v>
      </c>
      <c r="AC723" t="s">
        <v>14104</v>
      </c>
      <c r="AD723" t="s">
        <v>14105</v>
      </c>
      <c r="AE723" t="s">
        <v>14106</v>
      </c>
      <c r="AF723" t="s">
        <v>74</v>
      </c>
      <c r="AG723">
        <v>67</v>
      </c>
      <c r="AH723">
        <v>14</v>
      </c>
      <c r="AI723">
        <v>18</v>
      </c>
      <c r="AJ723">
        <v>1</v>
      </c>
      <c r="AK723">
        <v>9</v>
      </c>
      <c r="AL723" t="s">
        <v>269</v>
      </c>
      <c r="AM723" t="s">
        <v>270</v>
      </c>
      <c r="AN723" t="s">
        <v>271</v>
      </c>
      <c r="AO723" t="s">
        <v>509</v>
      </c>
      <c r="AP723" t="s">
        <v>510</v>
      </c>
      <c r="AQ723" t="s">
        <v>74</v>
      </c>
      <c r="AR723" t="s">
        <v>511</v>
      </c>
      <c r="AS723" t="s">
        <v>512</v>
      </c>
      <c r="AT723" t="s">
        <v>12668</v>
      </c>
      <c r="AU723">
        <v>2019</v>
      </c>
      <c r="AV723">
        <v>32</v>
      </c>
      <c r="AW723">
        <v>4</v>
      </c>
      <c r="AX723" t="s">
        <v>74</v>
      </c>
      <c r="AY723" t="s">
        <v>74</v>
      </c>
      <c r="AZ723" t="s">
        <v>74</v>
      </c>
      <c r="BA723" t="s">
        <v>74</v>
      </c>
      <c r="BB723">
        <v>1063</v>
      </c>
      <c r="BC723">
        <v>1080</v>
      </c>
      <c r="BD723" t="s">
        <v>74</v>
      </c>
      <c r="BE723" t="s">
        <v>14107</v>
      </c>
      <c r="BF723" t="str">
        <f>HYPERLINK("http://dx.doi.org/10.1175/JCLI-D-18-0169.1","http://dx.doi.org/10.1175/JCLI-D-18-0169.1")</f>
        <v>http://dx.doi.org/10.1175/JCLI-D-18-0169.1</v>
      </c>
      <c r="BG723" t="s">
        <v>74</v>
      </c>
      <c r="BH723" t="s">
        <v>74</v>
      </c>
      <c r="BI723">
        <v>18</v>
      </c>
      <c r="BJ723" t="s">
        <v>133</v>
      </c>
      <c r="BK723" t="s">
        <v>102</v>
      </c>
      <c r="BL723" t="s">
        <v>133</v>
      </c>
      <c r="BM723" t="s">
        <v>14108</v>
      </c>
      <c r="BN723" t="s">
        <v>74</v>
      </c>
      <c r="BO723" t="s">
        <v>74</v>
      </c>
      <c r="BP723" t="s">
        <v>74</v>
      </c>
      <c r="BQ723" t="s">
        <v>74</v>
      </c>
      <c r="BR723" t="s">
        <v>107</v>
      </c>
      <c r="BS723" t="s">
        <v>14109</v>
      </c>
      <c r="BT723" t="str">
        <f>HYPERLINK("https%3A%2F%2Fwww.webofscience.com%2Fwos%2Fwoscc%2Ffull-record%2FWOS:000457324400005","View Full Record in Web of Science")</f>
        <v>View Full Record in Web of Science</v>
      </c>
    </row>
    <row r="724" spans="1:72" x14ac:dyDescent="0.15">
      <c r="A724" t="s">
        <v>72</v>
      </c>
      <c r="B724" t="s">
        <v>14110</v>
      </c>
      <c r="C724" t="s">
        <v>74</v>
      </c>
      <c r="D724" t="s">
        <v>74</v>
      </c>
      <c r="E724" t="s">
        <v>74</v>
      </c>
      <c r="F724" t="s">
        <v>14111</v>
      </c>
      <c r="G724" t="s">
        <v>74</v>
      </c>
      <c r="H724" t="s">
        <v>74</v>
      </c>
      <c r="I724" t="s">
        <v>14112</v>
      </c>
      <c r="J724" t="s">
        <v>496</v>
      </c>
      <c r="K724" t="s">
        <v>74</v>
      </c>
      <c r="L724" t="s">
        <v>74</v>
      </c>
      <c r="M724" t="s">
        <v>78</v>
      </c>
      <c r="N724" t="s">
        <v>79</v>
      </c>
      <c r="O724" t="s">
        <v>74</v>
      </c>
      <c r="P724" t="s">
        <v>74</v>
      </c>
      <c r="Q724" t="s">
        <v>74</v>
      </c>
      <c r="R724" t="s">
        <v>74</v>
      </c>
      <c r="S724" t="s">
        <v>74</v>
      </c>
      <c r="T724" t="s">
        <v>14113</v>
      </c>
      <c r="U724" t="s">
        <v>14114</v>
      </c>
      <c r="V724" t="s">
        <v>14115</v>
      </c>
      <c r="W724" t="s">
        <v>14116</v>
      </c>
      <c r="X724" t="s">
        <v>14117</v>
      </c>
      <c r="Y724" t="s">
        <v>14118</v>
      </c>
      <c r="Z724" t="s">
        <v>14119</v>
      </c>
      <c r="AA724" t="s">
        <v>14120</v>
      </c>
      <c r="AB724" t="s">
        <v>14121</v>
      </c>
      <c r="AC724" t="s">
        <v>14122</v>
      </c>
      <c r="AD724" t="s">
        <v>14123</v>
      </c>
      <c r="AE724" t="s">
        <v>14124</v>
      </c>
      <c r="AF724" t="s">
        <v>74</v>
      </c>
      <c r="AG724">
        <v>67</v>
      </c>
      <c r="AH724">
        <v>20</v>
      </c>
      <c r="AI724">
        <v>23</v>
      </c>
      <c r="AJ724">
        <v>0</v>
      </c>
      <c r="AK724">
        <v>13</v>
      </c>
      <c r="AL724" t="s">
        <v>269</v>
      </c>
      <c r="AM724" t="s">
        <v>270</v>
      </c>
      <c r="AN724" t="s">
        <v>271</v>
      </c>
      <c r="AO724" t="s">
        <v>509</v>
      </c>
      <c r="AP724" t="s">
        <v>510</v>
      </c>
      <c r="AQ724" t="s">
        <v>74</v>
      </c>
      <c r="AR724" t="s">
        <v>511</v>
      </c>
      <c r="AS724" t="s">
        <v>512</v>
      </c>
      <c r="AT724" t="s">
        <v>12668</v>
      </c>
      <c r="AU724">
        <v>2019</v>
      </c>
      <c r="AV724">
        <v>32</v>
      </c>
      <c r="AW724">
        <v>4</v>
      </c>
      <c r="AX724" t="s">
        <v>74</v>
      </c>
      <c r="AY724" t="s">
        <v>74</v>
      </c>
      <c r="AZ724" t="s">
        <v>74</v>
      </c>
      <c r="BA724" t="s">
        <v>74</v>
      </c>
      <c r="BB724">
        <v>1101</v>
      </c>
      <c r="BC724">
        <v>1120</v>
      </c>
      <c r="BD724" t="s">
        <v>74</v>
      </c>
      <c r="BE724" t="s">
        <v>14125</v>
      </c>
      <c r="BF724" t="str">
        <f>HYPERLINK("http://dx.doi.org/10.1175/JCLI-D-18-0099.1","http://dx.doi.org/10.1175/JCLI-D-18-0099.1")</f>
        <v>http://dx.doi.org/10.1175/JCLI-D-18-0099.1</v>
      </c>
      <c r="BG724" t="s">
        <v>74</v>
      </c>
      <c r="BH724" t="s">
        <v>74</v>
      </c>
      <c r="BI724">
        <v>20</v>
      </c>
      <c r="BJ724" t="s">
        <v>133</v>
      </c>
      <c r="BK724" t="s">
        <v>102</v>
      </c>
      <c r="BL724" t="s">
        <v>133</v>
      </c>
      <c r="BM724" t="s">
        <v>14126</v>
      </c>
      <c r="BN724" t="s">
        <v>74</v>
      </c>
      <c r="BO724" t="s">
        <v>2614</v>
      </c>
      <c r="BP724" t="s">
        <v>74</v>
      </c>
      <c r="BQ724" t="s">
        <v>74</v>
      </c>
      <c r="BR724" t="s">
        <v>107</v>
      </c>
      <c r="BS724" t="s">
        <v>14127</v>
      </c>
      <c r="BT724" t="str">
        <f>HYPERLINK("https%3A%2F%2Fwww.webofscience.com%2Fwos%2Fwoscc%2Ffull-record%2FWOS:000457325500002","View Full Record in Web of Science")</f>
        <v>View Full Record in Web of Science</v>
      </c>
    </row>
    <row r="725" spans="1:72" x14ac:dyDescent="0.15">
      <c r="A725" t="s">
        <v>72</v>
      </c>
      <c r="B725" t="s">
        <v>14128</v>
      </c>
      <c r="C725" t="s">
        <v>74</v>
      </c>
      <c r="D725" t="s">
        <v>74</v>
      </c>
      <c r="E725" t="s">
        <v>74</v>
      </c>
      <c r="F725" t="s">
        <v>14129</v>
      </c>
      <c r="G725" t="s">
        <v>74</v>
      </c>
      <c r="H725" t="s">
        <v>74</v>
      </c>
      <c r="I725" t="s">
        <v>14130</v>
      </c>
      <c r="J725" t="s">
        <v>11829</v>
      </c>
      <c r="K725" t="s">
        <v>74</v>
      </c>
      <c r="L725" t="s">
        <v>74</v>
      </c>
      <c r="M725" t="s">
        <v>78</v>
      </c>
      <c r="N725" t="s">
        <v>79</v>
      </c>
      <c r="O725" t="s">
        <v>74</v>
      </c>
      <c r="P725" t="s">
        <v>74</v>
      </c>
      <c r="Q725" t="s">
        <v>74</v>
      </c>
      <c r="R725" t="s">
        <v>74</v>
      </c>
      <c r="S725" t="s">
        <v>74</v>
      </c>
      <c r="T725" t="s">
        <v>14131</v>
      </c>
      <c r="U725" t="s">
        <v>14132</v>
      </c>
      <c r="V725" t="s">
        <v>14133</v>
      </c>
      <c r="W725" t="s">
        <v>14134</v>
      </c>
      <c r="X725" t="s">
        <v>14135</v>
      </c>
      <c r="Y725" t="s">
        <v>14136</v>
      </c>
      <c r="Z725" t="s">
        <v>14137</v>
      </c>
      <c r="AA725" t="s">
        <v>14138</v>
      </c>
      <c r="AB725" t="s">
        <v>14139</v>
      </c>
      <c r="AC725" t="s">
        <v>14140</v>
      </c>
      <c r="AD725" t="s">
        <v>14141</v>
      </c>
      <c r="AE725" t="s">
        <v>14142</v>
      </c>
      <c r="AF725" t="s">
        <v>74</v>
      </c>
      <c r="AG725">
        <v>38</v>
      </c>
      <c r="AH725">
        <v>17</v>
      </c>
      <c r="AI725">
        <v>19</v>
      </c>
      <c r="AJ725">
        <v>0</v>
      </c>
      <c r="AK725">
        <v>35</v>
      </c>
      <c r="AL725" t="s">
        <v>7818</v>
      </c>
      <c r="AM725" t="s">
        <v>329</v>
      </c>
      <c r="AN725" t="s">
        <v>7819</v>
      </c>
      <c r="AO725" t="s">
        <v>11842</v>
      </c>
      <c r="AP725" t="s">
        <v>11843</v>
      </c>
      <c r="AQ725" t="s">
        <v>74</v>
      </c>
      <c r="AR725" t="s">
        <v>11844</v>
      </c>
      <c r="AS725" t="s">
        <v>11845</v>
      </c>
      <c r="AT725" t="s">
        <v>12783</v>
      </c>
      <c r="AU725">
        <v>2019</v>
      </c>
      <c r="AV725">
        <v>231</v>
      </c>
      <c r="AW725" t="s">
        <v>74</v>
      </c>
      <c r="AX725" t="s">
        <v>74</v>
      </c>
      <c r="AY725" t="s">
        <v>74</v>
      </c>
      <c r="AZ725" t="s">
        <v>74</v>
      </c>
      <c r="BA725" t="s">
        <v>74</v>
      </c>
      <c r="BB725">
        <v>467</v>
      </c>
      <c r="BC725">
        <v>482</v>
      </c>
      <c r="BD725" t="s">
        <v>74</v>
      </c>
      <c r="BE725" t="s">
        <v>14143</v>
      </c>
      <c r="BF725" t="str">
        <f>HYPERLINK("http://dx.doi.org/10.1016/j.jenvman.2018.07.092","http://dx.doi.org/10.1016/j.jenvman.2018.07.092")</f>
        <v>http://dx.doi.org/10.1016/j.jenvman.2018.07.092</v>
      </c>
      <c r="BG725" t="s">
        <v>74</v>
      </c>
      <c r="BH725" t="s">
        <v>74</v>
      </c>
      <c r="BI725">
        <v>16</v>
      </c>
      <c r="BJ725" t="s">
        <v>2296</v>
      </c>
      <c r="BK725" t="s">
        <v>102</v>
      </c>
      <c r="BL725" t="s">
        <v>2297</v>
      </c>
      <c r="BM725" t="s">
        <v>14144</v>
      </c>
      <c r="BN725">
        <v>30388645</v>
      </c>
      <c r="BO725" t="s">
        <v>74</v>
      </c>
      <c r="BP725" t="s">
        <v>74</v>
      </c>
      <c r="BQ725" t="s">
        <v>74</v>
      </c>
      <c r="BR725" t="s">
        <v>107</v>
      </c>
      <c r="BS725" t="s">
        <v>14145</v>
      </c>
      <c r="BT725" t="str">
        <f>HYPERLINK("https%3A%2F%2Fwww.webofscience.com%2Fwos%2Fwoscc%2Ffull-record%2FWOS:000456641100052","View Full Record in Web of Science")</f>
        <v>View Full Record in Web of Science</v>
      </c>
    </row>
    <row r="726" spans="1:72" x14ac:dyDescent="0.15">
      <c r="A726" t="s">
        <v>72</v>
      </c>
      <c r="B726" t="s">
        <v>14146</v>
      </c>
      <c r="C726" t="s">
        <v>74</v>
      </c>
      <c r="D726" t="s">
        <v>74</v>
      </c>
      <c r="E726" t="s">
        <v>74</v>
      </c>
      <c r="F726" t="s">
        <v>14147</v>
      </c>
      <c r="G726" t="s">
        <v>74</v>
      </c>
      <c r="H726" t="s">
        <v>74</v>
      </c>
      <c r="I726" t="s">
        <v>14148</v>
      </c>
      <c r="J726" t="s">
        <v>14149</v>
      </c>
      <c r="K726" t="s">
        <v>74</v>
      </c>
      <c r="L726" t="s">
        <v>74</v>
      </c>
      <c r="M726" t="s">
        <v>78</v>
      </c>
      <c r="N726" t="s">
        <v>79</v>
      </c>
      <c r="O726" t="s">
        <v>74</v>
      </c>
      <c r="P726" t="s">
        <v>74</v>
      </c>
      <c r="Q726" t="s">
        <v>74</v>
      </c>
      <c r="R726" t="s">
        <v>74</v>
      </c>
      <c r="S726" t="s">
        <v>74</v>
      </c>
      <c r="T726" t="s">
        <v>14150</v>
      </c>
      <c r="U726" t="s">
        <v>14151</v>
      </c>
      <c r="V726" t="s">
        <v>14152</v>
      </c>
      <c r="W726" t="s">
        <v>14153</v>
      </c>
      <c r="X726" t="s">
        <v>14154</v>
      </c>
      <c r="Y726" t="s">
        <v>14155</v>
      </c>
      <c r="Z726" t="s">
        <v>14156</v>
      </c>
      <c r="AA726" t="s">
        <v>14157</v>
      </c>
      <c r="AB726" t="s">
        <v>14158</v>
      </c>
      <c r="AC726" t="s">
        <v>14159</v>
      </c>
      <c r="AD726" t="s">
        <v>14160</v>
      </c>
      <c r="AE726" t="s">
        <v>14161</v>
      </c>
      <c r="AF726" t="s">
        <v>74</v>
      </c>
      <c r="AG726">
        <v>84</v>
      </c>
      <c r="AH726">
        <v>17</v>
      </c>
      <c r="AI726">
        <v>19</v>
      </c>
      <c r="AJ726">
        <v>0</v>
      </c>
      <c r="AK726">
        <v>21</v>
      </c>
      <c r="AL726" t="s">
        <v>378</v>
      </c>
      <c r="AM726" t="s">
        <v>93</v>
      </c>
      <c r="AN726" t="s">
        <v>379</v>
      </c>
      <c r="AO726" t="s">
        <v>14162</v>
      </c>
      <c r="AP726" t="s">
        <v>74</v>
      </c>
      <c r="AQ726" t="s">
        <v>74</v>
      </c>
      <c r="AR726" t="s">
        <v>14163</v>
      </c>
      <c r="AS726" t="s">
        <v>14164</v>
      </c>
      <c r="AT726" t="s">
        <v>12668</v>
      </c>
      <c r="AU726">
        <v>2019</v>
      </c>
      <c r="AV726">
        <v>119</v>
      </c>
      <c r="AW726" t="s">
        <v>74</v>
      </c>
      <c r="AX726" t="s">
        <v>74</v>
      </c>
      <c r="AY726" t="s">
        <v>74</v>
      </c>
      <c r="AZ726" t="s">
        <v>74</v>
      </c>
      <c r="BA726" t="s">
        <v>74</v>
      </c>
      <c r="BB726">
        <v>50</v>
      </c>
      <c r="BC726">
        <v>60</v>
      </c>
      <c r="BD726" t="s">
        <v>74</v>
      </c>
      <c r="BE726" t="s">
        <v>14165</v>
      </c>
      <c r="BF726" t="str">
        <f>HYPERLINK("http://dx.doi.org/10.1016/j.jsg.2018.11.014","http://dx.doi.org/10.1016/j.jsg.2018.11.014")</f>
        <v>http://dx.doi.org/10.1016/j.jsg.2018.11.014</v>
      </c>
      <c r="BG726" t="s">
        <v>74</v>
      </c>
      <c r="BH726" t="s">
        <v>74</v>
      </c>
      <c r="BI726">
        <v>11</v>
      </c>
      <c r="BJ726" t="s">
        <v>922</v>
      </c>
      <c r="BK726" t="s">
        <v>102</v>
      </c>
      <c r="BL726" t="s">
        <v>923</v>
      </c>
      <c r="BM726" t="s">
        <v>14166</v>
      </c>
      <c r="BN726" t="s">
        <v>74</v>
      </c>
      <c r="BO726" t="s">
        <v>1014</v>
      </c>
      <c r="BP726" t="s">
        <v>74</v>
      </c>
      <c r="BQ726" t="s">
        <v>74</v>
      </c>
      <c r="BR726" t="s">
        <v>107</v>
      </c>
      <c r="BS726" t="s">
        <v>14167</v>
      </c>
      <c r="BT726" t="str">
        <f>HYPERLINK("https%3A%2F%2Fwww.webofscience.com%2Fwos%2Fwoscc%2Ffull-record%2FWOS:000457512900004","View Full Record in Web of Science")</f>
        <v>View Full Record in Web of Science</v>
      </c>
    </row>
    <row r="727" spans="1:72" x14ac:dyDescent="0.15">
      <c r="A727" t="s">
        <v>72</v>
      </c>
      <c r="B727" t="s">
        <v>14168</v>
      </c>
      <c r="C727" t="s">
        <v>74</v>
      </c>
      <c r="D727" t="s">
        <v>74</v>
      </c>
      <c r="E727" t="s">
        <v>74</v>
      </c>
      <c r="F727" t="s">
        <v>14169</v>
      </c>
      <c r="G727" t="s">
        <v>74</v>
      </c>
      <c r="H727" t="s">
        <v>74</v>
      </c>
      <c r="I727" t="s">
        <v>14170</v>
      </c>
      <c r="J727" t="s">
        <v>4698</v>
      </c>
      <c r="K727" t="s">
        <v>74</v>
      </c>
      <c r="L727" t="s">
        <v>74</v>
      </c>
      <c r="M727" t="s">
        <v>78</v>
      </c>
      <c r="N727" t="s">
        <v>79</v>
      </c>
      <c r="O727" t="s">
        <v>74</v>
      </c>
      <c r="P727" t="s">
        <v>74</v>
      </c>
      <c r="Q727" t="s">
        <v>74</v>
      </c>
      <c r="R727" t="s">
        <v>74</v>
      </c>
      <c r="S727" t="s">
        <v>74</v>
      </c>
      <c r="T727" t="s">
        <v>14171</v>
      </c>
      <c r="U727" t="s">
        <v>14172</v>
      </c>
      <c r="V727" t="s">
        <v>14173</v>
      </c>
      <c r="W727" t="s">
        <v>14174</v>
      </c>
      <c r="X727" t="s">
        <v>14175</v>
      </c>
      <c r="Y727" t="s">
        <v>14176</v>
      </c>
      <c r="Z727" t="s">
        <v>14177</v>
      </c>
      <c r="AA727" t="s">
        <v>74</v>
      </c>
      <c r="AB727" t="s">
        <v>14178</v>
      </c>
      <c r="AC727" t="s">
        <v>14179</v>
      </c>
      <c r="AD727" t="s">
        <v>14180</v>
      </c>
      <c r="AE727" t="s">
        <v>14181</v>
      </c>
      <c r="AF727" t="s">
        <v>74</v>
      </c>
      <c r="AG727">
        <v>47</v>
      </c>
      <c r="AH727">
        <v>7</v>
      </c>
      <c r="AI727">
        <v>9</v>
      </c>
      <c r="AJ727">
        <v>1</v>
      </c>
      <c r="AK727">
        <v>15</v>
      </c>
      <c r="AL727" t="s">
        <v>662</v>
      </c>
      <c r="AM727" t="s">
        <v>635</v>
      </c>
      <c r="AN727" t="s">
        <v>663</v>
      </c>
      <c r="AO727" t="s">
        <v>4711</v>
      </c>
      <c r="AP727" t="s">
        <v>4712</v>
      </c>
      <c r="AQ727" t="s">
        <v>74</v>
      </c>
      <c r="AR727" t="s">
        <v>4713</v>
      </c>
      <c r="AS727" t="s">
        <v>4714</v>
      </c>
      <c r="AT727" t="s">
        <v>12668</v>
      </c>
      <c r="AU727">
        <v>2019</v>
      </c>
      <c r="AV727">
        <v>43</v>
      </c>
      <c r="AW727" t="s">
        <v>74</v>
      </c>
      <c r="AX727" t="s">
        <v>74</v>
      </c>
      <c r="AY727" t="s">
        <v>74</v>
      </c>
      <c r="AZ727" t="s">
        <v>74</v>
      </c>
      <c r="BA727" t="s">
        <v>74</v>
      </c>
      <c r="BB727">
        <v>1</v>
      </c>
      <c r="BC727">
        <v>8</v>
      </c>
      <c r="BD727" t="s">
        <v>74</v>
      </c>
      <c r="BE727" t="s">
        <v>14182</v>
      </c>
      <c r="BF727" t="str">
        <f>HYPERLINK("http://dx.doi.org/10.1016/j.margen.2018.09.006","http://dx.doi.org/10.1016/j.margen.2018.09.006")</f>
        <v>http://dx.doi.org/10.1016/j.margen.2018.09.006</v>
      </c>
      <c r="BG727" t="s">
        <v>74</v>
      </c>
      <c r="BH727" t="s">
        <v>74</v>
      </c>
      <c r="BI727">
        <v>8</v>
      </c>
      <c r="BJ727" t="s">
        <v>4716</v>
      </c>
      <c r="BK727" t="s">
        <v>102</v>
      </c>
      <c r="BL727" t="s">
        <v>4716</v>
      </c>
      <c r="BM727" t="s">
        <v>14183</v>
      </c>
      <c r="BN727">
        <v>30293672</v>
      </c>
      <c r="BO727" t="s">
        <v>74</v>
      </c>
      <c r="BP727" t="s">
        <v>74</v>
      </c>
      <c r="BQ727" t="s">
        <v>74</v>
      </c>
      <c r="BR727" t="s">
        <v>107</v>
      </c>
      <c r="BS727" t="s">
        <v>14184</v>
      </c>
      <c r="BT727" t="str">
        <f>HYPERLINK("https%3A%2F%2Fwww.webofscience.com%2Fwos%2Fwoscc%2Ffull-record%2FWOS:000456757700001","View Full Record in Web of Science")</f>
        <v>View Full Record in Web of Science</v>
      </c>
    </row>
    <row r="728" spans="1:72" x14ac:dyDescent="0.15">
      <c r="A728" t="s">
        <v>72</v>
      </c>
      <c r="B728" t="s">
        <v>14185</v>
      </c>
      <c r="C728" t="s">
        <v>74</v>
      </c>
      <c r="D728" t="s">
        <v>74</v>
      </c>
      <c r="E728" t="s">
        <v>74</v>
      </c>
      <c r="F728" t="s">
        <v>14186</v>
      </c>
      <c r="G728" t="s">
        <v>74</v>
      </c>
      <c r="H728" t="s">
        <v>74</v>
      </c>
      <c r="I728" t="s">
        <v>14187</v>
      </c>
      <c r="J728" t="s">
        <v>321</v>
      </c>
      <c r="K728" t="s">
        <v>74</v>
      </c>
      <c r="L728" t="s">
        <v>74</v>
      </c>
      <c r="M728" t="s">
        <v>78</v>
      </c>
      <c r="N728" t="s">
        <v>79</v>
      </c>
      <c r="O728" t="s">
        <v>74</v>
      </c>
      <c r="P728" t="s">
        <v>74</v>
      </c>
      <c r="Q728" t="s">
        <v>74</v>
      </c>
      <c r="R728" t="s">
        <v>74</v>
      </c>
      <c r="S728" t="s">
        <v>74</v>
      </c>
      <c r="T728" t="s">
        <v>74</v>
      </c>
      <c r="U728" t="s">
        <v>14188</v>
      </c>
      <c r="V728" t="s">
        <v>14189</v>
      </c>
      <c r="W728" t="s">
        <v>14190</v>
      </c>
      <c r="X728" t="s">
        <v>14191</v>
      </c>
      <c r="Y728" t="s">
        <v>14192</v>
      </c>
      <c r="Z728" t="s">
        <v>1364</v>
      </c>
      <c r="AA728" t="s">
        <v>14193</v>
      </c>
      <c r="AB728" t="s">
        <v>14194</v>
      </c>
      <c r="AC728" t="s">
        <v>14195</v>
      </c>
      <c r="AD728" t="s">
        <v>14196</v>
      </c>
      <c r="AE728" t="s">
        <v>14197</v>
      </c>
      <c r="AF728" t="s">
        <v>74</v>
      </c>
      <c r="AG728">
        <v>32</v>
      </c>
      <c r="AH728">
        <v>33</v>
      </c>
      <c r="AI728">
        <v>38</v>
      </c>
      <c r="AJ728">
        <v>8</v>
      </c>
      <c r="AK728">
        <v>76</v>
      </c>
      <c r="AL728" t="s">
        <v>328</v>
      </c>
      <c r="AM728" t="s">
        <v>329</v>
      </c>
      <c r="AN728" t="s">
        <v>330</v>
      </c>
      <c r="AO728" t="s">
        <v>331</v>
      </c>
      <c r="AP728" t="s">
        <v>332</v>
      </c>
      <c r="AQ728" t="s">
        <v>74</v>
      </c>
      <c r="AR728" t="s">
        <v>333</v>
      </c>
      <c r="AS728" t="s">
        <v>334</v>
      </c>
      <c r="AT728" t="s">
        <v>12668</v>
      </c>
      <c r="AU728">
        <v>2019</v>
      </c>
      <c r="AV728">
        <v>9</v>
      </c>
      <c r="AW728">
        <v>2</v>
      </c>
      <c r="AX728" t="s">
        <v>74</v>
      </c>
      <c r="AY728" t="s">
        <v>74</v>
      </c>
      <c r="AZ728" t="s">
        <v>74</v>
      </c>
      <c r="BA728" t="s">
        <v>74</v>
      </c>
      <c r="BB728">
        <v>148</v>
      </c>
      <c r="BC728" t="s">
        <v>1394</v>
      </c>
      <c r="BD728" t="s">
        <v>74</v>
      </c>
      <c r="BE728" t="s">
        <v>14198</v>
      </c>
      <c r="BF728" t="str">
        <f>HYPERLINK("http://dx.doi.org/10.1038/s41558-018-0389-1","http://dx.doi.org/10.1038/s41558-018-0389-1")</f>
        <v>http://dx.doi.org/10.1038/s41558-018-0389-1</v>
      </c>
      <c r="BG728" t="s">
        <v>74</v>
      </c>
      <c r="BH728" t="s">
        <v>74</v>
      </c>
      <c r="BI728">
        <v>6</v>
      </c>
      <c r="BJ728" t="s">
        <v>336</v>
      </c>
      <c r="BK728" t="s">
        <v>337</v>
      </c>
      <c r="BL728" t="s">
        <v>338</v>
      </c>
      <c r="BM728" t="s">
        <v>14199</v>
      </c>
      <c r="BN728" t="s">
        <v>74</v>
      </c>
      <c r="BO728" t="s">
        <v>74</v>
      </c>
      <c r="BP728" t="s">
        <v>74</v>
      </c>
      <c r="BQ728" t="s">
        <v>74</v>
      </c>
      <c r="BR728" t="s">
        <v>107</v>
      </c>
      <c r="BS728" t="s">
        <v>14200</v>
      </c>
      <c r="BT728" t="str">
        <f>HYPERLINK("https%3A%2F%2Fwww.webofscience.com%2Fwos%2Fwoscc%2Ffull-record%2FWOS:000456994900020","View Full Record in Web of Science")</f>
        <v>View Full Record in Web of Science</v>
      </c>
    </row>
    <row r="729" spans="1:72" x14ac:dyDescent="0.15">
      <c r="A729" t="s">
        <v>72</v>
      </c>
      <c r="B729" t="s">
        <v>14201</v>
      </c>
      <c r="C729" t="s">
        <v>74</v>
      </c>
      <c r="D729" t="s">
        <v>74</v>
      </c>
      <c r="E729" t="s">
        <v>74</v>
      </c>
      <c r="F729" t="s">
        <v>14202</v>
      </c>
      <c r="G729" t="s">
        <v>74</v>
      </c>
      <c r="H729" t="s">
        <v>74</v>
      </c>
      <c r="I729" t="s">
        <v>14203</v>
      </c>
      <c r="J729" t="s">
        <v>10654</v>
      </c>
      <c r="K729" t="s">
        <v>74</v>
      </c>
      <c r="L729" t="s">
        <v>74</v>
      </c>
      <c r="M729" t="s">
        <v>78</v>
      </c>
      <c r="N729" t="s">
        <v>79</v>
      </c>
      <c r="O729" t="s">
        <v>74</v>
      </c>
      <c r="P729" t="s">
        <v>74</v>
      </c>
      <c r="Q729" t="s">
        <v>74</v>
      </c>
      <c r="R729" t="s">
        <v>74</v>
      </c>
      <c r="S729" t="s">
        <v>74</v>
      </c>
      <c r="T729" t="s">
        <v>74</v>
      </c>
      <c r="U729" t="s">
        <v>14204</v>
      </c>
      <c r="V729" t="s">
        <v>14205</v>
      </c>
      <c r="W729" t="s">
        <v>14206</v>
      </c>
      <c r="X729" t="s">
        <v>14207</v>
      </c>
      <c r="Y729" t="s">
        <v>14208</v>
      </c>
      <c r="Z729" t="s">
        <v>14209</v>
      </c>
      <c r="AA729" t="s">
        <v>14210</v>
      </c>
      <c r="AB729" t="s">
        <v>14211</v>
      </c>
      <c r="AC729" t="s">
        <v>14212</v>
      </c>
      <c r="AD729" t="s">
        <v>14213</v>
      </c>
      <c r="AE729" t="s">
        <v>14214</v>
      </c>
      <c r="AF729" t="s">
        <v>74</v>
      </c>
      <c r="AG729">
        <v>57</v>
      </c>
      <c r="AH729">
        <v>104</v>
      </c>
      <c r="AI729">
        <v>110</v>
      </c>
      <c r="AJ729">
        <v>22</v>
      </c>
      <c r="AK729">
        <v>279</v>
      </c>
      <c r="AL729" t="s">
        <v>328</v>
      </c>
      <c r="AM729" t="s">
        <v>607</v>
      </c>
      <c r="AN729" t="s">
        <v>10687</v>
      </c>
      <c r="AO729" t="s">
        <v>10666</v>
      </c>
      <c r="AP729" t="s">
        <v>10667</v>
      </c>
      <c r="AQ729" t="s">
        <v>74</v>
      </c>
      <c r="AR729" t="s">
        <v>10668</v>
      </c>
      <c r="AS729" t="s">
        <v>10669</v>
      </c>
      <c r="AT729" t="s">
        <v>12668</v>
      </c>
      <c r="AU729">
        <v>2019</v>
      </c>
      <c r="AV729">
        <v>12</v>
      </c>
      <c r="AW729">
        <v>2</v>
      </c>
      <c r="AX729" t="s">
        <v>74</v>
      </c>
      <c r="AY729" t="s">
        <v>74</v>
      </c>
      <c r="AZ729" t="s">
        <v>74</v>
      </c>
      <c r="BA729" t="s">
        <v>74</v>
      </c>
      <c r="BB729">
        <v>119</v>
      </c>
      <c r="BC729" t="s">
        <v>1394</v>
      </c>
      <c r="BD729" t="s">
        <v>74</v>
      </c>
      <c r="BE729" t="s">
        <v>14215</v>
      </c>
      <c r="BF729" t="str">
        <f>HYPERLINK("http://dx.doi.org/10.1038/s41561-018-0285-3","http://dx.doi.org/10.1038/s41561-018-0285-3")</f>
        <v>http://dx.doi.org/10.1038/s41561-018-0285-3</v>
      </c>
      <c r="BG729" t="s">
        <v>74</v>
      </c>
      <c r="BH729" t="s">
        <v>74</v>
      </c>
      <c r="BI729">
        <v>9</v>
      </c>
      <c r="BJ729" t="s">
        <v>922</v>
      </c>
      <c r="BK729" t="s">
        <v>102</v>
      </c>
      <c r="BL729" t="s">
        <v>923</v>
      </c>
      <c r="BM729" t="s">
        <v>14216</v>
      </c>
      <c r="BN729" t="s">
        <v>74</v>
      </c>
      <c r="BO729" t="s">
        <v>403</v>
      </c>
      <c r="BP729" t="s">
        <v>74</v>
      </c>
      <c r="BQ729" t="s">
        <v>74</v>
      </c>
      <c r="BR729" t="s">
        <v>107</v>
      </c>
      <c r="BS729" t="s">
        <v>14217</v>
      </c>
      <c r="BT729" t="str">
        <f>HYPERLINK("https%3A%2F%2Fwww.webofscience.com%2Fwos%2Fwoscc%2Ffull-record%2FWOS:000457194900011","View Full Record in Web of Science")</f>
        <v>View Full Record in Web of Science</v>
      </c>
    </row>
    <row r="730" spans="1:72" x14ac:dyDescent="0.15">
      <c r="A730" t="s">
        <v>72</v>
      </c>
      <c r="B730" t="s">
        <v>14218</v>
      </c>
      <c r="C730" t="s">
        <v>74</v>
      </c>
      <c r="D730" t="s">
        <v>74</v>
      </c>
      <c r="E730" t="s">
        <v>74</v>
      </c>
      <c r="F730" t="s">
        <v>14219</v>
      </c>
      <c r="G730" t="s">
        <v>74</v>
      </c>
      <c r="H730" t="s">
        <v>74</v>
      </c>
      <c r="I730" t="s">
        <v>14220</v>
      </c>
      <c r="J730" t="s">
        <v>10654</v>
      </c>
      <c r="K730" t="s">
        <v>74</v>
      </c>
      <c r="L730" t="s">
        <v>74</v>
      </c>
      <c r="M730" t="s">
        <v>78</v>
      </c>
      <c r="N730" t="s">
        <v>79</v>
      </c>
      <c r="O730" t="s">
        <v>74</v>
      </c>
      <c r="P730" t="s">
        <v>74</v>
      </c>
      <c r="Q730" t="s">
        <v>74</v>
      </c>
      <c r="R730" t="s">
        <v>74</v>
      </c>
      <c r="S730" t="s">
        <v>74</v>
      </c>
      <c r="T730" t="s">
        <v>74</v>
      </c>
      <c r="U730" t="s">
        <v>14221</v>
      </c>
      <c r="V730" t="s">
        <v>14222</v>
      </c>
      <c r="W730" t="s">
        <v>14223</v>
      </c>
      <c r="X730" t="s">
        <v>14224</v>
      </c>
      <c r="Y730" t="s">
        <v>14225</v>
      </c>
      <c r="Z730" t="s">
        <v>14226</v>
      </c>
      <c r="AA730" t="s">
        <v>14227</v>
      </c>
      <c r="AB730" t="s">
        <v>14228</v>
      </c>
      <c r="AC730" t="s">
        <v>14229</v>
      </c>
      <c r="AD730" t="s">
        <v>14230</v>
      </c>
      <c r="AE730" t="s">
        <v>14231</v>
      </c>
      <c r="AF730" t="s">
        <v>74</v>
      </c>
      <c r="AG730">
        <v>50</v>
      </c>
      <c r="AH730">
        <v>70</v>
      </c>
      <c r="AI730">
        <v>76</v>
      </c>
      <c r="AJ730">
        <v>7</v>
      </c>
      <c r="AK730">
        <v>64</v>
      </c>
      <c r="AL730" t="s">
        <v>1393</v>
      </c>
      <c r="AM730" t="s">
        <v>1371</v>
      </c>
      <c r="AN730" t="s">
        <v>1372</v>
      </c>
      <c r="AO730" t="s">
        <v>10666</v>
      </c>
      <c r="AP730" t="s">
        <v>10667</v>
      </c>
      <c r="AQ730" t="s">
        <v>74</v>
      </c>
      <c r="AR730" t="s">
        <v>10668</v>
      </c>
      <c r="AS730" t="s">
        <v>10669</v>
      </c>
      <c r="AT730" t="s">
        <v>12668</v>
      </c>
      <c r="AU730">
        <v>2019</v>
      </c>
      <c r="AV730">
        <v>12</v>
      </c>
      <c r="AW730">
        <v>2</v>
      </c>
      <c r="AX730" t="s">
        <v>74</v>
      </c>
      <c r="AY730" t="s">
        <v>74</v>
      </c>
      <c r="AZ730" t="s">
        <v>74</v>
      </c>
      <c r="BA730" t="s">
        <v>74</v>
      </c>
      <c r="BB730">
        <v>132</v>
      </c>
      <c r="BC730" t="s">
        <v>1394</v>
      </c>
      <c r="BD730" t="s">
        <v>74</v>
      </c>
      <c r="BE730" t="s">
        <v>14232</v>
      </c>
      <c r="BF730" t="str">
        <f>HYPERLINK("http://dx.doi.org/10.1038/s41561-018-0284-4","http://dx.doi.org/10.1038/s41561-018-0284-4")</f>
        <v>http://dx.doi.org/10.1038/s41561-018-0284-4</v>
      </c>
      <c r="BG730" t="s">
        <v>74</v>
      </c>
      <c r="BH730" t="s">
        <v>74</v>
      </c>
      <c r="BI730">
        <v>7</v>
      </c>
      <c r="BJ730" t="s">
        <v>922</v>
      </c>
      <c r="BK730" t="s">
        <v>102</v>
      </c>
      <c r="BL730" t="s">
        <v>923</v>
      </c>
      <c r="BM730" t="s">
        <v>14216</v>
      </c>
      <c r="BN730" t="s">
        <v>74</v>
      </c>
      <c r="BO730" t="s">
        <v>403</v>
      </c>
      <c r="BP730" t="s">
        <v>74</v>
      </c>
      <c r="BQ730" t="s">
        <v>74</v>
      </c>
      <c r="BR730" t="s">
        <v>107</v>
      </c>
      <c r="BS730" t="s">
        <v>14233</v>
      </c>
      <c r="BT730" t="str">
        <f>HYPERLINK("https%3A%2F%2Fwww.webofscience.com%2Fwos%2Fwoscc%2Ffull-record%2FWOS:000457194900013","View Full Record in Web of Science")</f>
        <v>View Full Record in Web of Science</v>
      </c>
    </row>
    <row r="731" spans="1:72" x14ac:dyDescent="0.15">
      <c r="A731" t="s">
        <v>72</v>
      </c>
      <c r="B731" t="s">
        <v>14234</v>
      </c>
      <c r="C731" t="s">
        <v>74</v>
      </c>
      <c r="D731" t="s">
        <v>74</v>
      </c>
      <c r="E731" t="s">
        <v>74</v>
      </c>
      <c r="F731" t="s">
        <v>14235</v>
      </c>
      <c r="G731" t="s">
        <v>74</v>
      </c>
      <c r="H731" t="s">
        <v>74</v>
      </c>
      <c r="I731" t="s">
        <v>14236</v>
      </c>
      <c r="J731" t="s">
        <v>10189</v>
      </c>
      <c r="K731" t="s">
        <v>74</v>
      </c>
      <c r="L731" t="s">
        <v>74</v>
      </c>
      <c r="M731" t="s">
        <v>78</v>
      </c>
      <c r="N731" t="s">
        <v>79</v>
      </c>
      <c r="O731" t="s">
        <v>74</v>
      </c>
      <c r="P731" t="s">
        <v>74</v>
      </c>
      <c r="Q731" t="s">
        <v>74</v>
      </c>
      <c r="R731" t="s">
        <v>74</v>
      </c>
      <c r="S731" t="s">
        <v>74</v>
      </c>
      <c r="T731" t="s">
        <v>14237</v>
      </c>
      <c r="U731" t="s">
        <v>14238</v>
      </c>
      <c r="V731" t="s">
        <v>14239</v>
      </c>
      <c r="W731" t="s">
        <v>14240</v>
      </c>
      <c r="X731" t="s">
        <v>14241</v>
      </c>
      <c r="Y731" t="s">
        <v>14242</v>
      </c>
      <c r="Z731" t="s">
        <v>14243</v>
      </c>
      <c r="AA731" t="s">
        <v>74</v>
      </c>
      <c r="AB731" t="s">
        <v>14244</v>
      </c>
      <c r="AC731" t="s">
        <v>14245</v>
      </c>
      <c r="AD731" t="s">
        <v>14246</v>
      </c>
      <c r="AE731" t="s">
        <v>14247</v>
      </c>
      <c r="AF731" t="s">
        <v>74</v>
      </c>
      <c r="AG731">
        <v>62</v>
      </c>
      <c r="AH731">
        <v>1</v>
      </c>
      <c r="AI731">
        <v>2</v>
      </c>
      <c r="AJ731">
        <v>1</v>
      </c>
      <c r="AK731">
        <v>12</v>
      </c>
      <c r="AL731" t="s">
        <v>550</v>
      </c>
      <c r="AM731" t="s">
        <v>551</v>
      </c>
      <c r="AN731" t="s">
        <v>552</v>
      </c>
      <c r="AO731" t="s">
        <v>10197</v>
      </c>
      <c r="AP731" t="s">
        <v>10198</v>
      </c>
      <c r="AQ731" t="s">
        <v>74</v>
      </c>
      <c r="AR731" t="s">
        <v>10199</v>
      </c>
      <c r="AS731" t="s">
        <v>10200</v>
      </c>
      <c r="AT731" t="s">
        <v>12668</v>
      </c>
      <c r="AU731">
        <v>2019</v>
      </c>
      <c r="AV731">
        <v>69</v>
      </c>
      <c r="AW731">
        <v>2</v>
      </c>
      <c r="AX731" t="s">
        <v>74</v>
      </c>
      <c r="AY731" t="s">
        <v>74</v>
      </c>
      <c r="AZ731" t="s">
        <v>74</v>
      </c>
      <c r="BA731" t="s">
        <v>74</v>
      </c>
      <c r="BB731">
        <v>157</v>
      </c>
      <c r="BC731">
        <v>173</v>
      </c>
      <c r="BD731" t="s">
        <v>74</v>
      </c>
      <c r="BE731" t="s">
        <v>14248</v>
      </c>
      <c r="BF731" t="str">
        <f>HYPERLINK("http://dx.doi.org/10.1007/s10236-018-1241-x","http://dx.doi.org/10.1007/s10236-018-1241-x")</f>
        <v>http://dx.doi.org/10.1007/s10236-018-1241-x</v>
      </c>
      <c r="BG731" t="s">
        <v>74</v>
      </c>
      <c r="BH731" t="s">
        <v>74</v>
      </c>
      <c r="BI731">
        <v>17</v>
      </c>
      <c r="BJ731" t="s">
        <v>277</v>
      </c>
      <c r="BK731" t="s">
        <v>102</v>
      </c>
      <c r="BL731" t="s">
        <v>277</v>
      </c>
      <c r="BM731" t="s">
        <v>14249</v>
      </c>
      <c r="BN731" t="s">
        <v>74</v>
      </c>
      <c r="BO731" t="s">
        <v>645</v>
      </c>
      <c r="BP731" t="s">
        <v>74</v>
      </c>
      <c r="BQ731" t="s">
        <v>74</v>
      </c>
      <c r="BR731" t="s">
        <v>107</v>
      </c>
      <c r="BS731" t="s">
        <v>14250</v>
      </c>
      <c r="BT731" t="str">
        <f>HYPERLINK("https%3A%2F%2Fwww.webofscience.com%2Fwos%2Fwoscc%2Ffull-record%2FWOS:000456796200002","View Full Record in Web of Science")</f>
        <v>View Full Record in Web of Science</v>
      </c>
    </row>
    <row r="732" spans="1:72" x14ac:dyDescent="0.15">
      <c r="A732" t="s">
        <v>72</v>
      </c>
      <c r="B732" t="s">
        <v>14251</v>
      </c>
      <c r="C732" t="s">
        <v>74</v>
      </c>
      <c r="D732" t="s">
        <v>74</v>
      </c>
      <c r="E732" t="s">
        <v>74</v>
      </c>
      <c r="F732" t="s">
        <v>14252</v>
      </c>
      <c r="G732" t="s">
        <v>74</v>
      </c>
      <c r="H732" t="s">
        <v>74</v>
      </c>
      <c r="I732" t="s">
        <v>14253</v>
      </c>
      <c r="J732" t="s">
        <v>5113</v>
      </c>
      <c r="K732" t="s">
        <v>74</v>
      </c>
      <c r="L732" t="s">
        <v>74</v>
      </c>
      <c r="M732" t="s">
        <v>78</v>
      </c>
      <c r="N732" t="s">
        <v>79</v>
      </c>
      <c r="O732" t="s">
        <v>74</v>
      </c>
      <c r="P732" t="s">
        <v>74</v>
      </c>
      <c r="Q732" t="s">
        <v>74</v>
      </c>
      <c r="R732" t="s">
        <v>74</v>
      </c>
      <c r="S732" t="s">
        <v>74</v>
      </c>
      <c r="T732" t="s">
        <v>14254</v>
      </c>
      <c r="U732" t="s">
        <v>14255</v>
      </c>
      <c r="V732" t="s">
        <v>14256</v>
      </c>
      <c r="W732" t="s">
        <v>14257</v>
      </c>
      <c r="X732" t="s">
        <v>14258</v>
      </c>
      <c r="Y732" t="s">
        <v>14259</v>
      </c>
      <c r="Z732" t="s">
        <v>14260</v>
      </c>
      <c r="AA732" t="s">
        <v>14261</v>
      </c>
      <c r="AB732" t="s">
        <v>14262</v>
      </c>
      <c r="AC732" t="s">
        <v>14263</v>
      </c>
      <c r="AD732" t="s">
        <v>14264</v>
      </c>
      <c r="AE732" t="s">
        <v>14265</v>
      </c>
      <c r="AF732" t="s">
        <v>74</v>
      </c>
      <c r="AG732">
        <v>74</v>
      </c>
      <c r="AH732">
        <v>8</v>
      </c>
      <c r="AI732">
        <v>8</v>
      </c>
      <c r="AJ732">
        <v>0</v>
      </c>
      <c r="AK732">
        <v>12</v>
      </c>
      <c r="AL732" t="s">
        <v>576</v>
      </c>
      <c r="AM732" t="s">
        <v>607</v>
      </c>
      <c r="AN732" t="s">
        <v>2143</v>
      </c>
      <c r="AO732" t="s">
        <v>5126</v>
      </c>
      <c r="AP732" t="s">
        <v>5127</v>
      </c>
      <c r="AQ732" t="s">
        <v>74</v>
      </c>
      <c r="AR732" t="s">
        <v>5128</v>
      </c>
      <c r="AS732" t="s">
        <v>5129</v>
      </c>
      <c r="AT732" t="s">
        <v>12668</v>
      </c>
      <c r="AU732">
        <v>2019</v>
      </c>
      <c r="AV732">
        <v>42</v>
      </c>
      <c r="AW732">
        <v>2</v>
      </c>
      <c r="AX732" t="s">
        <v>74</v>
      </c>
      <c r="AY732" t="s">
        <v>74</v>
      </c>
      <c r="AZ732" t="s">
        <v>74</v>
      </c>
      <c r="BA732" t="s">
        <v>74</v>
      </c>
      <c r="BB732">
        <v>271</v>
      </c>
      <c r="BC732">
        <v>284</v>
      </c>
      <c r="BD732" t="s">
        <v>74</v>
      </c>
      <c r="BE732" t="s">
        <v>14266</v>
      </c>
      <c r="BF732" t="str">
        <f>HYPERLINK("http://dx.doi.org/10.1007/s00300-018-2420-4","http://dx.doi.org/10.1007/s00300-018-2420-4")</f>
        <v>http://dx.doi.org/10.1007/s00300-018-2420-4</v>
      </c>
      <c r="BG732" t="s">
        <v>74</v>
      </c>
      <c r="BH732" t="s">
        <v>74</v>
      </c>
      <c r="BI732">
        <v>14</v>
      </c>
      <c r="BJ732" t="s">
        <v>5131</v>
      </c>
      <c r="BK732" t="s">
        <v>102</v>
      </c>
      <c r="BL732" t="s">
        <v>5065</v>
      </c>
      <c r="BM732" t="s">
        <v>14267</v>
      </c>
      <c r="BN732">
        <v>30872891</v>
      </c>
      <c r="BO732" t="s">
        <v>186</v>
      </c>
      <c r="BP732" t="s">
        <v>74</v>
      </c>
      <c r="BQ732" t="s">
        <v>74</v>
      </c>
      <c r="BR732" t="s">
        <v>107</v>
      </c>
      <c r="BS732" t="s">
        <v>14268</v>
      </c>
      <c r="BT732" t="str">
        <f>HYPERLINK("https%3A%2F%2Fwww.webofscience.com%2Fwos%2Fwoscc%2Ffull-record%2FWOS:000457224500003","View Full Record in Web of Science")</f>
        <v>View Full Record in Web of Science</v>
      </c>
    </row>
    <row r="733" spans="1:72" x14ac:dyDescent="0.15">
      <c r="A733" t="s">
        <v>72</v>
      </c>
      <c r="B733" t="s">
        <v>14269</v>
      </c>
      <c r="C733" t="s">
        <v>74</v>
      </c>
      <c r="D733" t="s">
        <v>74</v>
      </c>
      <c r="E733" t="s">
        <v>74</v>
      </c>
      <c r="F733" t="s">
        <v>14270</v>
      </c>
      <c r="G733" t="s">
        <v>74</v>
      </c>
      <c r="H733" t="s">
        <v>74</v>
      </c>
      <c r="I733" t="s">
        <v>14271</v>
      </c>
      <c r="J733" t="s">
        <v>5113</v>
      </c>
      <c r="K733" t="s">
        <v>74</v>
      </c>
      <c r="L733" t="s">
        <v>74</v>
      </c>
      <c r="M733" t="s">
        <v>78</v>
      </c>
      <c r="N733" t="s">
        <v>79</v>
      </c>
      <c r="O733" t="s">
        <v>74</v>
      </c>
      <c r="P733" t="s">
        <v>74</v>
      </c>
      <c r="Q733" t="s">
        <v>74</v>
      </c>
      <c r="R733" t="s">
        <v>74</v>
      </c>
      <c r="S733" t="s">
        <v>74</v>
      </c>
      <c r="T733" t="s">
        <v>14272</v>
      </c>
      <c r="U733" t="s">
        <v>14273</v>
      </c>
      <c r="V733" t="s">
        <v>14274</v>
      </c>
      <c r="W733" t="s">
        <v>14275</v>
      </c>
      <c r="X733" t="s">
        <v>14276</v>
      </c>
      <c r="Y733" t="s">
        <v>14277</v>
      </c>
      <c r="Z733" t="s">
        <v>14278</v>
      </c>
      <c r="AA733" t="s">
        <v>74</v>
      </c>
      <c r="AB733" t="s">
        <v>14279</v>
      </c>
      <c r="AC733" t="s">
        <v>14280</v>
      </c>
      <c r="AD733" t="s">
        <v>14281</v>
      </c>
      <c r="AE733" t="s">
        <v>14282</v>
      </c>
      <c r="AF733" t="s">
        <v>74</v>
      </c>
      <c r="AG733">
        <v>64</v>
      </c>
      <c r="AH733">
        <v>21</v>
      </c>
      <c r="AI733">
        <v>24</v>
      </c>
      <c r="AJ733">
        <v>0</v>
      </c>
      <c r="AK733">
        <v>15</v>
      </c>
      <c r="AL733" t="s">
        <v>576</v>
      </c>
      <c r="AM733" t="s">
        <v>607</v>
      </c>
      <c r="AN733" t="s">
        <v>3493</v>
      </c>
      <c r="AO733" t="s">
        <v>5126</v>
      </c>
      <c r="AP733" t="s">
        <v>5127</v>
      </c>
      <c r="AQ733" t="s">
        <v>74</v>
      </c>
      <c r="AR733" t="s">
        <v>5128</v>
      </c>
      <c r="AS733" t="s">
        <v>5129</v>
      </c>
      <c r="AT733" t="s">
        <v>12668</v>
      </c>
      <c r="AU733">
        <v>2019</v>
      </c>
      <c r="AV733">
        <v>42</v>
      </c>
      <c r="AW733">
        <v>2</v>
      </c>
      <c r="AX733" t="s">
        <v>74</v>
      </c>
      <c r="AY733" t="s">
        <v>74</v>
      </c>
      <c r="AZ733" t="s">
        <v>74</v>
      </c>
      <c r="BA733" t="s">
        <v>74</v>
      </c>
      <c r="BB733">
        <v>317</v>
      </c>
      <c r="BC733">
        <v>334</v>
      </c>
      <c r="BD733" t="s">
        <v>74</v>
      </c>
      <c r="BE733" t="s">
        <v>14283</v>
      </c>
      <c r="BF733" t="str">
        <f>HYPERLINK("http://dx.doi.org/10.1007/s00300-018-2424-0","http://dx.doi.org/10.1007/s00300-018-2424-0")</f>
        <v>http://dx.doi.org/10.1007/s00300-018-2424-0</v>
      </c>
      <c r="BG733" t="s">
        <v>74</v>
      </c>
      <c r="BH733" t="s">
        <v>74</v>
      </c>
      <c r="BI733">
        <v>18</v>
      </c>
      <c r="BJ733" t="s">
        <v>5131</v>
      </c>
      <c r="BK733" t="s">
        <v>102</v>
      </c>
      <c r="BL733" t="s">
        <v>5065</v>
      </c>
      <c r="BM733" t="s">
        <v>14267</v>
      </c>
      <c r="BN733" t="s">
        <v>74</v>
      </c>
      <c r="BO733" t="s">
        <v>74</v>
      </c>
      <c r="BP733" t="s">
        <v>74</v>
      </c>
      <c r="BQ733" t="s">
        <v>74</v>
      </c>
      <c r="BR733" t="s">
        <v>107</v>
      </c>
      <c r="BS733" t="s">
        <v>14284</v>
      </c>
      <c r="BT733" t="str">
        <f>HYPERLINK("https%3A%2F%2Fwww.webofscience.com%2Fwos%2Fwoscc%2Ffull-record%2FWOS:000457224500006","View Full Record in Web of Science")</f>
        <v>View Full Record in Web of Science</v>
      </c>
    </row>
    <row r="734" spans="1:72" x14ac:dyDescent="0.15">
      <c r="A734" t="s">
        <v>72</v>
      </c>
      <c r="B734" t="s">
        <v>14285</v>
      </c>
      <c r="C734" t="s">
        <v>74</v>
      </c>
      <c r="D734" t="s">
        <v>74</v>
      </c>
      <c r="E734" t="s">
        <v>74</v>
      </c>
      <c r="F734" t="s">
        <v>14286</v>
      </c>
      <c r="G734" t="s">
        <v>74</v>
      </c>
      <c r="H734" t="s">
        <v>74</v>
      </c>
      <c r="I734" t="s">
        <v>14287</v>
      </c>
      <c r="J734" t="s">
        <v>5113</v>
      </c>
      <c r="K734" t="s">
        <v>74</v>
      </c>
      <c r="L734" t="s">
        <v>74</v>
      </c>
      <c r="M734" t="s">
        <v>78</v>
      </c>
      <c r="N734" t="s">
        <v>79</v>
      </c>
      <c r="O734" t="s">
        <v>74</v>
      </c>
      <c r="P734" t="s">
        <v>74</v>
      </c>
      <c r="Q734" t="s">
        <v>74</v>
      </c>
      <c r="R734" t="s">
        <v>74</v>
      </c>
      <c r="S734" t="s">
        <v>74</v>
      </c>
      <c r="T734" t="s">
        <v>14288</v>
      </c>
      <c r="U734" t="s">
        <v>14289</v>
      </c>
      <c r="V734" t="s">
        <v>14290</v>
      </c>
      <c r="W734" t="s">
        <v>14291</v>
      </c>
      <c r="X734" t="s">
        <v>14292</v>
      </c>
      <c r="Y734" t="s">
        <v>14293</v>
      </c>
      <c r="Z734" t="s">
        <v>9427</v>
      </c>
      <c r="AA734" t="s">
        <v>74</v>
      </c>
      <c r="AB734" t="s">
        <v>14294</v>
      </c>
      <c r="AC734" t="s">
        <v>14295</v>
      </c>
      <c r="AD734" t="s">
        <v>14296</v>
      </c>
      <c r="AE734" t="s">
        <v>14297</v>
      </c>
      <c r="AF734" t="s">
        <v>74</v>
      </c>
      <c r="AG734">
        <v>98</v>
      </c>
      <c r="AH734">
        <v>6</v>
      </c>
      <c r="AI734">
        <v>6</v>
      </c>
      <c r="AJ734">
        <v>0</v>
      </c>
      <c r="AK734">
        <v>13</v>
      </c>
      <c r="AL734" t="s">
        <v>576</v>
      </c>
      <c r="AM734" t="s">
        <v>607</v>
      </c>
      <c r="AN734" t="s">
        <v>3493</v>
      </c>
      <c r="AO734" t="s">
        <v>5126</v>
      </c>
      <c r="AP734" t="s">
        <v>5127</v>
      </c>
      <c r="AQ734" t="s">
        <v>74</v>
      </c>
      <c r="AR734" t="s">
        <v>5128</v>
      </c>
      <c r="AS734" t="s">
        <v>5129</v>
      </c>
      <c r="AT734" t="s">
        <v>12668</v>
      </c>
      <c r="AU734">
        <v>2019</v>
      </c>
      <c r="AV734">
        <v>42</v>
      </c>
      <c r="AW734">
        <v>2</v>
      </c>
      <c r="AX734" t="s">
        <v>74</v>
      </c>
      <c r="AY734" t="s">
        <v>74</v>
      </c>
      <c r="AZ734" t="s">
        <v>74</v>
      </c>
      <c r="BA734" t="s">
        <v>74</v>
      </c>
      <c r="BB734">
        <v>357</v>
      </c>
      <c r="BC734">
        <v>370</v>
      </c>
      <c r="BD734" t="s">
        <v>74</v>
      </c>
      <c r="BE734" t="s">
        <v>14298</v>
      </c>
      <c r="BF734" t="str">
        <f>HYPERLINK("http://dx.doi.org/10.1007/s00300-018-2427-x","http://dx.doi.org/10.1007/s00300-018-2427-x")</f>
        <v>http://dx.doi.org/10.1007/s00300-018-2427-x</v>
      </c>
      <c r="BG734" t="s">
        <v>74</v>
      </c>
      <c r="BH734" t="s">
        <v>74</v>
      </c>
      <c r="BI734">
        <v>14</v>
      </c>
      <c r="BJ734" t="s">
        <v>5131</v>
      </c>
      <c r="BK734" t="s">
        <v>102</v>
      </c>
      <c r="BL734" t="s">
        <v>5065</v>
      </c>
      <c r="BM734" t="s">
        <v>14267</v>
      </c>
      <c r="BN734" t="s">
        <v>74</v>
      </c>
      <c r="BO734" t="s">
        <v>74</v>
      </c>
      <c r="BP734" t="s">
        <v>74</v>
      </c>
      <c r="BQ734" t="s">
        <v>74</v>
      </c>
      <c r="BR734" t="s">
        <v>107</v>
      </c>
      <c r="BS734" t="s">
        <v>14299</v>
      </c>
      <c r="BT734" t="str">
        <f>HYPERLINK("https%3A%2F%2Fwww.webofscience.com%2Fwos%2Fwoscc%2Ffull-record%2FWOS:000457224500009","View Full Record in Web of Science")</f>
        <v>View Full Record in Web of Science</v>
      </c>
    </row>
    <row r="735" spans="1:72" x14ac:dyDescent="0.15">
      <c r="A735" t="s">
        <v>72</v>
      </c>
      <c r="B735" t="s">
        <v>14300</v>
      </c>
      <c r="C735" t="s">
        <v>74</v>
      </c>
      <c r="D735" t="s">
        <v>74</v>
      </c>
      <c r="E735" t="s">
        <v>74</v>
      </c>
      <c r="F735" t="s">
        <v>14301</v>
      </c>
      <c r="G735" t="s">
        <v>74</v>
      </c>
      <c r="H735" t="s">
        <v>74</v>
      </c>
      <c r="I735" t="s">
        <v>14302</v>
      </c>
      <c r="J735" t="s">
        <v>5113</v>
      </c>
      <c r="K735" t="s">
        <v>74</v>
      </c>
      <c r="L735" t="s">
        <v>74</v>
      </c>
      <c r="M735" t="s">
        <v>78</v>
      </c>
      <c r="N735" t="s">
        <v>79</v>
      </c>
      <c r="O735" t="s">
        <v>74</v>
      </c>
      <c r="P735" t="s">
        <v>74</v>
      </c>
      <c r="Q735" t="s">
        <v>74</v>
      </c>
      <c r="R735" t="s">
        <v>74</v>
      </c>
      <c r="S735" t="s">
        <v>74</v>
      </c>
      <c r="T735" t="s">
        <v>14303</v>
      </c>
      <c r="U735" t="s">
        <v>14304</v>
      </c>
      <c r="V735" t="s">
        <v>14305</v>
      </c>
      <c r="W735" t="s">
        <v>14306</v>
      </c>
      <c r="X735" t="s">
        <v>14307</v>
      </c>
      <c r="Y735" t="s">
        <v>14308</v>
      </c>
      <c r="Z735" t="s">
        <v>14309</v>
      </c>
      <c r="AA735" t="s">
        <v>74</v>
      </c>
      <c r="AB735" t="s">
        <v>74</v>
      </c>
      <c r="AC735" t="s">
        <v>14310</v>
      </c>
      <c r="AD735" t="s">
        <v>14311</v>
      </c>
      <c r="AE735" t="s">
        <v>14312</v>
      </c>
      <c r="AF735" t="s">
        <v>74</v>
      </c>
      <c r="AG735">
        <v>60</v>
      </c>
      <c r="AH735">
        <v>12</v>
      </c>
      <c r="AI735">
        <v>13</v>
      </c>
      <c r="AJ735">
        <v>1</v>
      </c>
      <c r="AK735">
        <v>10</v>
      </c>
      <c r="AL735" t="s">
        <v>576</v>
      </c>
      <c r="AM735" t="s">
        <v>607</v>
      </c>
      <c r="AN735" t="s">
        <v>2143</v>
      </c>
      <c r="AO735" t="s">
        <v>5126</v>
      </c>
      <c r="AP735" t="s">
        <v>5127</v>
      </c>
      <c r="AQ735" t="s">
        <v>74</v>
      </c>
      <c r="AR735" t="s">
        <v>5128</v>
      </c>
      <c r="AS735" t="s">
        <v>5129</v>
      </c>
      <c r="AT735" t="s">
        <v>12668</v>
      </c>
      <c r="AU735">
        <v>2019</v>
      </c>
      <c r="AV735">
        <v>42</v>
      </c>
      <c r="AW735">
        <v>2</v>
      </c>
      <c r="AX735" t="s">
        <v>74</v>
      </c>
      <c r="AY735" t="s">
        <v>74</v>
      </c>
      <c r="AZ735" t="s">
        <v>74</v>
      </c>
      <c r="BA735" t="s">
        <v>74</v>
      </c>
      <c r="BB735">
        <v>385</v>
      </c>
      <c r="BC735">
        <v>394</v>
      </c>
      <c r="BD735" t="s">
        <v>74</v>
      </c>
      <c r="BE735" t="s">
        <v>14313</v>
      </c>
      <c r="BF735" t="str">
        <f>HYPERLINK("http://dx.doi.org/10.1007/s00300-018-2429-8","http://dx.doi.org/10.1007/s00300-018-2429-8")</f>
        <v>http://dx.doi.org/10.1007/s00300-018-2429-8</v>
      </c>
      <c r="BG735" t="s">
        <v>74</v>
      </c>
      <c r="BH735" t="s">
        <v>74</v>
      </c>
      <c r="BI735">
        <v>10</v>
      </c>
      <c r="BJ735" t="s">
        <v>5131</v>
      </c>
      <c r="BK735" t="s">
        <v>102</v>
      </c>
      <c r="BL735" t="s">
        <v>5065</v>
      </c>
      <c r="BM735" t="s">
        <v>14267</v>
      </c>
      <c r="BN735" t="s">
        <v>74</v>
      </c>
      <c r="BO735" t="s">
        <v>74</v>
      </c>
      <c r="BP735" t="s">
        <v>74</v>
      </c>
      <c r="BQ735" t="s">
        <v>74</v>
      </c>
      <c r="BR735" t="s">
        <v>107</v>
      </c>
      <c r="BS735" t="s">
        <v>14314</v>
      </c>
      <c r="BT735" t="str">
        <f>HYPERLINK("https%3A%2F%2Fwww.webofscience.com%2Fwos%2Fwoscc%2Ffull-record%2FWOS:000457224500011","View Full Record in Web of Science")</f>
        <v>View Full Record in Web of Science</v>
      </c>
    </row>
    <row r="736" spans="1:72" x14ac:dyDescent="0.15">
      <c r="A736" t="s">
        <v>72</v>
      </c>
      <c r="B736" t="s">
        <v>14315</v>
      </c>
      <c r="C736" t="s">
        <v>74</v>
      </c>
      <c r="D736" t="s">
        <v>74</v>
      </c>
      <c r="E736" t="s">
        <v>74</v>
      </c>
      <c r="F736" t="s">
        <v>14316</v>
      </c>
      <c r="G736" t="s">
        <v>74</v>
      </c>
      <c r="H736" t="s">
        <v>74</v>
      </c>
      <c r="I736" t="s">
        <v>14317</v>
      </c>
      <c r="J736" t="s">
        <v>5113</v>
      </c>
      <c r="K736" t="s">
        <v>74</v>
      </c>
      <c r="L736" t="s">
        <v>74</v>
      </c>
      <c r="M736" t="s">
        <v>78</v>
      </c>
      <c r="N736" t="s">
        <v>79</v>
      </c>
      <c r="O736" t="s">
        <v>74</v>
      </c>
      <c r="P736" t="s">
        <v>74</v>
      </c>
      <c r="Q736" t="s">
        <v>74</v>
      </c>
      <c r="R736" t="s">
        <v>74</v>
      </c>
      <c r="S736" t="s">
        <v>74</v>
      </c>
      <c r="T736" t="s">
        <v>14318</v>
      </c>
      <c r="U736" t="s">
        <v>14319</v>
      </c>
      <c r="V736" t="s">
        <v>14320</v>
      </c>
      <c r="W736" t="s">
        <v>14321</v>
      </c>
      <c r="X736" t="s">
        <v>14322</v>
      </c>
      <c r="Y736" t="s">
        <v>14323</v>
      </c>
      <c r="Z736" t="s">
        <v>14324</v>
      </c>
      <c r="AA736" t="s">
        <v>14261</v>
      </c>
      <c r="AB736" t="s">
        <v>14262</v>
      </c>
      <c r="AC736" t="s">
        <v>14325</v>
      </c>
      <c r="AD736" t="s">
        <v>14326</v>
      </c>
      <c r="AE736" t="s">
        <v>14327</v>
      </c>
      <c r="AF736" t="s">
        <v>74</v>
      </c>
      <c r="AG736">
        <v>53</v>
      </c>
      <c r="AH736">
        <v>8</v>
      </c>
      <c r="AI736">
        <v>8</v>
      </c>
      <c r="AJ736">
        <v>1</v>
      </c>
      <c r="AK736">
        <v>27</v>
      </c>
      <c r="AL736" t="s">
        <v>576</v>
      </c>
      <c r="AM736" t="s">
        <v>607</v>
      </c>
      <c r="AN736" t="s">
        <v>3493</v>
      </c>
      <c r="AO736" t="s">
        <v>5126</v>
      </c>
      <c r="AP736" t="s">
        <v>5127</v>
      </c>
      <c r="AQ736" t="s">
        <v>74</v>
      </c>
      <c r="AR736" t="s">
        <v>5128</v>
      </c>
      <c r="AS736" t="s">
        <v>5129</v>
      </c>
      <c r="AT736" t="s">
        <v>12668</v>
      </c>
      <c r="AU736">
        <v>2019</v>
      </c>
      <c r="AV736">
        <v>42</v>
      </c>
      <c r="AW736">
        <v>2</v>
      </c>
      <c r="AX736" t="s">
        <v>74</v>
      </c>
      <c r="AY736" t="s">
        <v>74</v>
      </c>
      <c r="AZ736" t="s">
        <v>74</v>
      </c>
      <c r="BA736" t="s">
        <v>74</v>
      </c>
      <c r="BB736">
        <v>395</v>
      </c>
      <c r="BC736">
        <v>405</v>
      </c>
      <c r="BD736" t="s">
        <v>74</v>
      </c>
      <c r="BE736" t="s">
        <v>14328</v>
      </c>
      <c r="BF736" t="str">
        <f>HYPERLINK("http://dx.doi.org/10.1007/s00300-018-2430-2","http://dx.doi.org/10.1007/s00300-018-2430-2")</f>
        <v>http://dx.doi.org/10.1007/s00300-018-2430-2</v>
      </c>
      <c r="BG736" t="s">
        <v>74</v>
      </c>
      <c r="BH736" t="s">
        <v>74</v>
      </c>
      <c r="BI736">
        <v>11</v>
      </c>
      <c r="BJ736" t="s">
        <v>5131</v>
      </c>
      <c r="BK736" t="s">
        <v>102</v>
      </c>
      <c r="BL736" t="s">
        <v>5065</v>
      </c>
      <c r="BM736" t="s">
        <v>14267</v>
      </c>
      <c r="BN736" t="s">
        <v>74</v>
      </c>
      <c r="BO736" t="s">
        <v>1014</v>
      </c>
      <c r="BP736" t="s">
        <v>74</v>
      </c>
      <c r="BQ736" t="s">
        <v>74</v>
      </c>
      <c r="BR736" t="s">
        <v>107</v>
      </c>
      <c r="BS736" t="s">
        <v>14329</v>
      </c>
      <c r="BT736" t="str">
        <f>HYPERLINK("https%3A%2F%2Fwww.webofscience.com%2Fwos%2Fwoscc%2Ffull-record%2FWOS:000457224500012","View Full Record in Web of Science")</f>
        <v>View Full Record in Web of Science</v>
      </c>
    </row>
    <row r="737" spans="1:72" x14ac:dyDescent="0.15">
      <c r="A737" t="s">
        <v>72</v>
      </c>
      <c r="B737" t="s">
        <v>14330</v>
      </c>
      <c r="C737" t="s">
        <v>74</v>
      </c>
      <c r="D737" t="s">
        <v>74</v>
      </c>
      <c r="E737" t="s">
        <v>74</v>
      </c>
      <c r="F737" t="s">
        <v>14331</v>
      </c>
      <c r="G737" t="s">
        <v>74</v>
      </c>
      <c r="H737" t="s">
        <v>74</v>
      </c>
      <c r="I737" t="s">
        <v>14332</v>
      </c>
      <c r="J737" t="s">
        <v>5113</v>
      </c>
      <c r="K737" t="s">
        <v>74</v>
      </c>
      <c r="L737" t="s">
        <v>74</v>
      </c>
      <c r="M737" t="s">
        <v>78</v>
      </c>
      <c r="N737" t="s">
        <v>79</v>
      </c>
      <c r="O737" t="s">
        <v>74</v>
      </c>
      <c r="P737" t="s">
        <v>74</v>
      </c>
      <c r="Q737" t="s">
        <v>74</v>
      </c>
      <c r="R737" t="s">
        <v>74</v>
      </c>
      <c r="S737" t="s">
        <v>74</v>
      </c>
      <c r="T737" t="s">
        <v>14333</v>
      </c>
      <c r="U737" t="s">
        <v>14334</v>
      </c>
      <c r="V737" t="s">
        <v>14335</v>
      </c>
      <c r="W737" t="s">
        <v>14336</v>
      </c>
      <c r="X737" t="s">
        <v>933</v>
      </c>
      <c r="Y737" t="s">
        <v>14337</v>
      </c>
      <c r="Z737" t="s">
        <v>14338</v>
      </c>
      <c r="AA737" t="s">
        <v>14339</v>
      </c>
      <c r="AB737" t="s">
        <v>74</v>
      </c>
      <c r="AC737" t="s">
        <v>14340</v>
      </c>
      <c r="AD737" t="s">
        <v>3782</v>
      </c>
      <c r="AE737" t="s">
        <v>14341</v>
      </c>
      <c r="AF737" t="s">
        <v>74</v>
      </c>
      <c r="AG737">
        <v>53</v>
      </c>
      <c r="AH737">
        <v>6</v>
      </c>
      <c r="AI737">
        <v>6</v>
      </c>
      <c r="AJ737">
        <v>1</v>
      </c>
      <c r="AK737">
        <v>10</v>
      </c>
      <c r="AL737" t="s">
        <v>576</v>
      </c>
      <c r="AM737" t="s">
        <v>607</v>
      </c>
      <c r="AN737" t="s">
        <v>3493</v>
      </c>
      <c r="AO737" t="s">
        <v>5126</v>
      </c>
      <c r="AP737" t="s">
        <v>5127</v>
      </c>
      <c r="AQ737" t="s">
        <v>74</v>
      </c>
      <c r="AR737" t="s">
        <v>5128</v>
      </c>
      <c r="AS737" t="s">
        <v>5129</v>
      </c>
      <c r="AT737" t="s">
        <v>12668</v>
      </c>
      <c r="AU737">
        <v>2019</v>
      </c>
      <c r="AV737">
        <v>42</v>
      </c>
      <c r="AW737">
        <v>2</v>
      </c>
      <c r="AX737" t="s">
        <v>74</v>
      </c>
      <c r="AY737" t="s">
        <v>74</v>
      </c>
      <c r="AZ737" t="s">
        <v>74</v>
      </c>
      <c r="BA737" t="s">
        <v>74</v>
      </c>
      <c r="BB737">
        <v>423</v>
      </c>
      <c r="BC737">
        <v>432</v>
      </c>
      <c r="BD737" t="s">
        <v>74</v>
      </c>
      <c r="BE737" t="s">
        <v>14342</v>
      </c>
      <c r="BF737" t="str">
        <f>HYPERLINK("http://dx.doi.org/10.1007/s00300-018-2432-0","http://dx.doi.org/10.1007/s00300-018-2432-0")</f>
        <v>http://dx.doi.org/10.1007/s00300-018-2432-0</v>
      </c>
      <c r="BG737" t="s">
        <v>74</v>
      </c>
      <c r="BH737" t="s">
        <v>74</v>
      </c>
      <c r="BI737">
        <v>10</v>
      </c>
      <c r="BJ737" t="s">
        <v>5131</v>
      </c>
      <c r="BK737" t="s">
        <v>102</v>
      </c>
      <c r="BL737" t="s">
        <v>5065</v>
      </c>
      <c r="BM737" t="s">
        <v>14267</v>
      </c>
      <c r="BN737" t="s">
        <v>74</v>
      </c>
      <c r="BO737" t="s">
        <v>1014</v>
      </c>
      <c r="BP737" t="s">
        <v>74</v>
      </c>
      <c r="BQ737" t="s">
        <v>74</v>
      </c>
      <c r="BR737" t="s">
        <v>107</v>
      </c>
      <c r="BS737" t="s">
        <v>14343</v>
      </c>
      <c r="BT737" t="str">
        <f>HYPERLINK("https%3A%2F%2Fwww.webofscience.com%2Fwos%2Fwoscc%2Ffull-record%2FWOS:000457224500014","View Full Record in Web of Science")</f>
        <v>View Full Record in Web of Science</v>
      </c>
    </row>
    <row r="738" spans="1:72" x14ac:dyDescent="0.15">
      <c r="A738" t="s">
        <v>72</v>
      </c>
      <c r="B738" t="s">
        <v>14344</v>
      </c>
      <c r="C738" t="s">
        <v>74</v>
      </c>
      <c r="D738" t="s">
        <v>74</v>
      </c>
      <c r="E738" t="s">
        <v>74</v>
      </c>
      <c r="F738" t="s">
        <v>14345</v>
      </c>
      <c r="G738" t="s">
        <v>74</v>
      </c>
      <c r="H738" t="s">
        <v>74</v>
      </c>
      <c r="I738" t="s">
        <v>14346</v>
      </c>
      <c r="J738" t="s">
        <v>10775</v>
      </c>
      <c r="K738" t="s">
        <v>74</v>
      </c>
      <c r="L738" t="s">
        <v>74</v>
      </c>
      <c r="M738" t="s">
        <v>78</v>
      </c>
      <c r="N738" t="s">
        <v>79</v>
      </c>
      <c r="O738" t="s">
        <v>74</v>
      </c>
      <c r="P738" t="s">
        <v>74</v>
      </c>
      <c r="Q738" t="s">
        <v>74</v>
      </c>
      <c r="R738" t="s">
        <v>74</v>
      </c>
      <c r="S738" t="s">
        <v>74</v>
      </c>
      <c r="T738" t="s">
        <v>14347</v>
      </c>
      <c r="U738" t="s">
        <v>14348</v>
      </c>
      <c r="V738" t="s">
        <v>14349</v>
      </c>
      <c r="W738" t="s">
        <v>14350</v>
      </c>
      <c r="X738" t="s">
        <v>14351</v>
      </c>
      <c r="Y738" t="s">
        <v>14352</v>
      </c>
      <c r="Z738" t="s">
        <v>14353</v>
      </c>
      <c r="AA738" t="s">
        <v>14354</v>
      </c>
      <c r="AB738" t="s">
        <v>14355</v>
      </c>
      <c r="AC738" t="s">
        <v>14356</v>
      </c>
      <c r="AD738" t="s">
        <v>14357</v>
      </c>
      <c r="AE738" t="s">
        <v>14358</v>
      </c>
      <c r="AF738" t="s">
        <v>74</v>
      </c>
      <c r="AG738">
        <v>50</v>
      </c>
      <c r="AH738">
        <v>57</v>
      </c>
      <c r="AI738">
        <v>63</v>
      </c>
      <c r="AJ738">
        <v>4</v>
      </c>
      <c r="AK738">
        <v>60</v>
      </c>
      <c r="AL738" t="s">
        <v>606</v>
      </c>
      <c r="AM738" t="s">
        <v>607</v>
      </c>
      <c r="AN738" t="s">
        <v>608</v>
      </c>
      <c r="AO738" t="s">
        <v>10788</v>
      </c>
      <c r="AP738" t="s">
        <v>10789</v>
      </c>
      <c r="AQ738" t="s">
        <v>74</v>
      </c>
      <c r="AR738" t="s">
        <v>10790</v>
      </c>
      <c r="AS738" t="s">
        <v>10791</v>
      </c>
      <c r="AT738" t="s">
        <v>12668</v>
      </c>
      <c r="AU738">
        <v>2019</v>
      </c>
      <c r="AV738">
        <v>221</v>
      </c>
      <c r="AW738" t="s">
        <v>74</v>
      </c>
      <c r="AX738" t="s">
        <v>74</v>
      </c>
      <c r="AY738" t="s">
        <v>74</v>
      </c>
      <c r="AZ738" t="s">
        <v>74</v>
      </c>
      <c r="BA738" t="s">
        <v>74</v>
      </c>
      <c r="BB738">
        <v>198</v>
      </c>
      <c r="BC738">
        <v>209</v>
      </c>
      <c r="BD738" t="s">
        <v>74</v>
      </c>
      <c r="BE738" t="s">
        <v>14359</v>
      </c>
      <c r="BF738" t="str">
        <f>HYPERLINK("http://dx.doi.org/10.1016/j.rse.2018.11.001","http://dx.doi.org/10.1016/j.rse.2018.11.001")</f>
        <v>http://dx.doi.org/10.1016/j.rse.2018.11.001</v>
      </c>
      <c r="BG738" t="s">
        <v>74</v>
      </c>
      <c r="BH738" t="s">
        <v>74</v>
      </c>
      <c r="BI738">
        <v>12</v>
      </c>
      <c r="BJ738" t="s">
        <v>10793</v>
      </c>
      <c r="BK738" t="s">
        <v>102</v>
      </c>
      <c r="BL738" t="s">
        <v>10794</v>
      </c>
      <c r="BM738" t="s">
        <v>14360</v>
      </c>
      <c r="BN738" t="s">
        <v>74</v>
      </c>
      <c r="BO738" t="s">
        <v>74</v>
      </c>
      <c r="BP738" t="s">
        <v>74</v>
      </c>
      <c r="BQ738" t="s">
        <v>74</v>
      </c>
      <c r="BR738" t="s">
        <v>107</v>
      </c>
      <c r="BS738" t="s">
        <v>14361</v>
      </c>
      <c r="BT738" t="str">
        <f>HYPERLINK("https%3A%2F%2Fwww.webofscience.com%2Fwos%2Fwoscc%2Ffull-record%2FWOS:000456640700016","View Full Record in Web of Science")</f>
        <v>View Full Record in Web of Science</v>
      </c>
    </row>
    <row r="739" spans="1:72" x14ac:dyDescent="0.15">
      <c r="A739" t="s">
        <v>72</v>
      </c>
      <c r="B739" t="s">
        <v>14362</v>
      </c>
      <c r="C739" t="s">
        <v>74</v>
      </c>
      <c r="D739" t="s">
        <v>74</v>
      </c>
      <c r="E739" t="s">
        <v>74</v>
      </c>
      <c r="F739" t="s">
        <v>14363</v>
      </c>
      <c r="G739" t="s">
        <v>74</v>
      </c>
      <c r="H739" t="s">
        <v>74</v>
      </c>
      <c r="I739" t="s">
        <v>14364</v>
      </c>
      <c r="J739" t="s">
        <v>468</v>
      </c>
      <c r="K739" t="s">
        <v>74</v>
      </c>
      <c r="L739" t="s">
        <v>74</v>
      </c>
      <c r="M739" t="s">
        <v>78</v>
      </c>
      <c r="N739" t="s">
        <v>469</v>
      </c>
      <c r="O739" t="s">
        <v>74</v>
      </c>
      <c r="P739" t="s">
        <v>74</v>
      </c>
      <c r="Q739" t="s">
        <v>74</v>
      </c>
      <c r="R739" t="s">
        <v>74</v>
      </c>
      <c r="S739" t="s">
        <v>74</v>
      </c>
      <c r="T739" t="s">
        <v>74</v>
      </c>
      <c r="U739" t="s">
        <v>14365</v>
      </c>
      <c r="V739" t="s">
        <v>14366</v>
      </c>
      <c r="W739" t="s">
        <v>14367</v>
      </c>
      <c r="X739" t="s">
        <v>14368</v>
      </c>
      <c r="Y739" t="s">
        <v>14369</v>
      </c>
      <c r="Z739" t="s">
        <v>14370</v>
      </c>
      <c r="AA739" t="s">
        <v>14371</v>
      </c>
      <c r="AB739" t="s">
        <v>14372</v>
      </c>
      <c r="AC739" t="s">
        <v>14373</v>
      </c>
      <c r="AD739" t="s">
        <v>14374</v>
      </c>
      <c r="AE739" t="s">
        <v>14375</v>
      </c>
      <c r="AF739" t="s">
        <v>74</v>
      </c>
      <c r="AG739">
        <v>59</v>
      </c>
      <c r="AH739">
        <v>31</v>
      </c>
      <c r="AI739">
        <v>32</v>
      </c>
      <c r="AJ739">
        <v>5</v>
      </c>
      <c r="AK739">
        <v>100</v>
      </c>
      <c r="AL739" t="s">
        <v>11814</v>
      </c>
      <c r="AM739" t="s">
        <v>1004</v>
      </c>
      <c r="AN739" t="s">
        <v>11815</v>
      </c>
      <c r="AO739" t="s">
        <v>483</v>
      </c>
      <c r="AP739" t="s">
        <v>484</v>
      </c>
      <c r="AQ739" t="s">
        <v>74</v>
      </c>
      <c r="AR739" t="s">
        <v>485</v>
      </c>
      <c r="AS739" t="s">
        <v>486</v>
      </c>
      <c r="AT739" t="s">
        <v>12668</v>
      </c>
      <c r="AU739">
        <v>2019</v>
      </c>
      <c r="AV739">
        <v>34</v>
      </c>
      <c r="AW739">
        <v>2</v>
      </c>
      <c r="AX739" t="s">
        <v>74</v>
      </c>
      <c r="AY739" t="s">
        <v>74</v>
      </c>
      <c r="AZ739" t="s">
        <v>74</v>
      </c>
      <c r="BA739" t="s">
        <v>74</v>
      </c>
      <c r="BB739">
        <v>139</v>
      </c>
      <c r="BC739">
        <v>153</v>
      </c>
      <c r="BD739" t="s">
        <v>74</v>
      </c>
      <c r="BE739" t="s">
        <v>14376</v>
      </c>
      <c r="BF739" t="str">
        <f>HYPERLINK("http://dx.doi.org/10.1016/j.tree.2018.12.003","http://dx.doi.org/10.1016/j.tree.2018.12.003")</f>
        <v>http://dx.doi.org/10.1016/j.tree.2018.12.003</v>
      </c>
      <c r="BG739" t="s">
        <v>74</v>
      </c>
      <c r="BH739" t="s">
        <v>74</v>
      </c>
      <c r="BI739">
        <v>15</v>
      </c>
      <c r="BJ739" t="s">
        <v>488</v>
      </c>
      <c r="BK739" t="s">
        <v>102</v>
      </c>
      <c r="BL739" t="s">
        <v>489</v>
      </c>
      <c r="BM739" t="s">
        <v>14377</v>
      </c>
      <c r="BN739">
        <v>30611398</v>
      </c>
      <c r="BO739" t="s">
        <v>74</v>
      </c>
      <c r="BP739" t="s">
        <v>74</v>
      </c>
      <c r="BQ739" t="s">
        <v>74</v>
      </c>
      <c r="BR739" t="s">
        <v>107</v>
      </c>
      <c r="BS739" t="s">
        <v>14378</v>
      </c>
      <c r="BT739" t="str">
        <f>HYPERLINK("https%3A%2F%2Fwww.webofscience.com%2Fwos%2Fwoscc%2Ffull-record%2FWOS:000456952500006","View Full Record in Web of Science")</f>
        <v>View Full Record in Web of Science</v>
      </c>
    </row>
    <row r="740" spans="1:72" x14ac:dyDescent="0.15">
      <c r="A740" t="s">
        <v>72</v>
      </c>
      <c r="B740" t="s">
        <v>14379</v>
      </c>
      <c r="C740" t="s">
        <v>74</v>
      </c>
      <c r="D740" t="s">
        <v>74</v>
      </c>
      <c r="E740" t="s">
        <v>74</v>
      </c>
      <c r="F740" t="s">
        <v>14380</v>
      </c>
      <c r="G740" t="s">
        <v>74</v>
      </c>
      <c r="H740" t="s">
        <v>74</v>
      </c>
      <c r="I740" t="s">
        <v>14381</v>
      </c>
      <c r="J740" t="s">
        <v>14382</v>
      </c>
      <c r="K740" t="s">
        <v>74</v>
      </c>
      <c r="L740" t="s">
        <v>74</v>
      </c>
      <c r="M740" t="s">
        <v>78</v>
      </c>
      <c r="N740" t="s">
        <v>79</v>
      </c>
      <c r="O740" t="s">
        <v>74</v>
      </c>
      <c r="P740" t="s">
        <v>74</v>
      </c>
      <c r="Q740" t="s">
        <v>74</v>
      </c>
      <c r="R740" t="s">
        <v>74</v>
      </c>
      <c r="S740" t="s">
        <v>74</v>
      </c>
      <c r="T740" t="s">
        <v>14383</v>
      </c>
      <c r="U740" t="s">
        <v>74</v>
      </c>
      <c r="V740" t="s">
        <v>14384</v>
      </c>
      <c r="W740" t="s">
        <v>14385</v>
      </c>
      <c r="X740" t="s">
        <v>74</v>
      </c>
      <c r="Y740" t="s">
        <v>14386</v>
      </c>
      <c r="Z740" t="s">
        <v>14387</v>
      </c>
      <c r="AA740" t="s">
        <v>74</v>
      </c>
      <c r="AB740" t="s">
        <v>74</v>
      </c>
      <c r="AC740" t="s">
        <v>74</v>
      </c>
      <c r="AD740" t="s">
        <v>74</v>
      </c>
      <c r="AE740" t="s">
        <v>74</v>
      </c>
      <c r="AF740" t="s">
        <v>74</v>
      </c>
      <c r="AG740">
        <v>42</v>
      </c>
      <c r="AH740">
        <v>3</v>
      </c>
      <c r="AI740">
        <v>3</v>
      </c>
      <c r="AJ740">
        <v>1</v>
      </c>
      <c r="AK740">
        <v>24</v>
      </c>
      <c r="AL740" t="s">
        <v>14388</v>
      </c>
      <c r="AM740" t="s">
        <v>14389</v>
      </c>
      <c r="AN740" t="s">
        <v>14390</v>
      </c>
      <c r="AO740" t="s">
        <v>14391</v>
      </c>
      <c r="AP740" t="s">
        <v>14392</v>
      </c>
      <c r="AQ740" t="s">
        <v>74</v>
      </c>
      <c r="AR740" t="s">
        <v>14393</v>
      </c>
      <c r="AS740" t="s">
        <v>14394</v>
      </c>
      <c r="AT740" t="s">
        <v>12668</v>
      </c>
      <c r="AU740">
        <v>2019</v>
      </c>
      <c r="AV740">
        <v>25</v>
      </c>
      <c r="AW740">
        <v>1</v>
      </c>
      <c r="AX740" t="s">
        <v>74</v>
      </c>
      <c r="AY740" t="s">
        <v>74</v>
      </c>
      <c r="AZ740" t="s">
        <v>74</v>
      </c>
      <c r="BA740" t="s">
        <v>74</v>
      </c>
      <c r="BB740">
        <v>87</v>
      </c>
      <c r="BC740">
        <v>115</v>
      </c>
      <c r="BD740" t="s">
        <v>74</v>
      </c>
      <c r="BE740" t="s">
        <v>14395</v>
      </c>
      <c r="BF740" t="str">
        <f>HYPERLINK("http://dx.doi.org/10.3197/096734018X15137949592043","http://dx.doi.org/10.3197/096734018X15137949592043")</f>
        <v>http://dx.doi.org/10.3197/096734018X15137949592043</v>
      </c>
      <c r="BG740" t="s">
        <v>74</v>
      </c>
      <c r="BH740" t="s">
        <v>74</v>
      </c>
      <c r="BI740">
        <v>29</v>
      </c>
      <c r="BJ740" t="s">
        <v>14396</v>
      </c>
      <c r="BK740" t="s">
        <v>13453</v>
      </c>
      <c r="BL740" t="s">
        <v>14397</v>
      </c>
      <c r="BM740" t="s">
        <v>14398</v>
      </c>
      <c r="BN740" t="s">
        <v>74</v>
      </c>
      <c r="BO740" t="s">
        <v>74</v>
      </c>
      <c r="BP740" t="s">
        <v>74</v>
      </c>
      <c r="BQ740" t="s">
        <v>74</v>
      </c>
      <c r="BR740" t="s">
        <v>107</v>
      </c>
      <c r="BS740" t="s">
        <v>14399</v>
      </c>
      <c r="BT740" t="str">
        <f>HYPERLINK("https%3A%2F%2Fwww.webofscience.com%2Fwos%2Fwoscc%2Ffull-record%2FWOS:000456257300005","View Full Record in Web of Science")</f>
        <v>View Full Record in Web of Science</v>
      </c>
    </row>
    <row r="741" spans="1:72" x14ac:dyDescent="0.15">
      <c r="A741" t="s">
        <v>72</v>
      </c>
      <c r="B741" t="s">
        <v>14400</v>
      </c>
      <c r="C741" t="s">
        <v>74</v>
      </c>
      <c r="D741" t="s">
        <v>74</v>
      </c>
      <c r="E741" t="s">
        <v>74</v>
      </c>
      <c r="F741" t="s">
        <v>14401</v>
      </c>
      <c r="G741" t="s">
        <v>74</v>
      </c>
      <c r="H741" t="s">
        <v>74</v>
      </c>
      <c r="I741" t="s">
        <v>14402</v>
      </c>
      <c r="J741" t="s">
        <v>11072</v>
      </c>
      <c r="K741" t="s">
        <v>74</v>
      </c>
      <c r="L741" t="s">
        <v>74</v>
      </c>
      <c r="M741" t="s">
        <v>78</v>
      </c>
      <c r="N741" t="s">
        <v>79</v>
      </c>
      <c r="O741" t="s">
        <v>74</v>
      </c>
      <c r="P741" t="s">
        <v>74</v>
      </c>
      <c r="Q741" t="s">
        <v>74</v>
      </c>
      <c r="R741" t="s">
        <v>74</v>
      </c>
      <c r="S741" t="s">
        <v>74</v>
      </c>
      <c r="T741" t="s">
        <v>14403</v>
      </c>
      <c r="U741" t="s">
        <v>14404</v>
      </c>
      <c r="V741" t="s">
        <v>14405</v>
      </c>
      <c r="W741" t="s">
        <v>14406</v>
      </c>
      <c r="X741" t="s">
        <v>14407</v>
      </c>
      <c r="Y741" t="s">
        <v>14408</v>
      </c>
      <c r="Z741" t="s">
        <v>14409</v>
      </c>
      <c r="AA741" t="s">
        <v>14410</v>
      </c>
      <c r="AB741" t="s">
        <v>14411</v>
      </c>
      <c r="AC741" t="s">
        <v>14412</v>
      </c>
      <c r="AD741" t="s">
        <v>14413</v>
      </c>
      <c r="AE741" t="s">
        <v>14414</v>
      </c>
      <c r="AF741" t="s">
        <v>74</v>
      </c>
      <c r="AG741">
        <v>32</v>
      </c>
      <c r="AH741">
        <v>8</v>
      </c>
      <c r="AI741">
        <v>8</v>
      </c>
      <c r="AJ741">
        <v>0</v>
      </c>
      <c r="AK741">
        <v>14</v>
      </c>
      <c r="AL741" t="s">
        <v>7222</v>
      </c>
      <c r="AM741" t="s">
        <v>7223</v>
      </c>
      <c r="AN741" t="s">
        <v>7224</v>
      </c>
      <c r="AO741" t="s">
        <v>11085</v>
      </c>
      <c r="AP741" t="s">
        <v>11086</v>
      </c>
      <c r="AQ741" t="s">
        <v>74</v>
      </c>
      <c r="AR741" t="s">
        <v>11087</v>
      </c>
      <c r="AS741" t="s">
        <v>11088</v>
      </c>
      <c r="AT741" t="s">
        <v>12668</v>
      </c>
      <c r="AU741">
        <v>2019</v>
      </c>
      <c r="AV741">
        <v>131</v>
      </c>
      <c r="AW741" t="s">
        <v>74</v>
      </c>
      <c r="AX741" t="s">
        <v>74</v>
      </c>
      <c r="AY741" t="s">
        <v>74</v>
      </c>
      <c r="AZ741" t="s">
        <v>74</v>
      </c>
      <c r="BA741" t="s">
        <v>74</v>
      </c>
      <c r="BB741">
        <v>1</v>
      </c>
      <c r="BC741">
        <v>7</v>
      </c>
      <c r="BD741" t="s">
        <v>74</v>
      </c>
      <c r="BE741" t="s">
        <v>14415</v>
      </c>
      <c r="BF741" t="str">
        <f>HYPERLINK("http://dx.doi.org/10.1016/j.ympev.2018.10.036","http://dx.doi.org/10.1016/j.ympev.2018.10.036")</f>
        <v>http://dx.doi.org/10.1016/j.ympev.2018.10.036</v>
      </c>
      <c r="BG741" t="s">
        <v>74</v>
      </c>
      <c r="BH741" t="s">
        <v>74</v>
      </c>
      <c r="BI741">
        <v>7</v>
      </c>
      <c r="BJ741" t="s">
        <v>2762</v>
      </c>
      <c r="BK741" t="s">
        <v>102</v>
      </c>
      <c r="BL741" t="s">
        <v>2762</v>
      </c>
      <c r="BM741" t="s">
        <v>14416</v>
      </c>
      <c r="BN741">
        <v>30395937</v>
      </c>
      <c r="BO741" t="s">
        <v>74</v>
      </c>
      <c r="BP741" t="s">
        <v>74</v>
      </c>
      <c r="BQ741" t="s">
        <v>74</v>
      </c>
      <c r="BR741" t="s">
        <v>107</v>
      </c>
      <c r="BS741" t="s">
        <v>14417</v>
      </c>
      <c r="BT741" t="str">
        <f>HYPERLINK("https%3A%2F%2Fwww.webofscience.com%2Fwos%2Fwoscc%2Ffull-record%2FWOS:000456387900001","View Full Record in Web of Science")</f>
        <v>View Full Record in Web of Science</v>
      </c>
    </row>
    <row r="742" spans="1:72" x14ac:dyDescent="0.15">
      <c r="A742" t="s">
        <v>72</v>
      </c>
      <c r="B742" t="s">
        <v>14418</v>
      </c>
      <c r="C742" t="s">
        <v>74</v>
      </c>
      <c r="D742" t="s">
        <v>74</v>
      </c>
      <c r="E742" t="s">
        <v>74</v>
      </c>
      <c r="F742" t="s">
        <v>14419</v>
      </c>
      <c r="G742" t="s">
        <v>74</v>
      </c>
      <c r="H742" t="s">
        <v>74</v>
      </c>
      <c r="I742" t="s">
        <v>14420</v>
      </c>
      <c r="J742" t="s">
        <v>14421</v>
      </c>
      <c r="K742" t="s">
        <v>74</v>
      </c>
      <c r="L742" t="s">
        <v>74</v>
      </c>
      <c r="M742" t="s">
        <v>78</v>
      </c>
      <c r="N742" t="s">
        <v>79</v>
      </c>
      <c r="O742" t="s">
        <v>74</v>
      </c>
      <c r="P742" t="s">
        <v>74</v>
      </c>
      <c r="Q742" t="s">
        <v>74</v>
      </c>
      <c r="R742" t="s">
        <v>74</v>
      </c>
      <c r="S742" t="s">
        <v>74</v>
      </c>
      <c r="T742" t="s">
        <v>74</v>
      </c>
      <c r="U742" t="s">
        <v>14422</v>
      </c>
      <c r="V742" t="s">
        <v>14423</v>
      </c>
      <c r="W742" t="s">
        <v>14424</v>
      </c>
      <c r="X742" t="s">
        <v>14425</v>
      </c>
      <c r="Y742" t="s">
        <v>14426</v>
      </c>
      <c r="Z742" t="s">
        <v>14427</v>
      </c>
      <c r="AA742" t="s">
        <v>14428</v>
      </c>
      <c r="AB742" t="s">
        <v>14429</v>
      </c>
      <c r="AC742" t="s">
        <v>14430</v>
      </c>
      <c r="AD742" t="s">
        <v>14431</v>
      </c>
      <c r="AE742" t="s">
        <v>14432</v>
      </c>
      <c r="AF742" t="s">
        <v>74</v>
      </c>
      <c r="AG742">
        <v>48</v>
      </c>
      <c r="AH742">
        <v>0</v>
      </c>
      <c r="AI742">
        <v>0</v>
      </c>
      <c r="AJ742">
        <v>0</v>
      </c>
      <c r="AK742">
        <v>6</v>
      </c>
      <c r="AL742" t="s">
        <v>153</v>
      </c>
      <c r="AM742" t="s">
        <v>154</v>
      </c>
      <c r="AN742" t="s">
        <v>155</v>
      </c>
      <c r="AO742" t="s">
        <v>14433</v>
      </c>
      <c r="AP742" t="s">
        <v>14434</v>
      </c>
      <c r="AQ742" t="s">
        <v>74</v>
      </c>
      <c r="AR742" t="s">
        <v>14421</v>
      </c>
      <c r="AS742" t="s">
        <v>14435</v>
      </c>
      <c r="AT742" t="s">
        <v>12668</v>
      </c>
      <c r="AU742">
        <v>2019</v>
      </c>
      <c r="AV742">
        <v>31</v>
      </c>
      <c r="AW742">
        <v>1</v>
      </c>
      <c r="AX742" t="s">
        <v>74</v>
      </c>
      <c r="AY742" t="s">
        <v>74</v>
      </c>
      <c r="AZ742" t="s">
        <v>74</v>
      </c>
      <c r="BA742" t="s">
        <v>74</v>
      </c>
      <c r="BB742">
        <v>28</v>
      </c>
      <c r="BC742">
        <v>38</v>
      </c>
      <c r="BD742" t="s">
        <v>74</v>
      </c>
      <c r="BE742" t="s">
        <v>14436</v>
      </c>
      <c r="BF742" t="str">
        <f>HYPERLINK("http://dx.doi.org/10.1111/ter.12366","http://dx.doi.org/10.1111/ter.12366")</f>
        <v>http://dx.doi.org/10.1111/ter.12366</v>
      </c>
      <c r="BG742" t="s">
        <v>74</v>
      </c>
      <c r="BH742" t="s">
        <v>74</v>
      </c>
      <c r="BI742">
        <v>11</v>
      </c>
      <c r="BJ742" t="s">
        <v>922</v>
      </c>
      <c r="BK742" t="s">
        <v>102</v>
      </c>
      <c r="BL742" t="s">
        <v>923</v>
      </c>
      <c r="BM742" t="s">
        <v>14437</v>
      </c>
      <c r="BN742" t="s">
        <v>74</v>
      </c>
      <c r="BO742" t="s">
        <v>1014</v>
      </c>
      <c r="BP742" t="s">
        <v>74</v>
      </c>
      <c r="BQ742" t="s">
        <v>74</v>
      </c>
      <c r="BR742" t="s">
        <v>107</v>
      </c>
      <c r="BS742" t="s">
        <v>14438</v>
      </c>
      <c r="BT742" t="str">
        <f>HYPERLINK("https%3A%2F%2Fwww.webofscience.com%2Fwos%2Fwoscc%2Ffull-record%2FWOS:000456581900004","View Full Record in Web of Science")</f>
        <v>View Full Record in Web of Science</v>
      </c>
    </row>
    <row r="743" spans="1:72" x14ac:dyDescent="0.15">
      <c r="A743" t="s">
        <v>72</v>
      </c>
      <c r="B743" t="s">
        <v>14439</v>
      </c>
      <c r="C743" t="s">
        <v>74</v>
      </c>
      <c r="D743" t="s">
        <v>74</v>
      </c>
      <c r="E743" t="s">
        <v>74</v>
      </c>
      <c r="F743" t="s">
        <v>14440</v>
      </c>
      <c r="G743" t="s">
        <v>74</v>
      </c>
      <c r="H743" t="s">
        <v>74</v>
      </c>
      <c r="I743" t="s">
        <v>14441</v>
      </c>
      <c r="J743" t="s">
        <v>4519</v>
      </c>
      <c r="K743" t="s">
        <v>74</v>
      </c>
      <c r="L743" t="s">
        <v>74</v>
      </c>
      <c r="M743" t="s">
        <v>78</v>
      </c>
      <c r="N743" t="s">
        <v>168</v>
      </c>
      <c r="O743" t="s">
        <v>74</v>
      </c>
      <c r="P743" t="s">
        <v>74</v>
      </c>
      <c r="Q743" t="s">
        <v>74</v>
      </c>
      <c r="R743" t="s">
        <v>74</v>
      </c>
      <c r="S743" t="s">
        <v>74</v>
      </c>
      <c r="T743" t="s">
        <v>74</v>
      </c>
      <c r="U743" t="s">
        <v>74</v>
      </c>
      <c r="V743" t="s">
        <v>74</v>
      </c>
      <c r="W743" t="s">
        <v>74</v>
      </c>
      <c r="X743" t="s">
        <v>74</v>
      </c>
      <c r="Y743" t="s">
        <v>74</v>
      </c>
      <c r="Z743" t="s">
        <v>74</v>
      </c>
      <c r="AA743" t="s">
        <v>74</v>
      </c>
      <c r="AB743" t="s">
        <v>74</v>
      </c>
      <c r="AC743" t="s">
        <v>74</v>
      </c>
      <c r="AD743" t="s">
        <v>74</v>
      </c>
      <c r="AE743" t="s">
        <v>74</v>
      </c>
      <c r="AF743" t="s">
        <v>74</v>
      </c>
      <c r="AG743">
        <v>0</v>
      </c>
      <c r="AH743">
        <v>0</v>
      </c>
      <c r="AI743">
        <v>0</v>
      </c>
      <c r="AJ743">
        <v>0</v>
      </c>
      <c r="AK743">
        <v>1</v>
      </c>
      <c r="AL743" t="s">
        <v>2960</v>
      </c>
      <c r="AM743" t="s">
        <v>607</v>
      </c>
      <c r="AN743" t="s">
        <v>4525</v>
      </c>
      <c r="AO743" t="s">
        <v>4526</v>
      </c>
      <c r="AP743" t="s">
        <v>4527</v>
      </c>
      <c r="AQ743" t="s">
        <v>74</v>
      </c>
      <c r="AR743" t="s">
        <v>4528</v>
      </c>
      <c r="AS743" t="s">
        <v>4529</v>
      </c>
      <c r="AT743" t="s">
        <v>12668</v>
      </c>
      <c r="AU743">
        <v>2019</v>
      </c>
      <c r="AV743">
        <v>31</v>
      </c>
      <c r="AW743">
        <v>1</v>
      </c>
      <c r="AX743" t="s">
        <v>74</v>
      </c>
      <c r="AY743" t="s">
        <v>74</v>
      </c>
      <c r="AZ743" t="s">
        <v>74</v>
      </c>
      <c r="BA743" t="s">
        <v>74</v>
      </c>
      <c r="BB743">
        <v>1</v>
      </c>
      <c r="BC743">
        <v>1</v>
      </c>
      <c r="BD743" t="s">
        <v>74</v>
      </c>
      <c r="BE743" t="s">
        <v>14442</v>
      </c>
      <c r="BF743" t="str">
        <f>HYPERLINK("http://dx.doi.org/10.1017/S0954102018000573","http://dx.doi.org/10.1017/S0954102018000573")</f>
        <v>http://dx.doi.org/10.1017/S0954102018000573</v>
      </c>
      <c r="BG743" t="s">
        <v>74</v>
      </c>
      <c r="BH743" t="s">
        <v>74</v>
      </c>
      <c r="BI743">
        <v>1</v>
      </c>
      <c r="BJ743" t="s">
        <v>4532</v>
      </c>
      <c r="BK743" t="s">
        <v>102</v>
      </c>
      <c r="BL743" t="s">
        <v>4533</v>
      </c>
      <c r="BM743" t="s">
        <v>13531</v>
      </c>
      <c r="BN743" t="s">
        <v>74</v>
      </c>
      <c r="BO743" t="s">
        <v>279</v>
      </c>
      <c r="BP743" t="s">
        <v>74</v>
      </c>
      <c r="BQ743" t="s">
        <v>74</v>
      </c>
      <c r="BR743" t="s">
        <v>107</v>
      </c>
      <c r="BS743" t="s">
        <v>14443</v>
      </c>
      <c r="BT743" t="str">
        <f>HYPERLINK("https%3A%2F%2Fwww.webofscience.com%2Fwos%2Fwoscc%2Ffull-record%2FWOS:000459031700001","View Full Record in Web of Science")</f>
        <v>View Full Record in Web of Science</v>
      </c>
    </row>
    <row r="744" spans="1:72" x14ac:dyDescent="0.15">
      <c r="A744" t="s">
        <v>72</v>
      </c>
      <c r="B744" t="s">
        <v>14444</v>
      </c>
      <c r="C744" t="s">
        <v>74</v>
      </c>
      <c r="D744" t="s">
        <v>74</v>
      </c>
      <c r="E744" t="s">
        <v>74</v>
      </c>
      <c r="F744" t="s">
        <v>14445</v>
      </c>
      <c r="G744" t="s">
        <v>74</v>
      </c>
      <c r="H744" t="s">
        <v>74</v>
      </c>
      <c r="I744" t="s">
        <v>14446</v>
      </c>
      <c r="J744" t="s">
        <v>2102</v>
      </c>
      <c r="K744" t="s">
        <v>74</v>
      </c>
      <c r="L744" t="s">
        <v>74</v>
      </c>
      <c r="M744" t="s">
        <v>78</v>
      </c>
      <c r="N744" t="s">
        <v>168</v>
      </c>
      <c r="O744" t="s">
        <v>74</v>
      </c>
      <c r="P744" t="s">
        <v>74</v>
      </c>
      <c r="Q744" t="s">
        <v>74</v>
      </c>
      <c r="R744" t="s">
        <v>74</v>
      </c>
      <c r="S744" t="s">
        <v>74</v>
      </c>
      <c r="T744" t="s">
        <v>14447</v>
      </c>
      <c r="U744" t="s">
        <v>14448</v>
      </c>
      <c r="V744" t="s">
        <v>14449</v>
      </c>
      <c r="W744" t="s">
        <v>14450</v>
      </c>
      <c r="X744" t="s">
        <v>14451</v>
      </c>
      <c r="Y744" t="s">
        <v>14452</v>
      </c>
      <c r="Z744" t="s">
        <v>14453</v>
      </c>
      <c r="AA744" t="s">
        <v>14454</v>
      </c>
      <c r="AB744" t="s">
        <v>14455</v>
      </c>
      <c r="AC744" t="s">
        <v>14456</v>
      </c>
      <c r="AD744" t="s">
        <v>14457</v>
      </c>
      <c r="AE744" t="s">
        <v>14458</v>
      </c>
      <c r="AF744" t="s">
        <v>74</v>
      </c>
      <c r="AG744">
        <v>71</v>
      </c>
      <c r="AH744">
        <v>85</v>
      </c>
      <c r="AI744">
        <v>90</v>
      </c>
      <c r="AJ744">
        <v>5</v>
      </c>
      <c r="AK744">
        <v>79</v>
      </c>
      <c r="AL744" t="s">
        <v>2115</v>
      </c>
      <c r="AM744" t="s">
        <v>2116</v>
      </c>
      <c r="AN744" t="s">
        <v>2117</v>
      </c>
      <c r="AO744" t="s">
        <v>2118</v>
      </c>
      <c r="AP744" t="s">
        <v>2119</v>
      </c>
      <c r="AQ744" t="s">
        <v>74</v>
      </c>
      <c r="AR744" t="s">
        <v>2102</v>
      </c>
      <c r="AS744" t="s">
        <v>2120</v>
      </c>
      <c r="AT744" t="s">
        <v>12783</v>
      </c>
      <c r="AU744">
        <v>2019</v>
      </c>
      <c r="AV744">
        <v>19</v>
      </c>
      <c r="AW744">
        <v>2</v>
      </c>
      <c r="AX744" t="s">
        <v>74</v>
      </c>
      <c r="AY744" t="s">
        <v>74</v>
      </c>
      <c r="AZ744" t="s">
        <v>74</v>
      </c>
      <c r="BA744" t="s">
        <v>74</v>
      </c>
      <c r="BB744">
        <v>145</v>
      </c>
      <c r="BC744">
        <v>157</v>
      </c>
      <c r="BD744" t="s">
        <v>74</v>
      </c>
      <c r="BE744" t="s">
        <v>14459</v>
      </c>
      <c r="BF744" t="str">
        <f>HYPERLINK("http://dx.doi.org/10.1089/ast.2018.1897","http://dx.doi.org/10.1089/ast.2018.1897")</f>
        <v>http://dx.doi.org/10.1089/ast.2018.1897</v>
      </c>
      <c r="BG744" t="s">
        <v>74</v>
      </c>
      <c r="BH744" t="s">
        <v>74</v>
      </c>
      <c r="BI744">
        <v>13</v>
      </c>
      <c r="BJ744" t="s">
        <v>2123</v>
      </c>
      <c r="BK744" t="s">
        <v>102</v>
      </c>
      <c r="BL744" t="s">
        <v>2124</v>
      </c>
      <c r="BM744" t="s">
        <v>14460</v>
      </c>
      <c r="BN744">
        <v>30742496</v>
      </c>
      <c r="BO744" t="s">
        <v>14461</v>
      </c>
      <c r="BP744" t="s">
        <v>74</v>
      </c>
      <c r="BQ744" t="s">
        <v>74</v>
      </c>
      <c r="BR744" t="s">
        <v>107</v>
      </c>
      <c r="BS744" t="s">
        <v>14462</v>
      </c>
      <c r="BT744" t="str">
        <f>HYPERLINK("https%3A%2F%2Fwww.webofscience.com%2Fwos%2Fwoscc%2Ffull-record%2FWOS:000463364800001","View Full Record in Web of Science")</f>
        <v>View Full Record in Web of Science</v>
      </c>
    </row>
    <row r="745" spans="1:72" x14ac:dyDescent="0.15">
      <c r="A745" t="s">
        <v>72</v>
      </c>
      <c r="B745" t="s">
        <v>14463</v>
      </c>
      <c r="C745" t="s">
        <v>74</v>
      </c>
      <c r="D745" t="s">
        <v>74</v>
      </c>
      <c r="E745" t="s">
        <v>74</v>
      </c>
      <c r="F745" t="s">
        <v>14464</v>
      </c>
      <c r="G745" t="s">
        <v>74</v>
      </c>
      <c r="H745" t="s">
        <v>74</v>
      </c>
      <c r="I745" t="s">
        <v>14465</v>
      </c>
      <c r="J745" t="s">
        <v>2102</v>
      </c>
      <c r="K745" t="s">
        <v>74</v>
      </c>
      <c r="L745" t="s">
        <v>74</v>
      </c>
      <c r="M745" t="s">
        <v>78</v>
      </c>
      <c r="N745" t="s">
        <v>79</v>
      </c>
      <c r="O745" t="s">
        <v>74</v>
      </c>
      <c r="P745" t="s">
        <v>74</v>
      </c>
      <c r="Q745" t="s">
        <v>74</v>
      </c>
      <c r="R745" t="s">
        <v>74</v>
      </c>
      <c r="S745" t="s">
        <v>74</v>
      </c>
      <c r="T745" t="s">
        <v>14466</v>
      </c>
      <c r="U745" t="s">
        <v>14467</v>
      </c>
      <c r="V745" t="s">
        <v>14468</v>
      </c>
      <c r="W745" t="s">
        <v>14469</v>
      </c>
      <c r="X745" t="s">
        <v>14470</v>
      </c>
      <c r="Y745" t="s">
        <v>14471</v>
      </c>
      <c r="Z745" t="s">
        <v>14472</v>
      </c>
      <c r="AA745" t="s">
        <v>14473</v>
      </c>
      <c r="AB745" t="s">
        <v>14474</v>
      </c>
      <c r="AC745" t="s">
        <v>74</v>
      </c>
      <c r="AD745" t="s">
        <v>74</v>
      </c>
      <c r="AE745" t="s">
        <v>74</v>
      </c>
      <c r="AF745" t="s">
        <v>74</v>
      </c>
      <c r="AG745">
        <v>54</v>
      </c>
      <c r="AH745">
        <v>18</v>
      </c>
      <c r="AI745">
        <v>21</v>
      </c>
      <c r="AJ745">
        <v>1</v>
      </c>
      <c r="AK745">
        <v>18</v>
      </c>
      <c r="AL745" t="s">
        <v>2115</v>
      </c>
      <c r="AM745" t="s">
        <v>2116</v>
      </c>
      <c r="AN745" t="s">
        <v>2117</v>
      </c>
      <c r="AO745" t="s">
        <v>2118</v>
      </c>
      <c r="AP745" t="s">
        <v>2119</v>
      </c>
      <c r="AQ745" t="s">
        <v>74</v>
      </c>
      <c r="AR745" t="s">
        <v>2102</v>
      </c>
      <c r="AS745" t="s">
        <v>2120</v>
      </c>
      <c r="AT745" t="s">
        <v>12783</v>
      </c>
      <c r="AU745">
        <v>2019</v>
      </c>
      <c r="AV745">
        <v>19</v>
      </c>
      <c r="AW745">
        <v>2</v>
      </c>
      <c r="AX745" t="s">
        <v>74</v>
      </c>
      <c r="AY745" t="s">
        <v>74</v>
      </c>
      <c r="AZ745" t="s">
        <v>74</v>
      </c>
      <c r="BA745" t="s">
        <v>74</v>
      </c>
      <c r="BB745">
        <v>209</v>
      </c>
      <c r="BC745">
        <v>220</v>
      </c>
      <c r="BD745" t="s">
        <v>74</v>
      </c>
      <c r="BE745" t="s">
        <v>14475</v>
      </c>
      <c r="BF745" t="str">
        <f>HYPERLINK("http://dx.doi.org/10.1089/ast.2016.1631","http://dx.doi.org/10.1089/ast.2016.1631")</f>
        <v>http://dx.doi.org/10.1089/ast.2016.1631</v>
      </c>
      <c r="BG745" t="s">
        <v>74</v>
      </c>
      <c r="BH745" t="s">
        <v>74</v>
      </c>
      <c r="BI745">
        <v>12</v>
      </c>
      <c r="BJ745" t="s">
        <v>2123</v>
      </c>
      <c r="BK745" t="s">
        <v>102</v>
      </c>
      <c r="BL745" t="s">
        <v>2124</v>
      </c>
      <c r="BM745" t="s">
        <v>14460</v>
      </c>
      <c r="BN745">
        <v>30067087</v>
      </c>
      <c r="BO745" t="s">
        <v>2325</v>
      </c>
      <c r="BP745" t="s">
        <v>74</v>
      </c>
      <c r="BQ745" t="s">
        <v>74</v>
      </c>
      <c r="BR745" t="s">
        <v>107</v>
      </c>
      <c r="BS745" t="s">
        <v>14476</v>
      </c>
      <c r="BT745" t="str">
        <f>HYPERLINK("https%3A%2F%2Fwww.webofscience.com%2Fwos%2Fwoscc%2Ffull-record%2FWOS:000463364800006","View Full Record in Web of Science")</f>
        <v>View Full Record in Web of Science</v>
      </c>
    </row>
    <row r="746" spans="1:72" x14ac:dyDescent="0.15">
      <c r="A746" t="s">
        <v>72</v>
      </c>
      <c r="B746" t="s">
        <v>14477</v>
      </c>
      <c r="C746" t="s">
        <v>74</v>
      </c>
      <c r="D746" t="s">
        <v>74</v>
      </c>
      <c r="E746" t="s">
        <v>74</v>
      </c>
      <c r="F746" t="s">
        <v>14478</v>
      </c>
      <c r="G746" t="s">
        <v>74</v>
      </c>
      <c r="H746" t="s">
        <v>74</v>
      </c>
      <c r="I746" t="s">
        <v>14479</v>
      </c>
      <c r="J746" t="s">
        <v>2102</v>
      </c>
      <c r="K746" t="s">
        <v>74</v>
      </c>
      <c r="L746" t="s">
        <v>74</v>
      </c>
      <c r="M746" t="s">
        <v>78</v>
      </c>
      <c r="N746" t="s">
        <v>79</v>
      </c>
      <c r="O746" t="s">
        <v>74</v>
      </c>
      <c r="P746" t="s">
        <v>74</v>
      </c>
      <c r="Q746" t="s">
        <v>74</v>
      </c>
      <c r="R746" t="s">
        <v>74</v>
      </c>
      <c r="S746" t="s">
        <v>74</v>
      </c>
      <c r="T746" t="s">
        <v>14480</v>
      </c>
      <c r="U746" t="s">
        <v>14481</v>
      </c>
      <c r="V746" t="s">
        <v>14482</v>
      </c>
      <c r="W746" t="s">
        <v>14483</v>
      </c>
      <c r="X746" t="s">
        <v>14484</v>
      </c>
      <c r="Y746" t="s">
        <v>14485</v>
      </c>
      <c r="Z746" t="s">
        <v>14486</v>
      </c>
      <c r="AA746" t="s">
        <v>74</v>
      </c>
      <c r="AB746" t="s">
        <v>14487</v>
      </c>
      <c r="AC746" t="s">
        <v>74</v>
      </c>
      <c r="AD746" t="s">
        <v>74</v>
      </c>
      <c r="AE746" t="s">
        <v>74</v>
      </c>
      <c r="AF746" t="s">
        <v>74</v>
      </c>
      <c r="AG746">
        <v>101</v>
      </c>
      <c r="AH746">
        <v>8</v>
      </c>
      <c r="AI746">
        <v>8</v>
      </c>
      <c r="AJ746">
        <v>2</v>
      </c>
      <c r="AK746">
        <v>17</v>
      </c>
      <c r="AL746" t="s">
        <v>2115</v>
      </c>
      <c r="AM746" t="s">
        <v>2116</v>
      </c>
      <c r="AN746" t="s">
        <v>2117</v>
      </c>
      <c r="AO746" t="s">
        <v>2118</v>
      </c>
      <c r="AP746" t="s">
        <v>2119</v>
      </c>
      <c r="AQ746" t="s">
        <v>74</v>
      </c>
      <c r="AR746" t="s">
        <v>2102</v>
      </c>
      <c r="AS746" t="s">
        <v>2120</v>
      </c>
      <c r="AT746" t="s">
        <v>12783</v>
      </c>
      <c r="AU746">
        <v>2019</v>
      </c>
      <c r="AV746">
        <v>19</v>
      </c>
      <c r="AW746">
        <v>2</v>
      </c>
      <c r="AX746" t="s">
        <v>74</v>
      </c>
      <c r="AY746" t="s">
        <v>74</v>
      </c>
      <c r="AZ746" t="s">
        <v>74</v>
      </c>
      <c r="BA746" t="s">
        <v>74</v>
      </c>
      <c r="BB746">
        <v>221</v>
      </c>
      <c r="BC746">
        <v>232</v>
      </c>
      <c r="BD746" t="s">
        <v>74</v>
      </c>
      <c r="BE746" t="s">
        <v>14488</v>
      </c>
      <c r="BF746" t="str">
        <f>HYPERLINK("http://dx.doi.org/10.1089/ast.2018.1889","http://dx.doi.org/10.1089/ast.2018.1889")</f>
        <v>http://dx.doi.org/10.1089/ast.2018.1889</v>
      </c>
      <c r="BG746" t="s">
        <v>74</v>
      </c>
      <c r="BH746" t="s">
        <v>74</v>
      </c>
      <c r="BI746">
        <v>12</v>
      </c>
      <c r="BJ746" t="s">
        <v>2123</v>
      </c>
      <c r="BK746" t="s">
        <v>102</v>
      </c>
      <c r="BL746" t="s">
        <v>2124</v>
      </c>
      <c r="BM746" t="s">
        <v>14460</v>
      </c>
      <c r="BN746">
        <v>30742499</v>
      </c>
      <c r="BO746" t="s">
        <v>279</v>
      </c>
      <c r="BP746" t="s">
        <v>74</v>
      </c>
      <c r="BQ746" t="s">
        <v>74</v>
      </c>
      <c r="BR746" t="s">
        <v>107</v>
      </c>
      <c r="BS746" t="s">
        <v>14489</v>
      </c>
      <c r="BT746" t="str">
        <f>HYPERLINK("https%3A%2F%2Fwww.webofscience.com%2Fwos%2Fwoscc%2Ffull-record%2FWOS:000463364800007","View Full Record in Web of Science")</f>
        <v>View Full Record in Web of Science</v>
      </c>
    </row>
    <row r="747" spans="1:72" x14ac:dyDescent="0.15">
      <c r="A747" t="s">
        <v>72</v>
      </c>
      <c r="B747" t="s">
        <v>14490</v>
      </c>
      <c r="C747" t="s">
        <v>74</v>
      </c>
      <c r="D747" t="s">
        <v>74</v>
      </c>
      <c r="E747" t="s">
        <v>74</v>
      </c>
      <c r="F747" t="s">
        <v>14491</v>
      </c>
      <c r="G747" t="s">
        <v>74</v>
      </c>
      <c r="H747" t="s">
        <v>74</v>
      </c>
      <c r="I747" t="s">
        <v>14492</v>
      </c>
      <c r="J747" t="s">
        <v>14493</v>
      </c>
      <c r="K747" t="s">
        <v>74</v>
      </c>
      <c r="L747" t="s">
        <v>74</v>
      </c>
      <c r="M747" t="s">
        <v>78</v>
      </c>
      <c r="N747" t="s">
        <v>469</v>
      </c>
      <c r="O747" t="s">
        <v>74</v>
      </c>
      <c r="P747" t="s">
        <v>74</v>
      </c>
      <c r="Q747" t="s">
        <v>74</v>
      </c>
      <c r="R747" t="s">
        <v>74</v>
      </c>
      <c r="S747" t="s">
        <v>74</v>
      </c>
      <c r="T747" t="s">
        <v>14494</v>
      </c>
      <c r="U747" t="s">
        <v>14495</v>
      </c>
      <c r="V747" t="s">
        <v>14496</v>
      </c>
      <c r="W747" t="s">
        <v>14497</v>
      </c>
      <c r="X747" t="s">
        <v>14498</v>
      </c>
      <c r="Y747" t="s">
        <v>14499</v>
      </c>
      <c r="Z747" t="s">
        <v>14500</v>
      </c>
      <c r="AA747" t="s">
        <v>14501</v>
      </c>
      <c r="AB747" t="s">
        <v>14502</v>
      </c>
      <c r="AC747" t="s">
        <v>14503</v>
      </c>
      <c r="AD747" t="s">
        <v>14504</v>
      </c>
      <c r="AE747" t="s">
        <v>14505</v>
      </c>
      <c r="AF747" t="s">
        <v>74</v>
      </c>
      <c r="AG747">
        <v>203</v>
      </c>
      <c r="AH747">
        <v>86</v>
      </c>
      <c r="AI747">
        <v>91</v>
      </c>
      <c r="AJ747">
        <v>12</v>
      </c>
      <c r="AK747">
        <v>157</v>
      </c>
      <c r="AL747" t="s">
        <v>153</v>
      </c>
      <c r="AM747" t="s">
        <v>154</v>
      </c>
      <c r="AN747" t="s">
        <v>155</v>
      </c>
      <c r="AO747" t="s">
        <v>14506</v>
      </c>
      <c r="AP747" t="s">
        <v>14507</v>
      </c>
      <c r="AQ747" t="s">
        <v>74</v>
      </c>
      <c r="AR747" t="s">
        <v>14508</v>
      </c>
      <c r="AS747" t="s">
        <v>14509</v>
      </c>
      <c r="AT747" t="s">
        <v>12668</v>
      </c>
      <c r="AU747">
        <v>2019</v>
      </c>
      <c r="AV747">
        <v>44</v>
      </c>
      <c r="AW747">
        <v>1</v>
      </c>
      <c r="AX747" t="s">
        <v>74</v>
      </c>
      <c r="AY747" t="s">
        <v>74</v>
      </c>
      <c r="AZ747" t="s">
        <v>74</v>
      </c>
      <c r="BA747" t="s">
        <v>74</v>
      </c>
      <c r="BB747">
        <v>3</v>
      </c>
      <c r="BC747">
        <v>27</v>
      </c>
      <c r="BD747" t="s">
        <v>74</v>
      </c>
      <c r="BE747" t="s">
        <v>14510</v>
      </c>
      <c r="BF747" t="str">
        <f>HYPERLINK("http://dx.doi.org/10.1111/aec.12674","http://dx.doi.org/10.1111/aec.12674")</f>
        <v>http://dx.doi.org/10.1111/aec.12674</v>
      </c>
      <c r="BG747" t="s">
        <v>74</v>
      </c>
      <c r="BH747" t="s">
        <v>74</v>
      </c>
      <c r="BI747">
        <v>25</v>
      </c>
      <c r="BJ747" t="s">
        <v>5763</v>
      </c>
      <c r="BK747" t="s">
        <v>102</v>
      </c>
      <c r="BL747" t="s">
        <v>2297</v>
      </c>
      <c r="BM747" t="s">
        <v>14511</v>
      </c>
      <c r="BN747" t="s">
        <v>74</v>
      </c>
      <c r="BO747" t="s">
        <v>223</v>
      </c>
      <c r="BP747" t="s">
        <v>74</v>
      </c>
      <c r="BQ747" t="s">
        <v>74</v>
      </c>
      <c r="BR747" t="s">
        <v>107</v>
      </c>
      <c r="BS747" t="s">
        <v>14512</v>
      </c>
      <c r="BT747" t="str">
        <f>HYPERLINK("https%3A%2F%2Fwww.webofscience.com%2Fwos%2Fwoscc%2Ffull-record%2FWOS:000456708900001","View Full Record in Web of Science")</f>
        <v>View Full Record in Web of Science</v>
      </c>
    </row>
    <row r="748" spans="1:72" x14ac:dyDescent="0.15">
      <c r="A748" t="s">
        <v>72</v>
      </c>
      <c r="B748" t="s">
        <v>14513</v>
      </c>
      <c r="C748" t="s">
        <v>74</v>
      </c>
      <c r="D748" t="s">
        <v>74</v>
      </c>
      <c r="E748" t="s">
        <v>74</v>
      </c>
      <c r="F748" t="s">
        <v>14514</v>
      </c>
      <c r="G748" t="s">
        <v>74</v>
      </c>
      <c r="H748" t="s">
        <v>74</v>
      </c>
      <c r="I748" t="s">
        <v>14515</v>
      </c>
      <c r="J748" t="s">
        <v>14516</v>
      </c>
      <c r="K748" t="s">
        <v>74</v>
      </c>
      <c r="L748" t="s">
        <v>74</v>
      </c>
      <c r="M748" t="s">
        <v>78</v>
      </c>
      <c r="N748" t="s">
        <v>79</v>
      </c>
      <c r="O748" t="s">
        <v>74</v>
      </c>
      <c r="P748" t="s">
        <v>74</v>
      </c>
      <c r="Q748" t="s">
        <v>74</v>
      </c>
      <c r="R748" t="s">
        <v>74</v>
      </c>
      <c r="S748" t="s">
        <v>74</v>
      </c>
      <c r="T748" t="s">
        <v>14517</v>
      </c>
      <c r="U748" t="s">
        <v>14518</v>
      </c>
      <c r="V748" t="s">
        <v>14519</v>
      </c>
      <c r="W748" t="s">
        <v>14520</v>
      </c>
      <c r="X748" t="s">
        <v>11909</v>
      </c>
      <c r="Y748" t="s">
        <v>11910</v>
      </c>
      <c r="Z748" t="s">
        <v>11911</v>
      </c>
      <c r="AA748" t="s">
        <v>14521</v>
      </c>
      <c r="AB748" t="s">
        <v>14522</v>
      </c>
      <c r="AC748" t="s">
        <v>14523</v>
      </c>
      <c r="AD748" t="s">
        <v>14524</v>
      </c>
      <c r="AE748" t="s">
        <v>14525</v>
      </c>
      <c r="AF748" t="s">
        <v>74</v>
      </c>
      <c r="AG748">
        <v>29</v>
      </c>
      <c r="AH748">
        <v>34</v>
      </c>
      <c r="AI748">
        <v>36</v>
      </c>
      <c r="AJ748">
        <v>0</v>
      </c>
      <c r="AK748">
        <v>21</v>
      </c>
      <c r="AL748" t="s">
        <v>662</v>
      </c>
      <c r="AM748" t="s">
        <v>635</v>
      </c>
      <c r="AN748" t="s">
        <v>663</v>
      </c>
      <c r="AO748" t="s">
        <v>14526</v>
      </c>
      <c r="AP748" t="s">
        <v>14527</v>
      </c>
      <c r="AQ748" t="s">
        <v>74</v>
      </c>
      <c r="AR748" t="s">
        <v>14516</v>
      </c>
      <c r="AS748" t="s">
        <v>14528</v>
      </c>
      <c r="AT748" t="s">
        <v>12668</v>
      </c>
      <c r="AU748">
        <v>2019</v>
      </c>
      <c r="AV748">
        <v>173</v>
      </c>
      <c r="AW748" t="s">
        <v>74</v>
      </c>
      <c r="AX748" t="s">
        <v>74</v>
      </c>
      <c r="AY748" t="s">
        <v>74</v>
      </c>
      <c r="AZ748" t="s">
        <v>74</v>
      </c>
      <c r="BA748" t="s">
        <v>74</v>
      </c>
      <c r="BB748">
        <v>367</v>
      </c>
      <c r="BC748">
        <v>374</v>
      </c>
      <c r="BD748" t="s">
        <v>74</v>
      </c>
      <c r="BE748" t="s">
        <v>14529</v>
      </c>
      <c r="BF748" t="str">
        <f>HYPERLINK("http://dx.doi.org/10.1016/j.catena.2018.10.028","http://dx.doi.org/10.1016/j.catena.2018.10.028")</f>
        <v>http://dx.doi.org/10.1016/j.catena.2018.10.028</v>
      </c>
      <c r="BG748" t="s">
        <v>74</v>
      </c>
      <c r="BH748" t="s">
        <v>74</v>
      </c>
      <c r="BI748">
        <v>8</v>
      </c>
      <c r="BJ748" t="s">
        <v>14530</v>
      </c>
      <c r="BK748" t="s">
        <v>102</v>
      </c>
      <c r="BL748" t="s">
        <v>14531</v>
      </c>
      <c r="BM748" t="s">
        <v>14532</v>
      </c>
      <c r="BN748" t="s">
        <v>74</v>
      </c>
      <c r="BO748" t="s">
        <v>925</v>
      </c>
      <c r="BP748" t="s">
        <v>74</v>
      </c>
      <c r="BQ748" t="s">
        <v>74</v>
      </c>
      <c r="BR748" t="s">
        <v>107</v>
      </c>
      <c r="BS748" t="s">
        <v>14533</v>
      </c>
      <c r="BT748" t="str">
        <f>HYPERLINK("https%3A%2F%2Fwww.webofscience.com%2Fwos%2Fwoscc%2Ffull-record%2FWOS:000452814300035","View Full Record in Web of Science")</f>
        <v>View Full Record in Web of Science</v>
      </c>
    </row>
    <row r="749" spans="1:72" x14ac:dyDescent="0.15">
      <c r="A749" t="s">
        <v>72</v>
      </c>
      <c r="B749" t="s">
        <v>14534</v>
      </c>
      <c r="C749" t="s">
        <v>74</v>
      </c>
      <c r="D749" t="s">
        <v>74</v>
      </c>
      <c r="E749" t="s">
        <v>74</v>
      </c>
      <c r="F749" t="s">
        <v>14535</v>
      </c>
      <c r="G749" t="s">
        <v>74</v>
      </c>
      <c r="H749" t="s">
        <v>74</v>
      </c>
      <c r="I749" t="s">
        <v>14536</v>
      </c>
      <c r="J749" t="s">
        <v>14537</v>
      </c>
      <c r="K749" t="s">
        <v>74</v>
      </c>
      <c r="L749" t="s">
        <v>74</v>
      </c>
      <c r="M749" t="s">
        <v>78</v>
      </c>
      <c r="N749" t="s">
        <v>469</v>
      </c>
      <c r="O749" t="s">
        <v>74</v>
      </c>
      <c r="P749" t="s">
        <v>74</v>
      </c>
      <c r="Q749" t="s">
        <v>74</v>
      </c>
      <c r="R749" t="s">
        <v>74</v>
      </c>
      <c r="S749" t="s">
        <v>74</v>
      </c>
      <c r="T749" t="s">
        <v>14538</v>
      </c>
      <c r="U749" t="s">
        <v>14539</v>
      </c>
      <c r="V749" t="s">
        <v>14540</v>
      </c>
      <c r="W749" t="s">
        <v>14541</v>
      </c>
      <c r="X749" t="s">
        <v>14542</v>
      </c>
      <c r="Y749" t="s">
        <v>14543</v>
      </c>
      <c r="Z749" t="s">
        <v>14544</v>
      </c>
      <c r="AA749" t="s">
        <v>14545</v>
      </c>
      <c r="AB749" t="s">
        <v>14546</v>
      </c>
      <c r="AC749" t="s">
        <v>74</v>
      </c>
      <c r="AD749" t="s">
        <v>74</v>
      </c>
      <c r="AE749" t="s">
        <v>74</v>
      </c>
      <c r="AF749" t="s">
        <v>74</v>
      </c>
      <c r="AG749">
        <v>112</v>
      </c>
      <c r="AH749">
        <v>21</v>
      </c>
      <c r="AI749">
        <v>21</v>
      </c>
      <c r="AJ749">
        <v>1</v>
      </c>
      <c r="AK749">
        <v>13</v>
      </c>
      <c r="AL749" t="s">
        <v>125</v>
      </c>
      <c r="AM749" t="s">
        <v>126</v>
      </c>
      <c r="AN749" t="s">
        <v>127</v>
      </c>
      <c r="AO749" t="s">
        <v>74</v>
      </c>
      <c r="AP749" t="s">
        <v>14547</v>
      </c>
      <c r="AQ749" t="s">
        <v>74</v>
      </c>
      <c r="AR749" t="s">
        <v>14537</v>
      </c>
      <c r="AS749" t="s">
        <v>14548</v>
      </c>
      <c r="AT749" t="s">
        <v>12668</v>
      </c>
      <c r="AU749">
        <v>2019</v>
      </c>
      <c r="AV749">
        <v>7</v>
      </c>
      <c r="AW749">
        <v>2</v>
      </c>
      <c r="AX749" t="s">
        <v>74</v>
      </c>
      <c r="AY749" t="s">
        <v>74</v>
      </c>
      <c r="AZ749" t="s">
        <v>74</v>
      </c>
      <c r="BA749" t="s">
        <v>74</v>
      </c>
      <c r="BB749">
        <v>60</v>
      </c>
      <c r="BC749">
        <v>73</v>
      </c>
      <c r="BD749" t="s">
        <v>74</v>
      </c>
      <c r="BE749" t="s">
        <v>14549</v>
      </c>
      <c r="BF749" t="str">
        <f>HYPERLINK("http://dx.doi.org/10.1029/2018EF000990","http://dx.doi.org/10.1029/2018EF000990")</f>
        <v>http://dx.doi.org/10.1029/2018EF000990</v>
      </c>
      <c r="BG749" t="s">
        <v>74</v>
      </c>
      <c r="BH749" t="s">
        <v>74</v>
      </c>
      <c r="BI749">
        <v>14</v>
      </c>
      <c r="BJ749" t="s">
        <v>10530</v>
      </c>
      <c r="BK749" t="s">
        <v>337</v>
      </c>
      <c r="BL749" t="s">
        <v>10531</v>
      </c>
      <c r="BM749" t="s">
        <v>14550</v>
      </c>
      <c r="BN749" t="s">
        <v>74</v>
      </c>
      <c r="BO749" t="s">
        <v>10732</v>
      </c>
      <c r="BP749" t="s">
        <v>74</v>
      </c>
      <c r="BQ749" t="s">
        <v>74</v>
      </c>
      <c r="BR749" t="s">
        <v>107</v>
      </c>
      <c r="BS749" t="s">
        <v>14551</v>
      </c>
      <c r="BT749" t="str">
        <f>HYPERLINK("https%3A%2F%2Fwww.webofscience.com%2Fwos%2Fwoscc%2Ffull-record%2FWOS:000461279800001","View Full Record in Web of Science")</f>
        <v>View Full Record in Web of Science</v>
      </c>
    </row>
    <row r="750" spans="1:72" x14ac:dyDescent="0.15">
      <c r="A750" t="s">
        <v>72</v>
      </c>
      <c r="B750" t="s">
        <v>14552</v>
      </c>
      <c r="C750" t="s">
        <v>74</v>
      </c>
      <c r="D750" t="s">
        <v>74</v>
      </c>
      <c r="E750" t="s">
        <v>74</v>
      </c>
      <c r="F750" t="s">
        <v>14553</v>
      </c>
      <c r="G750" t="s">
        <v>74</v>
      </c>
      <c r="H750" t="s">
        <v>74</v>
      </c>
      <c r="I750" t="s">
        <v>14554</v>
      </c>
      <c r="J750" t="s">
        <v>14555</v>
      </c>
      <c r="K750" t="s">
        <v>74</v>
      </c>
      <c r="L750" t="s">
        <v>74</v>
      </c>
      <c r="M750" t="s">
        <v>78</v>
      </c>
      <c r="N750" t="s">
        <v>79</v>
      </c>
      <c r="O750" t="s">
        <v>74</v>
      </c>
      <c r="P750" t="s">
        <v>74</v>
      </c>
      <c r="Q750" t="s">
        <v>74</v>
      </c>
      <c r="R750" t="s">
        <v>74</v>
      </c>
      <c r="S750" t="s">
        <v>74</v>
      </c>
      <c r="T750" t="s">
        <v>14556</v>
      </c>
      <c r="U750" t="s">
        <v>14557</v>
      </c>
      <c r="V750" t="s">
        <v>14558</v>
      </c>
      <c r="W750" t="s">
        <v>14559</v>
      </c>
      <c r="X750" t="s">
        <v>2352</v>
      </c>
      <c r="Y750" t="s">
        <v>14560</v>
      </c>
      <c r="Z750" t="s">
        <v>14561</v>
      </c>
      <c r="AA750" t="s">
        <v>14562</v>
      </c>
      <c r="AB750" t="s">
        <v>14563</v>
      </c>
      <c r="AC750" t="s">
        <v>14564</v>
      </c>
      <c r="AD750" t="s">
        <v>14565</v>
      </c>
      <c r="AE750" t="s">
        <v>14566</v>
      </c>
      <c r="AF750" t="s">
        <v>74</v>
      </c>
      <c r="AG750">
        <v>69</v>
      </c>
      <c r="AH750">
        <v>35</v>
      </c>
      <c r="AI750">
        <v>38</v>
      </c>
      <c r="AJ750">
        <v>2</v>
      </c>
      <c r="AK750">
        <v>73</v>
      </c>
      <c r="AL750" t="s">
        <v>153</v>
      </c>
      <c r="AM750" t="s">
        <v>154</v>
      </c>
      <c r="AN750" t="s">
        <v>155</v>
      </c>
      <c r="AO750" t="s">
        <v>14567</v>
      </c>
      <c r="AP750" t="s">
        <v>14568</v>
      </c>
      <c r="AQ750" t="s">
        <v>74</v>
      </c>
      <c r="AR750" t="s">
        <v>14555</v>
      </c>
      <c r="AS750" t="s">
        <v>5763</v>
      </c>
      <c r="AT750" t="s">
        <v>12668</v>
      </c>
      <c r="AU750">
        <v>2019</v>
      </c>
      <c r="AV750">
        <v>100</v>
      </c>
      <c r="AW750">
        <v>2</v>
      </c>
      <c r="AX750" t="s">
        <v>74</v>
      </c>
      <c r="AY750" t="s">
        <v>74</v>
      </c>
      <c r="AZ750" t="s">
        <v>74</v>
      </c>
      <c r="BA750" t="s">
        <v>74</v>
      </c>
      <c r="BB750" t="s">
        <v>74</v>
      </c>
      <c r="BC750" t="s">
        <v>74</v>
      </c>
      <c r="BD750" t="s">
        <v>14569</v>
      </c>
      <c r="BE750" t="s">
        <v>14570</v>
      </c>
      <c r="BF750" t="str">
        <f>HYPERLINK("http://dx.doi.org/10.1002/ecy.2577","http://dx.doi.org/10.1002/ecy.2577")</f>
        <v>http://dx.doi.org/10.1002/ecy.2577</v>
      </c>
      <c r="BG750" t="s">
        <v>74</v>
      </c>
      <c r="BH750" t="s">
        <v>74</v>
      </c>
      <c r="BI750">
        <v>19</v>
      </c>
      <c r="BJ750" t="s">
        <v>5763</v>
      </c>
      <c r="BK750" t="s">
        <v>102</v>
      </c>
      <c r="BL750" t="s">
        <v>2297</v>
      </c>
      <c r="BM750" t="s">
        <v>14571</v>
      </c>
      <c r="BN750">
        <v>30707451</v>
      </c>
      <c r="BO750" t="s">
        <v>8519</v>
      </c>
      <c r="BP750" t="s">
        <v>74</v>
      </c>
      <c r="BQ750" t="s">
        <v>74</v>
      </c>
      <c r="BR750" t="s">
        <v>107</v>
      </c>
      <c r="BS750" t="s">
        <v>14572</v>
      </c>
      <c r="BT750" t="str">
        <f>HYPERLINK("https%3A%2F%2Fwww.webofscience.com%2Fwos%2Fwoscc%2Ffull-record%2FWOS:000457618800016","View Full Record in Web of Science")</f>
        <v>View Full Record in Web of Science</v>
      </c>
    </row>
    <row r="751" spans="1:72" x14ac:dyDescent="0.15">
      <c r="A751" t="s">
        <v>72</v>
      </c>
      <c r="B751" t="s">
        <v>14573</v>
      </c>
      <c r="C751" t="s">
        <v>74</v>
      </c>
      <c r="D751" t="s">
        <v>74</v>
      </c>
      <c r="E751" t="s">
        <v>74</v>
      </c>
      <c r="F751" t="s">
        <v>14574</v>
      </c>
      <c r="G751" t="s">
        <v>74</v>
      </c>
      <c r="H751" t="s">
        <v>74</v>
      </c>
      <c r="I751" t="s">
        <v>14575</v>
      </c>
      <c r="J751" t="s">
        <v>3543</v>
      </c>
      <c r="K751" t="s">
        <v>74</v>
      </c>
      <c r="L751" t="s">
        <v>74</v>
      </c>
      <c r="M751" t="s">
        <v>78</v>
      </c>
      <c r="N751" t="s">
        <v>79</v>
      </c>
      <c r="O751" t="s">
        <v>74</v>
      </c>
      <c r="P751" t="s">
        <v>74</v>
      </c>
      <c r="Q751" t="s">
        <v>74</v>
      </c>
      <c r="R751" t="s">
        <v>74</v>
      </c>
      <c r="S751" t="s">
        <v>74</v>
      </c>
      <c r="T751" t="s">
        <v>14576</v>
      </c>
      <c r="U751" t="s">
        <v>14577</v>
      </c>
      <c r="V751" t="s">
        <v>14578</v>
      </c>
      <c r="W751" t="s">
        <v>14579</v>
      </c>
      <c r="X751" t="s">
        <v>2048</v>
      </c>
      <c r="Y751" t="s">
        <v>14580</v>
      </c>
      <c r="Z751" t="s">
        <v>14581</v>
      </c>
      <c r="AA751" t="s">
        <v>74</v>
      </c>
      <c r="AB751" t="s">
        <v>14582</v>
      </c>
      <c r="AC751" t="s">
        <v>74</v>
      </c>
      <c r="AD751" t="s">
        <v>74</v>
      </c>
      <c r="AE751" t="s">
        <v>74</v>
      </c>
      <c r="AF751" t="s">
        <v>74</v>
      </c>
      <c r="AG751">
        <v>47</v>
      </c>
      <c r="AH751">
        <v>1</v>
      </c>
      <c r="AI751">
        <v>1</v>
      </c>
      <c r="AJ751">
        <v>1</v>
      </c>
      <c r="AK751">
        <v>3</v>
      </c>
      <c r="AL751" t="s">
        <v>2011</v>
      </c>
      <c r="AM751" t="s">
        <v>2012</v>
      </c>
      <c r="AN751" t="s">
        <v>2013</v>
      </c>
      <c r="AO751" t="s">
        <v>74</v>
      </c>
      <c r="AP751" t="s">
        <v>3554</v>
      </c>
      <c r="AQ751" t="s">
        <v>74</v>
      </c>
      <c r="AR751" t="s">
        <v>3543</v>
      </c>
      <c r="AS751" t="s">
        <v>3555</v>
      </c>
      <c r="AT751" t="s">
        <v>12668</v>
      </c>
      <c r="AU751">
        <v>2019</v>
      </c>
      <c r="AV751">
        <v>9</v>
      </c>
      <c r="AW751">
        <v>2</v>
      </c>
      <c r="AX751" t="s">
        <v>74</v>
      </c>
      <c r="AY751" t="s">
        <v>74</v>
      </c>
      <c r="AZ751" t="s">
        <v>74</v>
      </c>
      <c r="BA751" t="s">
        <v>74</v>
      </c>
      <c r="BB751" t="s">
        <v>74</v>
      </c>
      <c r="BC751" t="s">
        <v>74</v>
      </c>
      <c r="BD751">
        <v>56</v>
      </c>
      <c r="BE751" t="s">
        <v>14583</v>
      </c>
      <c r="BF751" t="str">
        <f>HYPERLINK("http://dx.doi.org/10.3390/geosciences9020056","http://dx.doi.org/10.3390/geosciences9020056")</f>
        <v>http://dx.doi.org/10.3390/geosciences9020056</v>
      </c>
      <c r="BG751" t="s">
        <v>74</v>
      </c>
      <c r="BH751" t="s">
        <v>74</v>
      </c>
      <c r="BI751">
        <v>17</v>
      </c>
      <c r="BJ751" t="s">
        <v>922</v>
      </c>
      <c r="BK751" t="s">
        <v>2712</v>
      </c>
      <c r="BL751" t="s">
        <v>923</v>
      </c>
      <c r="BM751" t="s">
        <v>14584</v>
      </c>
      <c r="BN751" t="s">
        <v>74</v>
      </c>
      <c r="BO751" t="s">
        <v>1415</v>
      </c>
      <c r="BP751" t="s">
        <v>74</v>
      </c>
      <c r="BQ751" t="s">
        <v>74</v>
      </c>
      <c r="BR751" t="s">
        <v>107</v>
      </c>
      <c r="BS751" t="s">
        <v>14585</v>
      </c>
      <c r="BT751" t="str">
        <f>HYPERLINK("https%3A%2F%2Fwww.webofscience.com%2Fwos%2Fwoscc%2Ffull-record%2FWOS:000460761900001","View Full Record in Web of Science")</f>
        <v>View Full Record in Web of Science</v>
      </c>
    </row>
    <row r="752" spans="1:72" x14ac:dyDescent="0.15">
      <c r="A752" t="s">
        <v>72</v>
      </c>
      <c r="B752" t="s">
        <v>14586</v>
      </c>
      <c r="C752" t="s">
        <v>74</v>
      </c>
      <c r="D752" t="s">
        <v>74</v>
      </c>
      <c r="E752" t="s">
        <v>74</v>
      </c>
      <c r="F752" t="s">
        <v>14587</v>
      </c>
      <c r="G752" t="s">
        <v>74</v>
      </c>
      <c r="H752" t="s">
        <v>74</v>
      </c>
      <c r="I752" t="s">
        <v>14588</v>
      </c>
      <c r="J752" t="s">
        <v>9281</v>
      </c>
      <c r="K752" t="s">
        <v>74</v>
      </c>
      <c r="L752" t="s">
        <v>74</v>
      </c>
      <c r="M752" t="s">
        <v>78</v>
      </c>
      <c r="N752" t="s">
        <v>79</v>
      </c>
      <c r="O752" t="s">
        <v>74</v>
      </c>
      <c r="P752" t="s">
        <v>74</v>
      </c>
      <c r="Q752" t="s">
        <v>74</v>
      </c>
      <c r="R752" t="s">
        <v>74</v>
      </c>
      <c r="S752" t="s">
        <v>74</v>
      </c>
      <c r="T752" t="s">
        <v>14589</v>
      </c>
      <c r="U752" t="s">
        <v>14590</v>
      </c>
      <c r="V752" t="s">
        <v>14591</v>
      </c>
      <c r="W752" t="s">
        <v>14592</v>
      </c>
      <c r="X752" t="s">
        <v>14593</v>
      </c>
      <c r="Y752" t="s">
        <v>14594</v>
      </c>
      <c r="Z752" t="s">
        <v>14595</v>
      </c>
      <c r="AA752" t="s">
        <v>14596</v>
      </c>
      <c r="AB752" t="s">
        <v>14597</v>
      </c>
      <c r="AC752" t="s">
        <v>14598</v>
      </c>
      <c r="AD752" t="s">
        <v>14599</v>
      </c>
      <c r="AE752" t="s">
        <v>14600</v>
      </c>
      <c r="AF752" t="s">
        <v>74</v>
      </c>
      <c r="AG752">
        <v>135</v>
      </c>
      <c r="AH752">
        <v>29</v>
      </c>
      <c r="AI752">
        <v>29</v>
      </c>
      <c r="AJ752">
        <v>0</v>
      </c>
      <c r="AK752">
        <v>26</v>
      </c>
      <c r="AL752" t="s">
        <v>662</v>
      </c>
      <c r="AM752" t="s">
        <v>635</v>
      </c>
      <c r="AN752" t="s">
        <v>663</v>
      </c>
      <c r="AO752" t="s">
        <v>9294</v>
      </c>
      <c r="AP752" t="s">
        <v>9295</v>
      </c>
      <c r="AQ752" t="s">
        <v>74</v>
      </c>
      <c r="AR752" t="s">
        <v>9296</v>
      </c>
      <c r="AS752" t="s">
        <v>9297</v>
      </c>
      <c r="AT752" t="s">
        <v>12668</v>
      </c>
      <c r="AU752">
        <v>2019</v>
      </c>
      <c r="AV752">
        <v>173</v>
      </c>
      <c r="AW752" t="s">
        <v>74</v>
      </c>
      <c r="AX752" t="s">
        <v>74</v>
      </c>
      <c r="AY752" t="s">
        <v>74</v>
      </c>
      <c r="AZ752" t="s">
        <v>74</v>
      </c>
      <c r="BA752" t="s">
        <v>74</v>
      </c>
      <c r="BB752">
        <v>61</v>
      </c>
      <c r="BC752">
        <v>72</v>
      </c>
      <c r="BD752" t="s">
        <v>74</v>
      </c>
      <c r="BE752" t="s">
        <v>14601</v>
      </c>
      <c r="BF752" t="str">
        <f>HYPERLINK("http://dx.doi.org/10.1016/j.gloplacha.2018.12.007","http://dx.doi.org/10.1016/j.gloplacha.2018.12.007")</f>
        <v>http://dx.doi.org/10.1016/j.gloplacha.2018.12.007</v>
      </c>
      <c r="BG752" t="s">
        <v>74</v>
      </c>
      <c r="BH752" t="s">
        <v>74</v>
      </c>
      <c r="BI752">
        <v>12</v>
      </c>
      <c r="BJ752" t="s">
        <v>1142</v>
      </c>
      <c r="BK752" t="s">
        <v>102</v>
      </c>
      <c r="BL752" t="s">
        <v>1143</v>
      </c>
      <c r="BM752" t="s">
        <v>14602</v>
      </c>
      <c r="BN752" t="s">
        <v>74</v>
      </c>
      <c r="BO752" t="s">
        <v>74</v>
      </c>
      <c r="BP752" t="s">
        <v>74</v>
      </c>
      <c r="BQ752" t="s">
        <v>74</v>
      </c>
      <c r="BR752" t="s">
        <v>107</v>
      </c>
      <c r="BS752" t="s">
        <v>14603</v>
      </c>
      <c r="BT752" t="str">
        <f>HYPERLINK("https%3A%2F%2Fwww.webofscience.com%2Fwos%2Fwoscc%2Ffull-record%2FWOS:000457512400007","View Full Record in Web of Science")</f>
        <v>View Full Record in Web of Science</v>
      </c>
    </row>
    <row r="753" spans="1:72" x14ac:dyDescent="0.15">
      <c r="A753" t="s">
        <v>72</v>
      </c>
      <c r="B753" t="s">
        <v>14604</v>
      </c>
      <c r="C753" t="s">
        <v>74</v>
      </c>
      <c r="D753" t="s">
        <v>74</v>
      </c>
      <c r="E753" t="s">
        <v>74</v>
      </c>
      <c r="F753" t="s">
        <v>14605</v>
      </c>
      <c r="G753" t="s">
        <v>74</v>
      </c>
      <c r="H753" t="s">
        <v>74</v>
      </c>
      <c r="I753" t="s">
        <v>14606</v>
      </c>
      <c r="J753" t="s">
        <v>5047</v>
      </c>
      <c r="K753" t="s">
        <v>74</v>
      </c>
      <c r="L753" t="s">
        <v>74</v>
      </c>
      <c r="M753" t="s">
        <v>78</v>
      </c>
      <c r="N753" t="s">
        <v>79</v>
      </c>
      <c r="O753" t="s">
        <v>74</v>
      </c>
      <c r="P753" t="s">
        <v>74</v>
      </c>
      <c r="Q753" t="s">
        <v>74</v>
      </c>
      <c r="R753" t="s">
        <v>74</v>
      </c>
      <c r="S753" t="s">
        <v>74</v>
      </c>
      <c r="T753" t="s">
        <v>14607</v>
      </c>
      <c r="U753" t="s">
        <v>14608</v>
      </c>
      <c r="V753" t="s">
        <v>14609</v>
      </c>
      <c r="W753" t="s">
        <v>14610</v>
      </c>
      <c r="X753" t="s">
        <v>14611</v>
      </c>
      <c r="Y753" t="s">
        <v>14612</v>
      </c>
      <c r="Z753" t="s">
        <v>14613</v>
      </c>
      <c r="AA753" t="s">
        <v>14614</v>
      </c>
      <c r="AB753" t="s">
        <v>14615</v>
      </c>
      <c r="AC753" t="s">
        <v>14616</v>
      </c>
      <c r="AD753" t="s">
        <v>14617</v>
      </c>
      <c r="AE753" t="s">
        <v>14616</v>
      </c>
      <c r="AF753" t="s">
        <v>74</v>
      </c>
      <c r="AG753">
        <v>61</v>
      </c>
      <c r="AH753">
        <v>112</v>
      </c>
      <c r="AI753">
        <v>119</v>
      </c>
      <c r="AJ753">
        <v>10</v>
      </c>
      <c r="AK753">
        <v>207</v>
      </c>
      <c r="AL753" t="s">
        <v>153</v>
      </c>
      <c r="AM753" t="s">
        <v>154</v>
      </c>
      <c r="AN753" t="s">
        <v>155</v>
      </c>
      <c r="AO753" t="s">
        <v>5059</v>
      </c>
      <c r="AP753" t="s">
        <v>5060</v>
      </c>
      <c r="AQ753" t="s">
        <v>74</v>
      </c>
      <c r="AR753" t="s">
        <v>5061</v>
      </c>
      <c r="AS753" t="s">
        <v>5062</v>
      </c>
      <c r="AT753" t="s">
        <v>12668</v>
      </c>
      <c r="AU753">
        <v>2019</v>
      </c>
      <c r="AV753">
        <v>25</v>
      </c>
      <c r="AW753">
        <v>2</v>
      </c>
      <c r="AX753" t="s">
        <v>74</v>
      </c>
      <c r="AY753" t="s">
        <v>74</v>
      </c>
      <c r="AZ753" t="s">
        <v>74</v>
      </c>
      <c r="BA753" t="s">
        <v>74</v>
      </c>
      <c r="BB753">
        <v>459</v>
      </c>
      <c r="BC753">
        <v>472</v>
      </c>
      <c r="BD753" t="s">
        <v>74</v>
      </c>
      <c r="BE753" t="s">
        <v>14618</v>
      </c>
      <c r="BF753" t="str">
        <f>HYPERLINK("http://dx.doi.org/10.1111/gcb.14512","http://dx.doi.org/10.1111/gcb.14512")</f>
        <v>http://dx.doi.org/10.1111/gcb.14512</v>
      </c>
      <c r="BG753" t="s">
        <v>74</v>
      </c>
      <c r="BH753" t="s">
        <v>74</v>
      </c>
      <c r="BI753">
        <v>14</v>
      </c>
      <c r="BJ753" t="s">
        <v>5064</v>
      </c>
      <c r="BK753" t="s">
        <v>102</v>
      </c>
      <c r="BL753" t="s">
        <v>5065</v>
      </c>
      <c r="BM753" t="s">
        <v>14619</v>
      </c>
      <c r="BN753">
        <v>30408274</v>
      </c>
      <c r="BO753" t="s">
        <v>7156</v>
      </c>
      <c r="BP753" t="s">
        <v>74</v>
      </c>
      <c r="BQ753" t="s">
        <v>74</v>
      </c>
      <c r="BR753" t="s">
        <v>107</v>
      </c>
      <c r="BS753" t="s">
        <v>14620</v>
      </c>
      <c r="BT753" t="str">
        <f>HYPERLINK("https%3A%2F%2Fwww.webofscience.com%2Fwos%2Fwoscc%2Ffull-record%2FWOS:000456028900008","View Full Record in Web of Science")</f>
        <v>View Full Record in Web of Science</v>
      </c>
    </row>
    <row r="754" spans="1:72" x14ac:dyDescent="0.15">
      <c r="A754" t="s">
        <v>72</v>
      </c>
      <c r="B754" t="s">
        <v>14621</v>
      </c>
      <c r="C754" t="s">
        <v>74</v>
      </c>
      <c r="D754" t="s">
        <v>74</v>
      </c>
      <c r="E754" t="s">
        <v>74</v>
      </c>
      <c r="F754" t="s">
        <v>14622</v>
      </c>
      <c r="G754" t="s">
        <v>74</v>
      </c>
      <c r="H754" t="s">
        <v>74</v>
      </c>
      <c r="I754" t="s">
        <v>14623</v>
      </c>
      <c r="J754" t="s">
        <v>5047</v>
      </c>
      <c r="K754" t="s">
        <v>74</v>
      </c>
      <c r="L754" t="s">
        <v>74</v>
      </c>
      <c r="M754" t="s">
        <v>78</v>
      </c>
      <c r="N754" t="s">
        <v>79</v>
      </c>
      <c r="O754" t="s">
        <v>74</v>
      </c>
      <c r="P754" t="s">
        <v>74</v>
      </c>
      <c r="Q754" t="s">
        <v>74</v>
      </c>
      <c r="R754" t="s">
        <v>74</v>
      </c>
      <c r="S754" t="s">
        <v>74</v>
      </c>
      <c r="T754" t="s">
        <v>14624</v>
      </c>
      <c r="U754" t="s">
        <v>14625</v>
      </c>
      <c r="V754" t="s">
        <v>14626</v>
      </c>
      <c r="W754" t="s">
        <v>14627</v>
      </c>
      <c r="X754" t="s">
        <v>14628</v>
      </c>
      <c r="Y754" t="s">
        <v>14629</v>
      </c>
      <c r="Z754" t="s">
        <v>14630</v>
      </c>
      <c r="AA754" t="s">
        <v>14631</v>
      </c>
      <c r="AB754" t="s">
        <v>14632</v>
      </c>
      <c r="AC754" t="s">
        <v>14633</v>
      </c>
      <c r="AD754" t="s">
        <v>14634</v>
      </c>
      <c r="AE754" t="s">
        <v>14635</v>
      </c>
      <c r="AF754" t="s">
        <v>74</v>
      </c>
      <c r="AG754">
        <v>44</v>
      </c>
      <c r="AH754">
        <v>21</v>
      </c>
      <c r="AI754">
        <v>25</v>
      </c>
      <c r="AJ754">
        <v>14</v>
      </c>
      <c r="AK754">
        <v>152</v>
      </c>
      <c r="AL754" t="s">
        <v>153</v>
      </c>
      <c r="AM754" t="s">
        <v>154</v>
      </c>
      <c r="AN754" t="s">
        <v>155</v>
      </c>
      <c r="AO754" t="s">
        <v>5059</v>
      </c>
      <c r="AP754" t="s">
        <v>5060</v>
      </c>
      <c r="AQ754" t="s">
        <v>74</v>
      </c>
      <c r="AR754" t="s">
        <v>5061</v>
      </c>
      <c r="AS754" t="s">
        <v>5062</v>
      </c>
      <c r="AT754" t="s">
        <v>12668</v>
      </c>
      <c r="AU754">
        <v>2019</v>
      </c>
      <c r="AV754">
        <v>25</v>
      </c>
      <c r="AW754">
        <v>2</v>
      </c>
      <c r="AX754" t="s">
        <v>74</v>
      </c>
      <c r="AY754" t="s">
        <v>74</v>
      </c>
      <c r="AZ754" t="s">
        <v>74</v>
      </c>
      <c r="BA754" t="s">
        <v>74</v>
      </c>
      <c r="BB754">
        <v>629</v>
      </c>
      <c r="BC754">
        <v>639</v>
      </c>
      <c r="BD754" t="s">
        <v>74</v>
      </c>
      <c r="BE754" t="s">
        <v>14636</v>
      </c>
      <c r="BF754" t="str">
        <f>HYPERLINK("http://dx.doi.org/10.1111/gcb.14467","http://dx.doi.org/10.1111/gcb.14467")</f>
        <v>http://dx.doi.org/10.1111/gcb.14467</v>
      </c>
      <c r="BG754" t="s">
        <v>74</v>
      </c>
      <c r="BH754" t="s">
        <v>74</v>
      </c>
      <c r="BI754">
        <v>11</v>
      </c>
      <c r="BJ754" t="s">
        <v>5064</v>
      </c>
      <c r="BK754" t="s">
        <v>102</v>
      </c>
      <c r="BL754" t="s">
        <v>5065</v>
      </c>
      <c r="BM754" t="s">
        <v>14619</v>
      </c>
      <c r="BN754">
        <v>30295390</v>
      </c>
      <c r="BO754" t="s">
        <v>5573</v>
      </c>
      <c r="BP754" t="s">
        <v>74</v>
      </c>
      <c r="BQ754" t="s">
        <v>74</v>
      </c>
      <c r="BR754" t="s">
        <v>107</v>
      </c>
      <c r="BS754" t="s">
        <v>14637</v>
      </c>
      <c r="BT754" t="str">
        <f>HYPERLINK("https%3A%2F%2Fwww.webofscience.com%2Fwos%2Fwoscc%2Ffull-record%2FWOS:000456028900020","View Full Record in Web of Science")</f>
        <v>View Full Record in Web of Science</v>
      </c>
    </row>
    <row r="755" spans="1:72" x14ac:dyDescent="0.15">
      <c r="A755" t="s">
        <v>72</v>
      </c>
      <c r="B755" t="s">
        <v>14638</v>
      </c>
      <c r="C755" t="s">
        <v>74</v>
      </c>
      <c r="D755" t="s">
        <v>74</v>
      </c>
      <c r="E755" t="s">
        <v>74</v>
      </c>
      <c r="F755" t="s">
        <v>14639</v>
      </c>
      <c r="G755" t="s">
        <v>74</v>
      </c>
      <c r="H755" t="s">
        <v>74</v>
      </c>
      <c r="I755" t="s">
        <v>14640</v>
      </c>
      <c r="J755" t="s">
        <v>3701</v>
      </c>
      <c r="K755" t="s">
        <v>74</v>
      </c>
      <c r="L755" t="s">
        <v>74</v>
      </c>
      <c r="M755" t="s">
        <v>78</v>
      </c>
      <c r="N755" t="s">
        <v>79</v>
      </c>
      <c r="O755" t="s">
        <v>74</v>
      </c>
      <c r="P755" t="s">
        <v>74</v>
      </c>
      <c r="Q755" t="s">
        <v>74</v>
      </c>
      <c r="R755" t="s">
        <v>74</v>
      </c>
      <c r="S755" t="s">
        <v>74</v>
      </c>
      <c r="T755" t="s">
        <v>14641</v>
      </c>
      <c r="U755" t="s">
        <v>14642</v>
      </c>
      <c r="V755" t="s">
        <v>14643</v>
      </c>
      <c r="W755" t="s">
        <v>14644</v>
      </c>
      <c r="X755" t="s">
        <v>5118</v>
      </c>
      <c r="Y755" t="s">
        <v>14645</v>
      </c>
      <c r="Z755" t="s">
        <v>14646</v>
      </c>
      <c r="AA755" t="s">
        <v>14647</v>
      </c>
      <c r="AB755" t="s">
        <v>14648</v>
      </c>
      <c r="AC755" t="s">
        <v>14649</v>
      </c>
      <c r="AD755" t="s">
        <v>14650</v>
      </c>
      <c r="AE755" t="s">
        <v>14651</v>
      </c>
      <c r="AF755" t="s">
        <v>74</v>
      </c>
      <c r="AG755">
        <v>58</v>
      </c>
      <c r="AH755">
        <v>16</v>
      </c>
      <c r="AI755">
        <v>17</v>
      </c>
      <c r="AJ755">
        <v>0</v>
      </c>
      <c r="AK755">
        <v>13</v>
      </c>
      <c r="AL755" t="s">
        <v>153</v>
      </c>
      <c r="AM755" t="s">
        <v>154</v>
      </c>
      <c r="AN755" t="s">
        <v>155</v>
      </c>
      <c r="AO755" t="s">
        <v>3714</v>
      </c>
      <c r="AP755" t="s">
        <v>3715</v>
      </c>
      <c r="AQ755" t="s">
        <v>74</v>
      </c>
      <c r="AR755" t="s">
        <v>3716</v>
      </c>
      <c r="AS755" t="s">
        <v>3717</v>
      </c>
      <c r="AT755" t="s">
        <v>12668</v>
      </c>
      <c r="AU755">
        <v>2019</v>
      </c>
      <c r="AV755">
        <v>39</v>
      </c>
      <c r="AW755">
        <v>2</v>
      </c>
      <c r="AX755" t="s">
        <v>74</v>
      </c>
      <c r="AY755" t="s">
        <v>74</v>
      </c>
      <c r="AZ755" t="s">
        <v>74</v>
      </c>
      <c r="BA755" t="s">
        <v>74</v>
      </c>
      <c r="BB755">
        <v>643</v>
      </c>
      <c r="BC755">
        <v>657</v>
      </c>
      <c r="BD755" t="s">
        <v>74</v>
      </c>
      <c r="BE755" t="s">
        <v>14652</v>
      </c>
      <c r="BF755" t="str">
        <f>HYPERLINK("http://dx.doi.org/10.1002/joc.5832","http://dx.doi.org/10.1002/joc.5832")</f>
        <v>http://dx.doi.org/10.1002/joc.5832</v>
      </c>
      <c r="BG755" t="s">
        <v>74</v>
      </c>
      <c r="BH755" t="s">
        <v>74</v>
      </c>
      <c r="BI755">
        <v>15</v>
      </c>
      <c r="BJ755" t="s">
        <v>133</v>
      </c>
      <c r="BK755" t="s">
        <v>102</v>
      </c>
      <c r="BL755" t="s">
        <v>133</v>
      </c>
      <c r="BM755" t="s">
        <v>13315</v>
      </c>
      <c r="BN755" t="s">
        <v>74</v>
      </c>
      <c r="BO755" t="s">
        <v>74</v>
      </c>
      <c r="BP755" t="s">
        <v>74</v>
      </c>
      <c r="BQ755" t="s">
        <v>74</v>
      </c>
      <c r="BR755" t="s">
        <v>107</v>
      </c>
      <c r="BS755" t="s">
        <v>14653</v>
      </c>
      <c r="BT755" t="str">
        <f>HYPERLINK("https%3A%2F%2Fwww.webofscience.com%2Fwos%2Fwoscc%2Ffull-record%2FWOS:000459665000005","View Full Record in Web of Science")</f>
        <v>View Full Record in Web of Science</v>
      </c>
    </row>
    <row r="756" spans="1:72" x14ac:dyDescent="0.15">
      <c r="A756" t="s">
        <v>72</v>
      </c>
      <c r="B756" t="s">
        <v>14654</v>
      </c>
      <c r="C756" t="s">
        <v>74</v>
      </c>
      <c r="D756" t="s">
        <v>74</v>
      </c>
      <c r="E756" t="s">
        <v>74</v>
      </c>
      <c r="F756" t="s">
        <v>14655</v>
      </c>
      <c r="G756" t="s">
        <v>74</v>
      </c>
      <c r="H756" t="s">
        <v>74</v>
      </c>
      <c r="I756" t="s">
        <v>14656</v>
      </c>
      <c r="J756" t="s">
        <v>10537</v>
      </c>
      <c r="K756" t="s">
        <v>74</v>
      </c>
      <c r="L756" t="s">
        <v>74</v>
      </c>
      <c r="M756" t="s">
        <v>78</v>
      </c>
      <c r="N756" t="s">
        <v>79</v>
      </c>
      <c r="O756" t="s">
        <v>74</v>
      </c>
      <c r="P756" t="s">
        <v>74</v>
      </c>
      <c r="Q756" t="s">
        <v>74</v>
      </c>
      <c r="R756" t="s">
        <v>74</v>
      </c>
      <c r="S756" t="s">
        <v>74</v>
      </c>
      <c r="T756" t="s">
        <v>74</v>
      </c>
      <c r="U756" t="s">
        <v>14657</v>
      </c>
      <c r="V756" t="s">
        <v>14658</v>
      </c>
      <c r="W756" t="s">
        <v>14659</v>
      </c>
      <c r="X756" t="s">
        <v>14660</v>
      </c>
      <c r="Y756" t="s">
        <v>14661</v>
      </c>
      <c r="Z756" t="s">
        <v>14662</v>
      </c>
      <c r="AA756" t="s">
        <v>14663</v>
      </c>
      <c r="AB756" t="s">
        <v>14664</v>
      </c>
      <c r="AC756" t="s">
        <v>14665</v>
      </c>
      <c r="AD756" t="s">
        <v>14666</v>
      </c>
      <c r="AE756" t="s">
        <v>14667</v>
      </c>
      <c r="AF756" t="s">
        <v>74</v>
      </c>
      <c r="AG756">
        <v>121</v>
      </c>
      <c r="AH756">
        <v>18</v>
      </c>
      <c r="AI756">
        <v>19</v>
      </c>
      <c r="AJ756">
        <v>1</v>
      </c>
      <c r="AK756">
        <v>46</v>
      </c>
      <c r="AL756" t="s">
        <v>9147</v>
      </c>
      <c r="AM756" t="s">
        <v>329</v>
      </c>
      <c r="AN756" t="s">
        <v>9148</v>
      </c>
      <c r="AO756" t="s">
        <v>10549</v>
      </c>
      <c r="AP756" t="s">
        <v>10550</v>
      </c>
      <c r="AQ756" t="s">
        <v>74</v>
      </c>
      <c r="AR756" t="s">
        <v>10551</v>
      </c>
      <c r="AS756" t="s">
        <v>10552</v>
      </c>
      <c r="AT756" t="s">
        <v>12668</v>
      </c>
      <c r="AU756">
        <v>2019</v>
      </c>
      <c r="AV756">
        <v>13</v>
      </c>
      <c r="AW756">
        <v>2</v>
      </c>
      <c r="AX756" t="s">
        <v>74</v>
      </c>
      <c r="AY756" t="s">
        <v>74</v>
      </c>
      <c r="AZ756" t="s">
        <v>74</v>
      </c>
      <c r="BA756" t="s">
        <v>74</v>
      </c>
      <c r="BB756">
        <v>316</v>
      </c>
      <c r="BC756">
        <v>333</v>
      </c>
      <c r="BD756" t="s">
        <v>74</v>
      </c>
      <c r="BE756" t="s">
        <v>14668</v>
      </c>
      <c r="BF756" t="str">
        <f>HYPERLINK("http://dx.doi.org/10.1038/s41396-018-0268-9","http://dx.doi.org/10.1038/s41396-018-0268-9")</f>
        <v>http://dx.doi.org/10.1038/s41396-018-0268-9</v>
      </c>
      <c r="BG756" t="s">
        <v>74</v>
      </c>
      <c r="BH756" t="s">
        <v>74</v>
      </c>
      <c r="BI756">
        <v>18</v>
      </c>
      <c r="BJ756" t="s">
        <v>10554</v>
      </c>
      <c r="BK756" t="s">
        <v>102</v>
      </c>
      <c r="BL756" t="s">
        <v>4969</v>
      </c>
      <c r="BM756" t="s">
        <v>14669</v>
      </c>
      <c r="BN756">
        <v>30228379</v>
      </c>
      <c r="BO756" t="s">
        <v>223</v>
      </c>
      <c r="BP756" t="s">
        <v>74</v>
      </c>
      <c r="BQ756" t="s">
        <v>74</v>
      </c>
      <c r="BR756" t="s">
        <v>107</v>
      </c>
      <c r="BS756" t="s">
        <v>14670</v>
      </c>
      <c r="BT756" t="str">
        <f>HYPERLINK("https%3A%2F%2Fwww.webofscience.com%2Fwos%2Fwoscc%2Ffull-record%2FWOS:000455747900007","View Full Record in Web of Science")</f>
        <v>View Full Record in Web of Science</v>
      </c>
    </row>
    <row r="757" spans="1:72" x14ac:dyDescent="0.15">
      <c r="A757" t="s">
        <v>72</v>
      </c>
      <c r="B757" t="s">
        <v>14671</v>
      </c>
      <c r="C757" t="s">
        <v>74</v>
      </c>
      <c r="D757" t="s">
        <v>74</v>
      </c>
      <c r="E757" t="s">
        <v>74</v>
      </c>
      <c r="F757" t="s">
        <v>14672</v>
      </c>
      <c r="G757" t="s">
        <v>74</v>
      </c>
      <c r="H757" t="s">
        <v>74</v>
      </c>
      <c r="I757" t="s">
        <v>14673</v>
      </c>
      <c r="J757" t="s">
        <v>14674</v>
      </c>
      <c r="K757" t="s">
        <v>74</v>
      </c>
      <c r="L757" t="s">
        <v>74</v>
      </c>
      <c r="M757" t="s">
        <v>78</v>
      </c>
      <c r="N757" t="s">
        <v>79</v>
      </c>
      <c r="O757" t="s">
        <v>74</v>
      </c>
      <c r="P757" t="s">
        <v>74</v>
      </c>
      <c r="Q757" t="s">
        <v>74</v>
      </c>
      <c r="R757" t="s">
        <v>74</v>
      </c>
      <c r="S757" t="s">
        <v>74</v>
      </c>
      <c r="T757" t="s">
        <v>14675</v>
      </c>
      <c r="U757" t="s">
        <v>14676</v>
      </c>
      <c r="V757" t="s">
        <v>14677</v>
      </c>
      <c r="W757" t="s">
        <v>14678</v>
      </c>
      <c r="X757" t="s">
        <v>14679</v>
      </c>
      <c r="Y757" t="s">
        <v>14680</v>
      </c>
      <c r="Z757" t="s">
        <v>14681</v>
      </c>
      <c r="AA757" t="s">
        <v>14682</v>
      </c>
      <c r="AB757" t="s">
        <v>14683</v>
      </c>
      <c r="AC757" t="s">
        <v>14684</v>
      </c>
      <c r="AD757" t="s">
        <v>3782</v>
      </c>
      <c r="AE757" t="s">
        <v>14685</v>
      </c>
      <c r="AF757" t="s">
        <v>74</v>
      </c>
      <c r="AG757">
        <v>76</v>
      </c>
      <c r="AH757">
        <v>13</v>
      </c>
      <c r="AI757">
        <v>16</v>
      </c>
      <c r="AJ757">
        <v>2</v>
      </c>
      <c r="AK757">
        <v>30</v>
      </c>
      <c r="AL757" t="s">
        <v>153</v>
      </c>
      <c r="AM757" t="s">
        <v>154</v>
      </c>
      <c r="AN757" t="s">
        <v>155</v>
      </c>
      <c r="AO757" t="s">
        <v>14686</v>
      </c>
      <c r="AP757" t="s">
        <v>14687</v>
      </c>
      <c r="AQ757" t="s">
        <v>74</v>
      </c>
      <c r="AR757" t="s">
        <v>14688</v>
      </c>
      <c r="AS757" t="s">
        <v>14689</v>
      </c>
      <c r="AT757" t="s">
        <v>12668</v>
      </c>
      <c r="AU757">
        <v>2019</v>
      </c>
      <c r="AV757">
        <v>88</v>
      </c>
      <c r="AW757">
        <v>2</v>
      </c>
      <c r="AX757" t="s">
        <v>74</v>
      </c>
      <c r="AY757" t="s">
        <v>74</v>
      </c>
      <c r="AZ757" t="s">
        <v>74</v>
      </c>
      <c r="BA757" t="s">
        <v>74</v>
      </c>
      <c r="BB757">
        <v>223</v>
      </c>
      <c r="BC757">
        <v>235</v>
      </c>
      <c r="BD757" t="s">
        <v>74</v>
      </c>
      <c r="BE757" t="s">
        <v>14690</v>
      </c>
      <c r="BF757" t="str">
        <f>HYPERLINK("http://dx.doi.org/10.1111/1365-2656.12919","http://dx.doi.org/10.1111/1365-2656.12919")</f>
        <v>http://dx.doi.org/10.1111/1365-2656.12919</v>
      </c>
      <c r="BG757" t="s">
        <v>74</v>
      </c>
      <c r="BH757" t="s">
        <v>74</v>
      </c>
      <c r="BI757">
        <v>13</v>
      </c>
      <c r="BJ757" t="s">
        <v>5992</v>
      </c>
      <c r="BK757" t="s">
        <v>102</v>
      </c>
      <c r="BL757" t="s">
        <v>5993</v>
      </c>
      <c r="BM757" t="s">
        <v>14691</v>
      </c>
      <c r="BN757">
        <v>30378103</v>
      </c>
      <c r="BO757" t="s">
        <v>7783</v>
      </c>
      <c r="BP757" t="s">
        <v>74</v>
      </c>
      <c r="BQ757" t="s">
        <v>74</v>
      </c>
      <c r="BR757" t="s">
        <v>107</v>
      </c>
      <c r="BS757" t="s">
        <v>14692</v>
      </c>
      <c r="BT757" t="str">
        <f>HYPERLINK("https%3A%2F%2Fwww.webofscience.com%2Fwos%2Fwoscc%2Ffull-record%2FWOS:000458963200004","View Full Record in Web of Science")</f>
        <v>View Full Record in Web of Science</v>
      </c>
    </row>
    <row r="758" spans="1:72" x14ac:dyDescent="0.15">
      <c r="A758" t="s">
        <v>72</v>
      </c>
      <c r="B758" t="s">
        <v>14693</v>
      </c>
      <c r="C758" t="s">
        <v>74</v>
      </c>
      <c r="D758" t="s">
        <v>74</v>
      </c>
      <c r="E758" t="s">
        <v>74</v>
      </c>
      <c r="F758" t="s">
        <v>14694</v>
      </c>
      <c r="G758" t="s">
        <v>74</v>
      </c>
      <c r="H758" t="s">
        <v>74</v>
      </c>
      <c r="I758" t="s">
        <v>14695</v>
      </c>
      <c r="J758" t="s">
        <v>4084</v>
      </c>
      <c r="K758" t="s">
        <v>74</v>
      </c>
      <c r="L758" t="s">
        <v>74</v>
      </c>
      <c r="M758" t="s">
        <v>78</v>
      </c>
      <c r="N758" t="s">
        <v>79</v>
      </c>
      <c r="O758" t="s">
        <v>74</v>
      </c>
      <c r="P758" t="s">
        <v>74</v>
      </c>
      <c r="Q758" t="s">
        <v>74</v>
      </c>
      <c r="R758" t="s">
        <v>74</v>
      </c>
      <c r="S758" t="s">
        <v>74</v>
      </c>
      <c r="T758" t="s">
        <v>14696</v>
      </c>
      <c r="U758" t="s">
        <v>14697</v>
      </c>
      <c r="V758" t="s">
        <v>14698</v>
      </c>
      <c r="W758" t="s">
        <v>14699</v>
      </c>
      <c r="X758" t="s">
        <v>14700</v>
      </c>
      <c r="Y758" t="s">
        <v>14701</v>
      </c>
      <c r="Z758" t="s">
        <v>14702</v>
      </c>
      <c r="AA758" t="s">
        <v>14703</v>
      </c>
      <c r="AB758" t="s">
        <v>14704</v>
      </c>
      <c r="AC758" t="s">
        <v>14705</v>
      </c>
      <c r="AD758" t="s">
        <v>14706</v>
      </c>
      <c r="AE758" t="s">
        <v>14707</v>
      </c>
      <c r="AF758" t="s">
        <v>74</v>
      </c>
      <c r="AG758">
        <v>83</v>
      </c>
      <c r="AH758">
        <v>12</v>
      </c>
      <c r="AI758">
        <v>12</v>
      </c>
      <c r="AJ758">
        <v>2</v>
      </c>
      <c r="AK758">
        <v>33</v>
      </c>
      <c r="AL758" t="s">
        <v>576</v>
      </c>
      <c r="AM758" t="s">
        <v>577</v>
      </c>
      <c r="AN758" t="s">
        <v>578</v>
      </c>
      <c r="AO758" t="s">
        <v>4100</v>
      </c>
      <c r="AP758" t="s">
        <v>4101</v>
      </c>
      <c r="AQ758" t="s">
        <v>74</v>
      </c>
      <c r="AR758" t="s">
        <v>4102</v>
      </c>
      <c r="AS758" t="s">
        <v>4103</v>
      </c>
      <c r="AT758" t="s">
        <v>12668</v>
      </c>
      <c r="AU758">
        <v>2019</v>
      </c>
      <c r="AV758">
        <v>31</v>
      </c>
      <c r="AW758">
        <v>1</v>
      </c>
      <c r="AX758" t="s">
        <v>74</v>
      </c>
      <c r="AY758" t="s">
        <v>74</v>
      </c>
      <c r="AZ758" t="s">
        <v>74</v>
      </c>
      <c r="BA758" t="s">
        <v>74</v>
      </c>
      <c r="BB758">
        <v>665</v>
      </c>
      <c r="BC758">
        <v>682</v>
      </c>
      <c r="BD758" t="s">
        <v>74</v>
      </c>
      <c r="BE758" t="s">
        <v>14708</v>
      </c>
      <c r="BF758" t="str">
        <f>HYPERLINK("http://dx.doi.org/10.1007/s10811-018-1532-0","http://dx.doi.org/10.1007/s10811-018-1532-0")</f>
        <v>http://dx.doi.org/10.1007/s10811-018-1532-0</v>
      </c>
      <c r="BG758" t="s">
        <v>74</v>
      </c>
      <c r="BH758" t="s">
        <v>74</v>
      </c>
      <c r="BI758">
        <v>18</v>
      </c>
      <c r="BJ758" t="s">
        <v>4105</v>
      </c>
      <c r="BK758" t="s">
        <v>102</v>
      </c>
      <c r="BL758" t="s">
        <v>4105</v>
      </c>
      <c r="BM758" t="s">
        <v>14709</v>
      </c>
      <c r="BN758" t="s">
        <v>74</v>
      </c>
      <c r="BO758" t="s">
        <v>74</v>
      </c>
      <c r="BP758" t="s">
        <v>74</v>
      </c>
      <c r="BQ758" t="s">
        <v>74</v>
      </c>
      <c r="BR758" t="s">
        <v>107</v>
      </c>
      <c r="BS758" t="s">
        <v>14710</v>
      </c>
      <c r="BT758" t="str">
        <f>HYPERLINK("https%3A%2F%2Fwww.webofscience.com%2Fwos%2Fwoscc%2Ffull-record%2FWOS:000458698200058","View Full Record in Web of Science")</f>
        <v>View Full Record in Web of Science</v>
      </c>
    </row>
    <row r="759" spans="1:72" x14ac:dyDescent="0.15">
      <c r="A759" t="s">
        <v>72</v>
      </c>
      <c r="B759" t="s">
        <v>14711</v>
      </c>
      <c r="C759" t="s">
        <v>74</v>
      </c>
      <c r="D759" t="s">
        <v>74</v>
      </c>
      <c r="E759" t="s">
        <v>74</v>
      </c>
      <c r="F759" t="s">
        <v>14712</v>
      </c>
      <c r="G759" t="s">
        <v>74</v>
      </c>
      <c r="H759" t="s">
        <v>74</v>
      </c>
      <c r="I759" t="s">
        <v>14713</v>
      </c>
      <c r="J759" t="s">
        <v>14714</v>
      </c>
      <c r="K759" t="s">
        <v>74</v>
      </c>
      <c r="L759" t="s">
        <v>74</v>
      </c>
      <c r="M759" t="s">
        <v>78</v>
      </c>
      <c r="N759" t="s">
        <v>79</v>
      </c>
      <c r="O759" t="s">
        <v>74</v>
      </c>
      <c r="P759" t="s">
        <v>74</v>
      </c>
      <c r="Q759" t="s">
        <v>74</v>
      </c>
      <c r="R759" t="s">
        <v>74</v>
      </c>
      <c r="S759" t="s">
        <v>74</v>
      </c>
      <c r="T759" t="s">
        <v>14715</v>
      </c>
      <c r="U759" t="s">
        <v>14716</v>
      </c>
      <c r="V759" t="s">
        <v>14717</v>
      </c>
      <c r="W759" t="s">
        <v>14718</v>
      </c>
      <c r="X759" t="s">
        <v>14719</v>
      </c>
      <c r="Y759" t="s">
        <v>14720</v>
      </c>
      <c r="Z759" t="s">
        <v>14721</v>
      </c>
      <c r="AA759" t="s">
        <v>14722</v>
      </c>
      <c r="AB759" t="s">
        <v>74</v>
      </c>
      <c r="AC759" t="s">
        <v>14723</v>
      </c>
      <c r="AD759" t="s">
        <v>14724</v>
      </c>
      <c r="AE759" t="s">
        <v>14725</v>
      </c>
      <c r="AF759" t="s">
        <v>74</v>
      </c>
      <c r="AG759">
        <v>42</v>
      </c>
      <c r="AH759">
        <v>7</v>
      </c>
      <c r="AI759">
        <v>8</v>
      </c>
      <c r="AJ759">
        <v>4</v>
      </c>
      <c r="AK759">
        <v>12</v>
      </c>
      <c r="AL759" t="s">
        <v>153</v>
      </c>
      <c r="AM759" t="s">
        <v>154</v>
      </c>
      <c r="AN759" t="s">
        <v>155</v>
      </c>
      <c r="AO759" t="s">
        <v>14726</v>
      </c>
      <c r="AP759" t="s">
        <v>14727</v>
      </c>
      <c r="AQ759" t="s">
        <v>74</v>
      </c>
      <c r="AR759" t="s">
        <v>14728</v>
      </c>
      <c r="AS759" t="s">
        <v>14729</v>
      </c>
      <c r="AT759" t="s">
        <v>12668</v>
      </c>
      <c r="AU759">
        <v>2019</v>
      </c>
      <c r="AV759">
        <v>94</v>
      </c>
      <c r="AW759">
        <v>2</v>
      </c>
      <c r="AX759" t="s">
        <v>74</v>
      </c>
      <c r="AY759" t="s">
        <v>74</v>
      </c>
      <c r="AZ759" t="s">
        <v>74</v>
      </c>
      <c r="BA759" t="s">
        <v>74</v>
      </c>
      <c r="BB759">
        <v>251</v>
      </c>
      <c r="BC759">
        <v>260</v>
      </c>
      <c r="BD759" t="s">
        <v>74</v>
      </c>
      <c r="BE759" t="s">
        <v>14730</v>
      </c>
      <c r="BF759" t="str">
        <f>HYPERLINK("http://dx.doi.org/10.1111/jfb.13882","http://dx.doi.org/10.1111/jfb.13882")</f>
        <v>http://dx.doi.org/10.1111/jfb.13882</v>
      </c>
      <c r="BG759" t="s">
        <v>74</v>
      </c>
      <c r="BH759" t="s">
        <v>74</v>
      </c>
      <c r="BI759">
        <v>10</v>
      </c>
      <c r="BJ759" t="s">
        <v>4669</v>
      </c>
      <c r="BK759" t="s">
        <v>102</v>
      </c>
      <c r="BL759" t="s">
        <v>4669</v>
      </c>
      <c r="BM759" t="s">
        <v>14731</v>
      </c>
      <c r="BN759">
        <v>30548619</v>
      </c>
      <c r="BO759" t="s">
        <v>74</v>
      </c>
      <c r="BP759" t="s">
        <v>74</v>
      </c>
      <c r="BQ759" t="s">
        <v>74</v>
      </c>
      <c r="BR759" t="s">
        <v>107</v>
      </c>
      <c r="BS759" t="s">
        <v>14732</v>
      </c>
      <c r="BT759" t="str">
        <f>HYPERLINK("https%3A%2F%2Fwww.webofscience.com%2Fwos%2Fwoscc%2Ffull-record%2FWOS:000459212600006","View Full Record in Web of Science")</f>
        <v>View Full Record in Web of Science</v>
      </c>
    </row>
    <row r="760" spans="1:72" x14ac:dyDescent="0.15">
      <c r="A760" t="s">
        <v>72</v>
      </c>
      <c r="B760" t="s">
        <v>14733</v>
      </c>
      <c r="C760" t="s">
        <v>74</v>
      </c>
      <c r="D760" t="s">
        <v>74</v>
      </c>
      <c r="E760" t="s">
        <v>74</v>
      </c>
      <c r="F760" t="s">
        <v>14734</v>
      </c>
      <c r="G760" t="s">
        <v>74</v>
      </c>
      <c r="H760" t="s">
        <v>74</v>
      </c>
      <c r="I760" t="s">
        <v>14735</v>
      </c>
      <c r="J760" t="s">
        <v>14736</v>
      </c>
      <c r="K760" t="s">
        <v>74</v>
      </c>
      <c r="L760" t="s">
        <v>74</v>
      </c>
      <c r="M760" t="s">
        <v>78</v>
      </c>
      <c r="N760" t="s">
        <v>79</v>
      </c>
      <c r="O760" t="s">
        <v>74</v>
      </c>
      <c r="P760" t="s">
        <v>74</v>
      </c>
      <c r="Q760" t="s">
        <v>74</v>
      </c>
      <c r="R760" t="s">
        <v>74</v>
      </c>
      <c r="S760" t="s">
        <v>74</v>
      </c>
      <c r="T760" t="s">
        <v>14737</v>
      </c>
      <c r="U760" t="s">
        <v>14738</v>
      </c>
      <c r="V760" t="s">
        <v>14739</v>
      </c>
      <c r="W760" t="s">
        <v>14740</v>
      </c>
      <c r="X760" t="s">
        <v>14741</v>
      </c>
      <c r="Y760" t="s">
        <v>14742</v>
      </c>
      <c r="Z760" t="s">
        <v>14743</v>
      </c>
      <c r="AA760" t="s">
        <v>14744</v>
      </c>
      <c r="AB760" t="s">
        <v>14745</v>
      </c>
      <c r="AC760" t="s">
        <v>14746</v>
      </c>
      <c r="AD760" t="s">
        <v>14746</v>
      </c>
      <c r="AE760" t="s">
        <v>14747</v>
      </c>
      <c r="AF760" t="s">
        <v>74</v>
      </c>
      <c r="AG760">
        <v>97</v>
      </c>
      <c r="AH760">
        <v>26</v>
      </c>
      <c r="AI760">
        <v>28</v>
      </c>
      <c r="AJ760">
        <v>6</v>
      </c>
      <c r="AK760">
        <v>40</v>
      </c>
      <c r="AL760" t="s">
        <v>634</v>
      </c>
      <c r="AM760" t="s">
        <v>635</v>
      </c>
      <c r="AN760" t="s">
        <v>636</v>
      </c>
      <c r="AO760" t="s">
        <v>14748</v>
      </c>
      <c r="AP760" t="s">
        <v>14749</v>
      </c>
      <c r="AQ760" t="s">
        <v>74</v>
      </c>
      <c r="AR760" t="s">
        <v>14750</v>
      </c>
      <c r="AS760" t="s">
        <v>14751</v>
      </c>
      <c r="AT760" t="s">
        <v>12668</v>
      </c>
      <c r="AU760">
        <v>2019</v>
      </c>
      <c r="AV760">
        <v>190</v>
      </c>
      <c r="AW760" t="s">
        <v>74</v>
      </c>
      <c r="AX760" t="s">
        <v>74</v>
      </c>
      <c r="AY760" t="s">
        <v>74</v>
      </c>
      <c r="AZ760" t="s">
        <v>74</v>
      </c>
      <c r="BA760" t="s">
        <v>74</v>
      </c>
      <c r="BB760">
        <v>25</v>
      </c>
      <c r="BC760">
        <v>39</v>
      </c>
      <c r="BD760" t="s">
        <v>74</v>
      </c>
      <c r="BE760" t="s">
        <v>14752</v>
      </c>
      <c r="BF760" t="str">
        <f>HYPERLINK("http://dx.doi.org/10.1016/j.jmarsys.2018.11.002","http://dx.doi.org/10.1016/j.jmarsys.2018.11.002")</f>
        <v>http://dx.doi.org/10.1016/j.jmarsys.2018.11.002</v>
      </c>
      <c r="BG760" t="s">
        <v>74</v>
      </c>
      <c r="BH760" t="s">
        <v>74</v>
      </c>
      <c r="BI760">
        <v>15</v>
      </c>
      <c r="BJ760" t="s">
        <v>14753</v>
      </c>
      <c r="BK760" t="s">
        <v>102</v>
      </c>
      <c r="BL760" t="s">
        <v>14754</v>
      </c>
      <c r="BM760" t="s">
        <v>14755</v>
      </c>
      <c r="BN760" t="s">
        <v>74</v>
      </c>
      <c r="BO760" t="s">
        <v>403</v>
      </c>
      <c r="BP760" t="s">
        <v>74</v>
      </c>
      <c r="BQ760" t="s">
        <v>74</v>
      </c>
      <c r="BR760" t="s">
        <v>107</v>
      </c>
      <c r="BS760" t="s">
        <v>14756</v>
      </c>
      <c r="BT760" t="str">
        <f>HYPERLINK("https%3A%2F%2Fwww.webofscience.com%2Fwos%2Fwoscc%2Ffull-record%2FWOS:000452934800003","View Full Record in Web of Science")</f>
        <v>View Full Record in Web of Science</v>
      </c>
    </row>
    <row r="761" spans="1:72" x14ac:dyDescent="0.15">
      <c r="A761" t="s">
        <v>72</v>
      </c>
      <c r="B761" t="s">
        <v>14757</v>
      </c>
      <c r="C761" t="s">
        <v>74</v>
      </c>
      <c r="D761" t="s">
        <v>74</v>
      </c>
      <c r="E761" t="s">
        <v>74</v>
      </c>
      <c r="F761" t="s">
        <v>14758</v>
      </c>
      <c r="G761" t="s">
        <v>74</v>
      </c>
      <c r="H761" t="s">
        <v>74</v>
      </c>
      <c r="I761" t="s">
        <v>14759</v>
      </c>
      <c r="J761" t="s">
        <v>14760</v>
      </c>
      <c r="K761" t="s">
        <v>74</v>
      </c>
      <c r="L761" t="s">
        <v>74</v>
      </c>
      <c r="M761" t="s">
        <v>78</v>
      </c>
      <c r="N761" t="s">
        <v>79</v>
      </c>
      <c r="O761" t="s">
        <v>74</v>
      </c>
      <c r="P761" t="s">
        <v>74</v>
      </c>
      <c r="Q761" t="s">
        <v>74</v>
      </c>
      <c r="R761" t="s">
        <v>74</v>
      </c>
      <c r="S761" t="s">
        <v>74</v>
      </c>
      <c r="T761" t="s">
        <v>14761</v>
      </c>
      <c r="U761" t="s">
        <v>14762</v>
      </c>
      <c r="V761" t="s">
        <v>14763</v>
      </c>
      <c r="W761" t="s">
        <v>14764</v>
      </c>
      <c r="X761" t="s">
        <v>14765</v>
      </c>
      <c r="Y761" t="s">
        <v>14766</v>
      </c>
      <c r="Z761" t="s">
        <v>14767</v>
      </c>
      <c r="AA761" t="s">
        <v>14768</v>
      </c>
      <c r="AB761" t="s">
        <v>14769</v>
      </c>
      <c r="AC761" t="s">
        <v>14770</v>
      </c>
      <c r="AD761" t="s">
        <v>14770</v>
      </c>
      <c r="AE761" t="s">
        <v>14771</v>
      </c>
      <c r="AF761" t="s">
        <v>74</v>
      </c>
      <c r="AG761">
        <v>63</v>
      </c>
      <c r="AH761">
        <v>74</v>
      </c>
      <c r="AI761">
        <v>75</v>
      </c>
      <c r="AJ761">
        <v>7</v>
      </c>
      <c r="AK761">
        <v>36</v>
      </c>
      <c r="AL761" t="s">
        <v>378</v>
      </c>
      <c r="AM761" t="s">
        <v>93</v>
      </c>
      <c r="AN761" t="s">
        <v>379</v>
      </c>
      <c r="AO761" t="s">
        <v>14772</v>
      </c>
      <c r="AP761" t="s">
        <v>74</v>
      </c>
      <c r="AQ761" t="s">
        <v>74</v>
      </c>
      <c r="AR761" t="s">
        <v>14773</v>
      </c>
      <c r="AS761" t="s">
        <v>14774</v>
      </c>
      <c r="AT761" t="s">
        <v>12668</v>
      </c>
      <c r="AU761">
        <v>2019</v>
      </c>
      <c r="AV761">
        <v>80</v>
      </c>
      <c r="AW761" t="s">
        <v>74</v>
      </c>
      <c r="AX761" t="s">
        <v>74</v>
      </c>
      <c r="AY761" t="s">
        <v>74</v>
      </c>
      <c r="AZ761" t="s">
        <v>74</v>
      </c>
      <c r="BA761" t="s">
        <v>74</v>
      </c>
      <c r="BB761">
        <v>64</v>
      </c>
      <c r="BC761">
        <v>74</v>
      </c>
      <c r="BD761" t="s">
        <v>74</v>
      </c>
      <c r="BE761" t="s">
        <v>14775</v>
      </c>
      <c r="BF761" t="str">
        <f>HYPERLINK("http://dx.doi.org/10.1016/j.jtherbio.2018.12.021","http://dx.doi.org/10.1016/j.jtherbio.2018.12.021")</f>
        <v>http://dx.doi.org/10.1016/j.jtherbio.2018.12.021</v>
      </c>
      <c r="BG761" t="s">
        <v>74</v>
      </c>
      <c r="BH761" t="s">
        <v>74</v>
      </c>
      <c r="BI761">
        <v>11</v>
      </c>
      <c r="BJ761" t="s">
        <v>14776</v>
      </c>
      <c r="BK761" t="s">
        <v>102</v>
      </c>
      <c r="BL761" t="s">
        <v>14777</v>
      </c>
      <c r="BM761" t="s">
        <v>14778</v>
      </c>
      <c r="BN761">
        <v>30784489</v>
      </c>
      <c r="BO761" t="s">
        <v>74</v>
      </c>
      <c r="BP761" t="s">
        <v>74</v>
      </c>
      <c r="BQ761" t="s">
        <v>74</v>
      </c>
      <c r="BR761" t="s">
        <v>107</v>
      </c>
      <c r="BS761" t="s">
        <v>14779</v>
      </c>
      <c r="BT761" t="str">
        <f>HYPERLINK("https%3A%2F%2Fwww.webofscience.com%2Fwos%2Fwoscc%2Ffull-record%2FWOS:000460827600008","View Full Record in Web of Science")</f>
        <v>View Full Record in Web of Science</v>
      </c>
    </row>
    <row r="762" spans="1:72" x14ac:dyDescent="0.15">
      <c r="A762" t="s">
        <v>72</v>
      </c>
      <c r="B762" t="s">
        <v>14780</v>
      </c>
      <c r="C762" t="s">
        <v>74</v>
      </c>
      <c r="D762" t="s">
        <v>74</v>
      </c>
      <c r="E762" t="s">
        <v>74</v>
      </c>
      <c r="F762" t="s">
        <v>14781</v>
      </c>
      <c r="G762" t="s">
        <v>74</v>
      </c>
      <c r="H762" t="s">
        <v>74</v>
      </c>
      <c r="I762" t="s">
        <v>14782</v>
      </c>
      <c r="J762" t="s">
        <v>14783</v>
      </c>
      <c r="K762" t="s">
        <v>74</v>
      </c>
      <c r="L762" t="s">
        <v>74</v>
      </c>
      <c r="M762" t="s">
        <v>78</v>
      </c>
      <c r="N762" t="s">
        <v>79</v>
      </c>
      <c r="O762" t="s">
        <v>74</v>
      </c>
      <c r="P762" t="s">
        <v>74</v>
      </c>
      <c r="Q762" t="s">
        <v>74</v>
      </c>
      <c r="R762" t="s">
        <v>74</v>
      </c>
      <c r="S762" t="s">
        <v>74</v>
      </c>
      <c r="T762" t="s">
        <v>74</v>
      </c>
      <c r="U762" t="s">
        <v>14784</v>
      </c>
      <c r="V762" t="s">
        <v>14785</v>
      </c>
      <c r="W762" t="s">
        <v>14786</v>
      </c>
      <c r="X762" t="s">
        <v>14787</v>
      </c>
      <c r="Y762" t="s">
        <v>14788</v>
      </c>
      <c r="Z762" t="s">
        <v>14789</v>
      </c>
      <c r="AA762" t="s">
        <v>14790</v>
      </c>
      <c r="AB762" t="s">
        <v>14791</v>
      </c>
      <c r="AC762" t="s">
        <v>14792</v>
      </c>
      <c r="AD762" t="s">
        <v>14793</v>
      </c>
      <c r="AE762" t="s">
        <v>14794</v>
      </c>
      <c r="AF762" t="s">
        <v>74</v>
      </c>
      <c r="AG762">
        <v>28</v>
      </c>
      <c r="AH762">
        <v>11</v>
      </c>
      <c r="AI762">
        <v>12</v>
      </c>
      <c r="AJ762">
        <v>0</v>
      </c>
      <c r="AK762">
        <v>23</v>
      </c>
      <c r="AL762" t="s">
        <v>5669</v>
      </c>
      <c r="AM762" t="s">
        <v>5670</v>
      </c>
      <c r="AN762" t="s">
        <v>5671</v>
      </c>
      <c r="AO762" t="s">
        <v>14795</v>
      </c>
      <c r="AP762" t="s">
        <v>14796</v>
      </c>
      <c r="AQ762" t="s">
        <v>74</v>
      </c>
      <c r="AR762" t="s">
        <v>14797</v>
      </c>
      <c r="AS762" t="s">
        <v>14798</v>
      </c>
      <c r="AT762" t="s">
        <v>12668</v>
      </c>
      <c r="AU762">
        <v>2019</v>
      </c>
      <c r="AV762">
        <v>131</v>
      </c>
      <c r="AW762">
        <v>1</v>
      </c>
      <c r="AX762" t="s">
        <v>74</v>
      </c>
      <c r="AY762" t="s">
        <v>74</v>
      </c>
      <c r="AZ762" t="s">
        <v>74</v>
      </c>
      <c r="BA762" t="s">
        <v>74</v>
      </c>
      <c r="BB762">
        <v>105</v>
      </c>
      <c r="BC762">
        <v>113</v>
      </c>
      <c r="BD762" t="s">
        <v>74</v>
      </c>
      <c r="BE762" t="s">
        <v>14799</v>
      </c>
      <c r="BF762" t="str">
        <f>HYPERLINK("http://dx.doi.org/10.1007/s00703-017-0556-3","http://dx.doi.org/10.1007/s00703-017-0556-3")</f>
        <v>http://dx.doi.org/10.1007/s00703-017-0556-3</v>
      </c>
      <c r="BG762" t="s">
        <v>74</v>
      </c>
      <c r="BH762" t="s">
        <v>74</v>
      </c>
      <c r="BI762">
        <v>9</v>
      </c>
      <c r="BJ762" t="s">
        <v>133</v>
      </c>
      <c r="BK762" t="s">
        <v>102</v>
      </c>
      <c r="BL762" t="s">
        <v>133</v>
      </c>
      <c r="BM762" t="s">
        <v>14800</v>
      </c>
      <c r="BN762" t="s">
        <v>74</v>
      </c>
      <c r="BO762" t="s">
        <v>74</v>
      </c>
      <c r="BP762" t="s">
        <v>74</v>
      </c>
      <c r="BQ762" t="s">
        <v>74</v>
      </c>
      <c r="BR762" t="s">
        <v>107</v>
      </c>
      <c r="BS762" t="s">
        <v>14801</v>
      </c>
      <c r="BT762" t="str">
        <f>HYPERLINK("https%3A%2F%2Fwww.webofscience.com%2Fwos%2Fwoscc%2Ffull-record%2FWOS:000457594600008","View Full Record in Web of Science")</f>
        <v>View Full Record in Web of Science</v>
      </c>
    </row>
    <row r="763" spans="1:72" x14ac:dyDescent="0.15">
      <c r="A763" t="s">
        <v>72</v>
      </c>
      <c r="B763" t="s">
        <v>14802</v>
      </c>
      <c r="C763" t="s">
        <v>74</v>
      </c>
      <c r="D763" t="s">
        <v>74</v>
      </c>
      <c r="E763" t="s">
        <v>74</v>
      </c>
      <c r="F763" t="s">
        <v>14803</v>
      </c>
      <c r="G763" t="s">
        <v>74</v>
      </c>
      <c r="H763" t="s">
        <v>74</v>
      </c>
      <c r="I763" t="s">
        <v>14804</v>
      </c>
      <c r="J763" t="s">
        <v>321</v>
      </c>
      <c r="K763" t="s">
        <v>74</v>
      </c>
      <c r="L763" t="s">
        <v>74</v>
      </c>
      <c r="M763" t="s">
        <v>78</v>
      </c>
      <c r="N763" t="s">
        <v>168</v>
      </c>
      <c r="O763" t="s">
        <v>74</v>
      </c>
      <c r="P763" t="s">
        <v>74</v>
      </c>
      <c r="Q763" t="s">
        <v>74</v>
      </c>
      <c r="R763" t="s">
        <v>74</v>
      </c>
      <c r="S763" t="s">
        <v>74</v>
      </c>
      <c r="T763" t="s">
        <v>74</v>
      </c>
      <c r="U763" t="s">
        <v>14805</v>
      </c>
      <c r="V763" t="s">
        <v>14806</v>
      </c>
      <c r="W763" t="s">
        <v>14807</v>
      </c>
      <c r="X763" t="s">
        <v>14808</v>
      </c>
      <c r="Y763" t="s">
        <v>14809</v>
      </c>
      <c r="Z763" t="s">
        <v>14810</v>
      </c>
      <c r="AA763" t="s">
        <v>74</v>
      </c>
      <c r="AB763" t="s">
        <v>74</v>
      </c>
      <c r="AC763" t="s">
        <v>74</v>
      </c>
      <c r="AD763" t="s">
        <v>74</v>
      </c>
      <c r="AE763" t="s">
        <v>74</v>
      </c>
      <c r="AF763" t="s">
        <v>74</v>
      </c>
      <c r="AG763">
        <v>13</v>
      </c>
      <c r="AH763">
        <v>1</v>
      </c>
      <c r="AI763">
        <v>1</v>
      </c>
      <c r="AJ763">
        <v>1</v>
      </c>
      <c r="AK763">
        <v>9</v>
      </c>
      <c r="AL763" t="s">
        <v>328</v>
      </c>
      <c r="AM763" t="s">
        <v>329</v>
      </c>
      <c r="AN763" t="s">
        <v>330</v>
      </c>
      <c r="AO763" t="s">
        <v>331</v>
      </c>
      <c r="AP763" t="s">
        <v>332</v>
      </c>
      <c r="AQ763" t="s">
        <v>74</v>
      </c>
      <c r="AR763" t="s">
        <v>333</v>
      </c>
      <c r="AS763" t="s">
        <v>334</v>
      </c>
      <c r="AT763" t="s">
        <v>12668</v>
      </c>
      <c r="AU763">
        <v>2019</v>
      </c>
      <c r="AV763">
        <v>9</v>
      </c>
      <c r="AW763">
        <v>2</v>
      </c>
      <c r="AX763" t="s">
        <v>74</v>
      </c>
      <c r="AY763" t="s">
        <v>74</v>
      </c>
      <c r="AZ763" t="s">
        <v>74</v>
      </c>
      <c r="BA763" t="s">
        <v>74</v>
      </c>
      <c r="BB763">
        <v>90</v>
      </c>
      <c r="BC763">
        <v>91</v>
      </c>
      <c r="BD763" t="s">
        <v>74</v>
      </c>
      <c r="BE763" t="s">
        <v>14811</v>
      </c>
      <c r="BF763" t="str">
        <f>HYPERLINK("http://dx.doi.org/10.1038/s41558-019-0396-x","http://dx.doi.org/10.1038/s41558-019-0396-x")</f>
        <v>http://dx.doi.org/10.1038/s41558-019-0396-x</v>
      </c>
      <c r="BG763" t="s">
        <v>74</v>
      </c>
      <c r="BH763" t="s">
        <v>74</v>
      </c>
      <c r="BI763">
        <v>3</v>
      </c>
      <c r="BJ763" t="s">
        <v>336</v>
      </c>
      <c r="BK763" t="s">
        <v>337</v>
      </c>
      <c r="BL763" t="s">
        <v>338</v>
      </c>
      <c r="BM763" t="s">
        <v>14199</v>
      </c>
      <c r="BN763" t="s">
        <v>74</v>
      </c>
      <c r="BO763" t="s">
        <v>74</v>
      </c>
      <c r="BP763" t="s">
        <v>74</v>
      </c>
      <c r="BQ763" t="s">
        <v>74</v>
      </c>
      <c r="BR763" t="s">
        <v>107</v>
      </c>
      <c r="BS763" t="s">
        <v>14812</v>
      </c>
      <c r="BT763" t="str">
        <f>HYPERLINK("https%3A%2F%2Fwww.webofscience.com%2Fwos%2Fwoscc%2Ffull-record%2FWOS:000456994900009","View Full Record in Web of Science")</f>
        <v>View Full Record in Web of Science</v>
      </c>
    </row>
    <row r="764" spans="1:72" x14ac:dyDescent="0.15">
      <c r="A764" t="s">
        <v>72</v>
      </c>
      <c r="B764" t="s">
        <v>14813</v>
      </c>
      <c r="C764" t="s">
        <v>74</v>
      </c>
      <c r="D764" t="s">
        <v>74</v>
      </c>
      <c r="E764" t="s">
        <v>74</v>
      </c>
      <c r="F764" t="s">
        <v>14814</v>
      </c>
      <c r="G764" t="s">
        <v>74</v>
      </c>
      <c r="H764" t="s">
        <v>74</v>
      </c>
      <c r="I764" t="s">
        <v>14815</v>
      </c>
      <c r="J764" t="s">
        <v>321</v>
      </c>
      <c r="K764" t="s">
        <v>74</v>
      </c>
      <c r="L764" t="s">
        <v>74</v>
      </c>
      <c r="M764" t="s">
        <v>78</v>
      </c>
      <c r="N764" t="s">
        <v>168</v>
      </c>
      <c r="O764" t="s">
        <v>74</v>
      </c>
      <c r="P764" t="s">
        <v>74</v>
      </c>
      <c r="Q764" t="s">
        <v>74</v>
      </c>
      <c r="R764" t="s">
        <v>74</v>
      </c>
      <c r="S764" t="s">
        <v>74</v>
      </c>
      <c r="T764" t="s">
        <v>74</v>
      </c>
      <c r="U764" t="s">
        <v>14816</v>
      </c>
      <c r="V764" t="s">
        <v>74</v>
      </c>
      <c r="W764" t="s">
        <v>14817</v>
      </c>
      <c r="X764" t="s">
        <v>14818</v>
      </c>
      <c r="Y764" t="s">
        <v>14819</v>
      </c>
      <c r="Z764" t="s">
        <v>14820</v>
      </c>
      <c r="AA764" t="s">
        <v>6592</v>
      </c>
      <c r="AB764" t="s">
        <v>14821</v>
      </c>
      <c r="AC764" t="s">
        <v>14822</v>
      </c>
      <c r="AD764" t="s">
        <v>3239</v>
      </c>
      <c r="AE764" t="s">
        <v>74</v>
      </c>
      <c r="AF764" t="s">
        <v>74</v>
      </c>
      <c r="AG764">
        <v>12</v>
      </c>
      <c r="AH764">
        <v>15</v>
      </c>
      <c r="AI764">
        <v>15</v>
      </c>
      <c r="AJ764">
        <v>0</v>
      </c>
      <c r="AK764">
        <v>20</v>
      </c>
      <c r="AL764" t="s">
        <v>328</v>
      </c>
      <c r="AM764" t="s">
        <v>329</v>
      </c>
      <c r="AN764" t="s">
        <v>330</v>
      </c>
      <c r="AO764" t="s">
        <v>331</v>
      </c>
      <c r="AP764" t="s">
        <v>332</v>
      </c>
      <c r="AQ764" t="s">
        <v>74</v>
      </c>
      <c r="AR764" t="s">
        <v>333</v>
      </c>
      <c r="AS764" t="s">
        <v>334</v>
      </c>
      <c r="AT764" t="s">
        <v>12668</v>
      </c>
      <c r="AU764">
        <v>2019</v>
      </c>
      <c r="AV764">
        <v>9</v>
      </c>
      <c r="AW764">
        <v>2</v>
      </c>
      <c r="AX764" t="s">
        <v>74</v>
      </c>
      <c r="AY764" t="s">
        <v>74</v>
      </c>
      <c r="AZ764" t="s">
        <v>74</v>
      </c>
      <c r="BA764" t="s">
        <v>74</v>
      </c>
      <c r="BB764">
        <v>120</v>
      </c>
      <c r="BC764">
        <v>121</v>
      </c>
      <c r="BD764" t="s">
        <v>74</v>
      </c>
      <c r="BE764" t="s">
        <v>14823</v>
      </c>
      <c r="BF764" t="str">
        <f>HYPERLINK("http://dx.doi.org/10.1038/s41558-018-0388-2","http://dx.doi.org/10.1038/s41558-018-0388-2")</f>
        <v>http://dx.doi.org/10.1038/s41558-018-0388-2</v>
      </c>
      <c r="BG764" t="s">
        <v>74</v>
      </c>
      <c r="BH764" t="s">
        <v>74</v>
      </c>
      <c r="BI764">
        <v>2</v>
      </c>
      <c r="BJ764" t="s">
        <v>336</v>
      </c>
      <c r="BK764" t="s">
        <v>337</v>
      </c>
      <c r="BL764" t="s">
        <v>338</v>
      </c>
      <c r="BM764" t="s">
        <v>14199</v>
      </c>
      <c r="BN764" t="s">
        <v>74</v>
      </c>
      <c r="BO764" t="s">
        <v>74</v>
      </c>
      <c r="BP764" t="s">
        <v>74</v>
      </c>
      <c r="BQ764" t="s">
        <v>74</v>
      </c>
      <c r="BR764" t="s">
        <v>107</v>
      </c>
      <c r="BS764" t="s">
        <v>14824</v>
      </c>
      <c r="BT764" t="str">
        <f>HYPERLINK("https%3A%2F%2Fwww.webofscience.com%2Fwos%2Fwoscc%2Ffull-record%2FWOS:000456994900014","View Full Record in Web of Science")</f>
        <v>View Full Record in Web of Science</v>
      </c>
    </row>
    <row r="765" spans="1:72" x14ac:dyDescent="0.15">
      <c r="A765" t="s">
        <v>72</v>
      </c>
      <c r="B765" t="s">
        <v>14825</v>
      </c>
      <c r="C765" t="s">
        <v>74</v>
      </c>
      <c r="D765" t="s">
        <v>74</v>
      </c>
      <c r="E765" t="s">
        <v>74</v>
      </c>
      <c r="F765" t="s">
        <v>14826</v>
      </c>
      <c r="G765" t="s">
        <v>74</v>
      </c>
      <c r="H765" t="s">
        <v>74</v>
      </c>
      <c r="I765" t="s">
        <v>14827</v>
      </c>
      <c r="J765" t="s">
        <v>321</v>
      </c>
      <c r="K765" t="s">
        <v>74</v>
      </c>
      <c r="L765" t="s">
        <v>74</v>
      </c>
      <c r="M765" t="s">
        <v>78</v>
      </c>
      <c r="N765" t="s">
        <v>168</v>
      </c>
      <c r="O765" t="s">
        <v>74</v>
      </c>
      <c r="P765" t="s">
        <v>74</v>
      </c>
      <c r="Q765" t="s">
        <v>74</v>
      </c>
      <c r="R765" t="s">
        <v>74</v>
      </c>
      <c r="S765" t="s">
        <v>74</v>
      </c>
      <c r="T765" t="s">
        <v>74</v>
      </c>
      <c r="U765" t="s">
        <v>14828</v>
      </c>
      <c r="V765" t="s">
        <v>74</v>
      </c>
      <c r="W765" t="s">
        <v>14829</v>
      </c>
      <c r="X765" t="s">
        <v>14830</v>
      </c>
      <c r="Y765" t="s">
        <v>14831</v>
      </c>
      <c r="Z765" t="s">
        <v>14832</v>
      </c>
      <c r="AA765" t="s">
        <v>14833</v>
      </c>
      <c r="AB765" t="s">
        <v>14834</v>
      </c>
      <c r="AC765" t="s">
        <v>74</v>
      </c>
      <c r="AD765" t="s">
        <v>74</v>
      </c>
      <c r="AE765" t="s">
        <v>74</v>
      </c>
      <c r="AF765" t="s">
        <v>74</v>
      </c>
      <c r="AG765">
        <v>10</v>
      </c>
      <c r="AH765">
        <v>2</v>
      </c>
      <c r="AI765">
        <v>2</v>
      </c>
      <c r="AJ765">
        <v>0</v>
      </c>
      <c r="AK765">
        <v>8</v>
      </c>
      <c r="AL765" t="s">
        <v>328</v>
      </c>
      <c r="AM765" t="s">
        <v>329</v>
      </c>
      <c r="AN765" t="s">
        <v>330</v>
      </c>
      <c r="AO765" t="s">
        <v>331</v>
      </c>
      <c r="AP765" t="s">
        <v>332</v>
      </c>
      <c r="AQ765" t="s">
        <v>74</v>
      </c>
      <c r="AR765" t="s">
        <v>333</v>
      </c>
      <c r="AS765" t="s">
        <v>334</v>
      </c>
      <c r="AT765" t="s">
        <v>12668</v>
      </c>
      <c r="AU765">
        <v>2019</v>
      </c>
      <c r="AV765">
        <v>9</v>
      </c>
      <c r="AW765">
        <v>2</v>
      </c>
      <c r="AX765" t="s">
        <v>74</v>
      </c>
      <c r="AY765" t="s">
        <v>74</v>
      </c>
      <c r="AZ765" t="s">
        <v>74</v>
      </c>
      <c r="BA765" t="s">
        <v>74</v>
      </c>
      <c r="BB765">
        <v>122</v>
      </c>
      <c r="BC765">
        <v>122</v>
      </c>
      <c r="BD765" t="s">
        <v>74</v>
      </c>
      <c r="BE765" t="s">
        <v>14835</v>
      </c>
      <c r="BF765" t="str">
        <f>HYPERLINK("http://dx.doi.org/10.1038/s41558-018-0390-8","http://dx.doi.org/10.1038/s41558-018-0390-8")</f>
        <v>http://dx.doi.org/10.1038/s41558-018-0390-8</v>
      </c>
      <c r="BG765" t="s">
        <v>74</v>
      </c>
      <c r="BH765" t="s">
        <v>74</v>
      </c>
      <c r="BI765">
        <v>1</v>
      </c>
      <c r="BJ765" t="s">
        <v>336</v>
      </c>
      <c r="BK765" t="s">
        <v>337</v>
      </c>
      <c r="BL765" t="s">
        <v>338</v>
      </c>
      <c r="BM765" t="s">
        <v>14199</v>
      </c>
      <c r="BN765" t="s">
        <v>74</v>
      </c>
      <c r="BO765" t="s">
        <v>279</v>
      </c>
      <c r="BP765" t="s">
        <v>74</v>
      </c>
      <c r="BQ765" t="s">
        <v>74</v>
      </c>
      <c r="BR765" t="s">
        <v>107</v>
      </c>
      <c r="BS765" t="s">
        <v>14836</v>
      </c>
      <c r="BT765" t="str">
        <f>HYPERLINK("https%3A%2F%2Fwww.webofscience.com%2Fwos%2Fwoscc%2Ffull-record%2FWOS:000456994900015","View Full Record in Web of Science")</f>
        <v>View Full Record in Web of Science</v>
      </c>
    </row>
    <row r="766" spans="1:72" x14ac:dyDescent="0.15">
      <c r="A766" t="s">
        <v>72</v>
      </c>
      <c r="B766" t="s">
        <v>14837</v>
      </c>
      <c r="C766" t="s">
        <v>74</v>
      </c>
      <c r="D766" t="s">
        <v>74</v>
      </c>
      <c r="E766" t="s">
        <v>74</v>
      </c>
      <c r="F766" t="s">
        <v>14838</v>
      </c>
      <c r="G766" t="s">
        <v>74</v>
      </c>
      <c r="H766" t="s">
        <v>74</v>
      </c>
      <c r="I766" t="s">
        <v>14839</v>
      </c>
      <c r="J766" t="s">
        <v>321</v>
      </c>
      <c r="K766" t="s">
        <v>74</v>
      </c>
      <c r="L766" t="s">
        <v>74</v>
      </c>
      <c r="M766" t="s">
        <v>78</v>
      </c>
      <c r="N766" t="s">
        <v>79</v>
      </c>
      <c r="O766" t="s">
        <v>74</v>
      </c>
      <c r="P766" t="s">
        <v>74</v>
      </c>
      <c r="Q766" t="s">
        <v>74</v>
      </c>
      <c r="R766" t="s">
        <v>74</v>
      </c>
      <c r="S766" t="s">
        <v>74</v>
      </c>
      <c r="T766" t="s">
        <v>74</v>
      </c>
      <c r="U766" t="s">
        <v>14840</v>
      </c>
      <c r="V766" t="s">
        <v>14841</v>
      </c>
      <c r="W766" t="s">
        <v>14842</v>
      </c>
      <c r="X766" t="s">
        <v>14843</v>
      </c>
      <c r="Y766" t="s">
        <v>14844</v>
      </c>
      <c r="Z766" t="s">
        <v>14845</v>
      </c>
      <c r="AA766" t="s">
        <v>14846</v>
      </c>
      <c r="AB766" t="s">
        <v>14847</v>
      </c>
      <c r="AC766" t="s">
        <v>14848</v>
      </c>
      <c r="AD766" t="s">
        <v>14849</v>
      </c>
      <c r="AE766" t="s">
        <v>14850</v>
      </c>
      <c r="AF766" t="s">
        <v>74</v>
      </c>
      <c r="AG766">
        <v>46</v>
      </c>
      <c r="AH766">
        <v>213</v>
      </c>
      <c r="AI766">
        <v>243</v>
      </c>
      <c r="AJ766">
        <v>11</v>
      </c>
      <c r="AK766">
        <v>134</v>
      </c>
      <c r="AL766" t="s">
        <v>328</v>
      </c>
      <c r="AM766" t="s">
        <v>329</v>
      </c>
      <c r="AN766" t="s">
        <v>330</v>
      </c>
      <c r="AO766" t="s">
        <v>331</v>
      </c>
      <c r="AP766" t="s">
        <v>332</v>
      </c>
      <c r="AQ766" t="s">
        <v>74</v>
      </c>
      <c r="AR766" t="s">
        <v>333</v>
      </c>
      <c r="AS766" t="s">
        <v>334</v>
      </c>
      <c r="AT766" t="s">
        <v>12668</v>
      </c>
      <c r="AU766">
        <v>2019</v>
      </c>
      <c r="AV766">
        <v>9</v>
      </c>
      <c r="AW766">
        <v>2</v>
      </c>
      <c r="AX766" t="s">
        <v>74</v>
      </c>
      <c r="AY766" t="s">
        <v>74</v>
      </c>
      <c r="AZ766" t="s">
        <v>74</v>
      </c>
      <c r="BA766" t="s">
        <v>74</v>
      </c>
      <c r="BB766">
        <v>142</v>
      </c>
      <c r="BC766" t="s">
        <v>1394</v>
      </c>
      <c r="BD766" t="s">
        <v>74</v>
      </c>
      <c r="BE766" t="s">
        <v>14851</v>
      </c>
      <c r="BF766" t="str">
        <f>HYPERLINK("http://dx.doi.org/10.1038/s41558-018-0370-z","http://dx.doi.org/10.1038/s41558-018-0370-z")</f>
        <v>http://dx.doi.org/10.1038/s41558-018-0370-z</v>
      </c>
      <c r="BG766" t="s">
        <v>74</v>
      </c>
      <c r="BH766" t="s">
        <v>74</v>
      </c>
      <c r="BI766">
        <v>8</v>
      </c>
      <c r="BJ766" t="s">
        <v>336</v>
      </c>
      <c r="BK766" t="s">
        <v>337</v>
      </c>
      <c r="BL766" t="s">
        <v>338</v>
      </c>
      <c r="BM766" t="s">
        <v>14199</v>
      </c>
      <c r="BN766" t="s">
        <v>74</v>
      </c>
      <c r="BO766" t="s">
        <v>6520</v>
      </c>
      <c r="BP766" t="s">
        <v>105</v>
      </c>
      <c r="BQ766" t="s">
        <v>106</v>
      </c>
      <c r="BR766" t="s">
        <v>107</v>
      </c>
      <c r="BS766" t="s">
        <v>14852</v>
      </c>
      <c r="BT766" t="str">
        <f>HYPERLINK("https%3A%2F%2Fwww.webofscience.com%2Fwos%2Fwoscc%2Ffull-record%2FWOS:000456994900019","View Full Record in Web of Science")</f>
        <v>View Full Record in Web of Science</v>
      </c>
    </row>
    <row r="767" spans="1:72" x14ac:dyDescent="0.15">
      <c r="A767" t="s">
        <v>72</v>
      </c>
      <c r="B767" t="s">
        <v>14853</v>
      </c>
      <c r="C767" t="s">
        <v>74</v>
      </c>
      <c r="D767" t="s">
        <v>74</v>
      </c>
      <c r="E767" t="s">
        <v>74</v>
      </c>
      <c r="F767" t="s">
        <v>14854</v>
      </c>
      <c r="G767" t="s">
        <v>74</v>
      </c>
      <c r="H767" t="s">
        <v>74</v>
      </c>
      <c r="I767" t="s">
        <v>14855</v>
      </c>
      <c r="J767" t="s">
        <v>10654</v>
      </c>
      <c r="K767" t="s">
        <v>74</v>
      </c>
      <c r="L767" t="s">
        <v>74</v>
      </c>
      <c r="M767" t="s">
        <v>78</v>
      </c>
      <c r="N767" t="s">
        <v>79</v>
      </c>
      <c r="O767" t="s">
        <v>74</v>
      </c>
      <c r="P767" t="s">
        <v>74</v>
      </c>
      <c r="Q767" t="s">
        <v>74</v>
      </c>
      <c r="R767" t="s">
        <v>74</v>
      </c>
      <c r="S767" t="s">
        <v>74</v>
      </c>
      <c r="T767" t="s">
        <v>74</v>
      </c>
      <c r="U767" t="s">
        <v>14856</v>
      </c>
      <c r="V767" t="s">
        <v>14857</v>
      </c>
      <c r="W767" t="s">
        <v>14858</v>
      </c>
      <c r="X767" t="s">
        <v>14859</v>
      </c>
      <c r="Y767" t="s">
        <v>14860</v>
      </c>
      <c r="Z767" t="s">
        <v>14861</v>
      </c>
      <c r="AA767" t="s">
        <v>14862</v>
      </c>
      <c r="AB767" t="s">
        <v>14863</v>
      </c>
      <c r="AC767" t="s">
        <v>14864</v>
      </c>
      <c r="AD767" t="s">
        <v>14865</v>
      </c>
      <c r="AE767" t="s">
        <v>14866</v>
      </c>
      <c r="AF767" t="s">
        <v>74</v>
      </c>
      <c r="AG767">
        <v>62</v>
      </c>
      <c r="AH767">
        <v>71</v>
      </c>
      <c r="AI767">
        <v>76</v>
      </c>
      <c r="AJ767">
        <v>3</v>
      </c>
      <c r="AK767">
        <v>56</v>
      </c>
      <c r="AL767" t="s">
        <v>328</v>
      </c>
      <c r="AM767" t="s">
        <v>607</v>
      </c>
      <c r="AN767" t="s">
        <v>10687</v>
      </c>
      <c r="AO767" t="s">
        <v>10666</v>
      </c>
      <c r="AP767" t="s">
        <v>10667</v>
      </c>
      <c r="AQ767" t="s">
        <v>74</v>
      </c>
      <c r="AR767" t="s">
        <v>10668</v>
      </c>
      <c r="AS767" t="s">
        <v>10669</v>
      </c>
      <c r="AT767" t="s">
        <v>12668</v>
      </c>
      <c r="AU767">
        <v>2019</v>
      </c>
      <c r="AV767">
        <v>12</v>
      </c>
      <c r="AW767">
        <v>2</v>
      </c>
      <c r="AX767" t="s">
        <v>74</v>
      </c>
      <c r="AY767" t="s">
        <v>74</v>
      </c>
      <c r="AZ767" t="s">
        <v>74</v>
      </c>
      <c r="BA767" t="s">
        <v>74</v>
      </c>
      <c r="BB767">
        <v>100</v>
      </c>
      <c r="BC767" t="s">
        <v>1394</v>
      </c>
      <c r="BD767" t="s">
        <v>74</v>
      </c>
      <c r="BE767" t="s">
        <v>14867</v>
      </c>
      <c r="BF767" t="str">
        <f>HYPERLINK("http://dx.doi.org/10.1038/s41561-018-0286-2","http://dx.doi.org/10.1038/s41561-018-0286-2")</f>
        <v>http://dx.doi.org/10.1038/s41561-018-0286-2</v>
      </c>
      <c r="BG767" t="s">
        <v>74</v>
      </c>
      <c r="BH767" t="s">
        <v>74</v>
      </c>
      <c r="BI767">
        <v>10</v>
      </c>
      <c r="BJ767" t="s">
        <v>922</v>
      </c>
      <c r="BK767" t="s">
        <v>102</v>
      </c>
      <c r="BL767" t="s">
        <v>923</v>
      </c>
      <c r="BM767" t="s">
        <v>14216</v>
      </c>
      <c r="BN767" t="s">
        <v>74</v>
      </c>
      <c r="BO767" t="s">
        <v>1014</v>
      </c>
      <c r="BP767" t="s">
        <v>74</v>
      </c>
      <c r="BQ767" t="s">
        <v>74</v>
      </c>
      <c r="BR767" t="s">
        <v>107</v>
      </c>
      <c r="BS767" t="s">
        <v>14868</v>
      </c>
      <c r="BT767" t="str">
        <f>HYPERLINK("https%3A%2F%2Fwww.webofscience.com%2Fwos%2Fwoscc%2Ffull-record%2FWOS:000457194900008","View Full Record in Web of Science")</f>
        <v>View Full Record in Web of Science</v>
      </c>
    </row>
    <row r="768" spans="1:72" x14ac:dyDescent="0.15">
      <c r="A768" t="s">
        <v>72</v>
      </c>
      <c r="B768" t="s">
        <v>14869</v>
      </c>
      <c r="C768" t="s">
        <v>74</v>
      </c>
      <c r="D768" t="s">
        <v>74</v>
      </c>
      <c r="E768" t="s">
        <v>74</v>
      </c>
      <c r="F768" t="s">
        <v>14870</v>
      </c>
      <c r="G768" t="s">
        <v>74</v>
      </c>
      <c r="H768" t="s">
        <v>74</v>
      </c>
      <c r="I768" t="s">
        <v>14871</v>
      </c>
      <c r="J768" t="s">
        <v>5113</v>
      </c>
      <c r="K768" t="s">
        <v>74</v>
      </c>
      <c r="L768" t="s">
        <v>74</v>
      </c>
      <c r="M768" t="s">
        <v>78</v>
      </c>
      <c r="N768" t="s">
        <v>79</v>
      </c>
      <c r="O768" t="s">
        <v>74</v>
      </c>
      <c r="P768" t="s">
        <v>74</v>
      </c>
      <c r="Q768" t="s">
        <v>74</v>
      </c>
      <c r="R768" t="s">
        <v>74</v>
      </c>
      <c r="S768" t="s">
        <v>74</v>
      </c>
      <c r="T768" t="s">
        <v>14872</v>
      </c>
      <c r="U768" t="s">
        <v>14873</v>
      </c>
      <c r="V768" t="s">
        <v>14874</v>
      </c>
      <c r="W768" t="s">
        <v>14875</v>
      </c>
      <c r="X768" t="s">
        <v>14876</v>
      </c>
      <c r="Y768" t="s">
        <v>14877</v>
      </c>
      <c r="Z768" t="s">
        <v>14878</v>
      </c>
      <c r="AA768" t="s">
        <v>74</v>
      </c>
      <c r="AB768" t="s">
        <v>14879</v>
      </c>
      <c r="AC768" t="s">
        <v>14880</v>
      </c>
      <c r="AD768" t="s">
        <v>14881</v>
      </c>
      <c r="AE768" t="s">
        <v>14882</v>
      </c>
      <c r="AF768" t="s">
        <v>74</v>
      </c>
      <c r="AG768">
        <v>33</v>
      </c>
      <c r="AH768">
        <v>9</v>
      </c>
      <c r="AI768">
        <v>10</v>
      </c>
      <c r="AJ768">
        <v>0</v>
      </c>
      <c r="AK768">
        <v>12</v>
      </c>
      <c r="AL768" t="s">
        <v>576</v>
      </c>
      <c r="AM768" t="s">
        <v>607</v>
      </c>
      <c r="AN768" t="s">
        <v>3493</v>
      </c>
      <c r="AO768" t="s">
        <v>5126</v>
      </c>
      <c r="AP768" t="s">
        <v>5127</v>
      </c>
      <c r="AQ768" t="s">
        <v>74</v>
      </c>
      <c r="AR768" t="s">
        <v>5128</v>
      </c>
      <c r="AS768" t="s">
        <v>5129</v>
      </c>
      <c r="AT768" t="s">
        <v>12668</v>
      </c>
      <c r="AU768">
        <v>2019</v>
      </c>
      <c r="AV768">
        <v>42</v>
      </c>
      <c r="AW768">
        <v>2</v>
      </c>
      <c r="AX768" t="s">
        <v>74</v>
      </c>
      <c r="AY768" t="s">
        <v>74</v>
      </c>
      <c r="AZ768" t="s">
        <v>74</v>
      </c>
      <c r="BA768" t="s">
        <v>74</v>
      </c>
      <c r="BB768">
        <v>257</v>
      </c>
      <c r="BC768">
        <v>269</v>
      </c>
      <c r="BD768" t="s">
        <v>74</v>
      </c>
      <c r="BE768" t="s">
        <v>14883</v>
      </c>
      <c r="BF768" t="str">
        <f>HYPERLINK("http://dx.doi.org/10.1007/s00300-018-2419-x","http://dx.doi.org/10.1007/s00300-018-2419-x")</f>
        <v>http://dx.doi.org/10.1007/s00300-018-2419-x</v>
      </c>
      <c r="BG768" t="s">
        <v>74</v>
      </c>
      <c r="BH768" t="s">
        <v>74</v>
      </c>
      <c r="BI768">
        <v>13</v>
      </c>
      <c r="BJ768" t="s">
        <v>5131</v>
      </c>
      <c r="BK768" t="s">
        <v>102</v>
      </c>
      <c r="BL768" t="s">
        <v>5065</v>
      </c>
      <c r="BM768" t="s">
        <v>14267</v>
      </c>
      <c r="BN768" t="s">
        <v>74</v>
      </c>
      <c r="BO768" t="s">
        <v>74</v>
      </c>
      <c r="BP768" t="s">
        <v>74</v>
      </c>
      <c r="BQ768" t="s">
        <v>74</v>
      </c>
      <c r="BR768" t="s">
        <v>107</v>
      </c>
      <c r="BS768" t="s">
        <v>14884</v>
      </c>
      <c r="BT768" t="str">
        <f>HYPERLINK("https%3A%2F%2Fwww.webofscience.com%2Fwos%2Fwoscc%2Ffull-record%2FWOS:000457224500002","View Full Record in Web of Science")</f>
        <v>View Full Record in Web of Science</v>
      </c>
    </row>
    <row r="769" spans="1:72" x14ac:dyDescent="0.15">
      <c r="A769" t="s">
        <v>72</v>
      </c>
      <c r="B769" t="s">
        <v>14885</v>
      </c>
      <c r="C769" t="s">
        <v>74</v>
      </c>
      <c r="D769" t="s">
        <v>74</v>
      </c>
      <c r="E769" t="s">
        <v>74</v>
      </c>
      <c r="F769" t="s">
        <v>14886</v>
      </c>
      <c r="G769" t="s">
        <v>74</v>
      </c>
      <c r="H769" t="s">
        <v>74</v>
      </c>
      <c r="I769" t="s">
        <v>14887</v>
      </c>
      <c r="J769" t="s">
        <v>5113</v>
      </c>
      <c r="K769" t="s">
        <v>74</v>
      </c>
      <c r="L769" t="s">
        <v>74</v>
      </c>
      <c r="M769" t="s">
        <v>78</v>
      </c>
      <c r="N769" t="s">
        <v>79</v>
      </c>
      <c r="O769" t="s">
        <v>74</v>
      </c>
      <c r="P769" t="s">
        <v>74</v>
      </c>
      <c r="Q769" t="s">
        <v>74</v>
      </c>
      <c r="R769" t="s">
        <v>74</v>
      </c>
      <c r="S769" t="s">
        <v>74</v>
      </c>
      <c r="T769" t="s">
        <v>14888</v>
      </c>
      <c r="U769" t="s">
        <v>14889</v>
      </c>
      <c r="V769" t="s">
        <v>14890</v>
      </c>
      <c r="W769" t="s">
        <v>14891</v>
      </c>
      <c r="X769" t="s">
        <v>14892</v>
      </c>
      <c r="Y769" t="s">
        <v>14893</v>
      </c>
      <c r="Z769" t="s">
        <v>14894</v>
      </c>
      <c r="AA769" t="s">
        <v>14895</v>
      </c>
      <c r="AB769" t="s">
        <v>14896</v>
      </c>
      <c r="AC769" t="s">
        <v>14897</v>
      </c>
      <c r="AD769" t="s">
        <v>14898</v>
      </c>
      <c r="AE769" t="s">
        <v>14899</v>
      </c>
      <c r="AF769" t="s">
        <v>74</v>
      </c>
      <c r="AG769">
        <v>34</v>
      </c>
      <c r="AH769">
        <v>9</v>
      </c>
      <c r="AI769">
        <v>9</v>
      </c>
      <c r="AJ769">
        <v>1</v>
      </c>
      <c r="AK769">
        <v>7</v>
      </c>
      <c r="AL769" t="s">
        <v>576</v>
      </c>
      <c r="AM769" t="s">
        <v>607</v>
      </c>
      <c r="AN769" t="s">
        <v>3493</v>
      </c>
      <c r="AO769" t="s">
        <v>5126</v>
      </c>
      <c r="AP769" t="s">
        <v>5127</v>
      </c>
      <c r="AQ769" t="s">
        <v>74</v>
      </c>
      <c r="AR769" t="s">
        <v>5128</v>
      </c>
      <c r="AS769" t="s">
        <v>5129</v>
      </c>
      <c r="AT769" t="s">
        <v>12668</v>
      </c>
      <c r="AU769">
        <v>2019</v>
      </c>
      <c r="AV769">
        <v>42</v>
      </c>
      <c r="AW769">
        <v>2</v>
      </c>
      <c r="AX769" t="s">
        <v>74</v>
      </c>
      <c r="AY769" t="s">
        <v>74</v>
      </c>
      <c r="AZ769" t="s">
        <v>74</v>
      </c>
      <c r="BA769" t="s">
        <v>74</v>
      </c>
      <c r="BB769">
        <v>347</v>
      </c>
      <c r="BC769">
        <v>356</v>
      </c>
      <c r="BD769" t="s">
        <v>74</v>
      </c>
      <c r="BE769" t="s">
        <v>14900</v>
      </c>
      <c r="BF769" t="str">
        <f>HYPERLINK("http://dx.doi.org/10.1007/s00300-018-2426-y","http://dx.doi.org/10.1007/s00300-018-2426-y")</f>
        <v>http://dx.doi.org/10.1007/s00300-018-2426-y</v>
      </c>
      <c r="BG769" t="s">
        <v>74</v>
      </c>
      <c r="BH769" t="s">
        <v>74</v>
      </c>
      <c r="BI769">
        <v>10</v>
      </c>
      <c r="BJ769" t="s">
        <v>5131</v>
      </c>
      <c r="BK769" t="s">
        <v>102</v>
      </c>
      <c r="BL769" t="s">
        <v>5065</v>
      </c>
      <c r="BM769" t="s">
        <v>14267</v>
      </c>
      <c r="BN769" t="s">
        <v>74</v>
      </c>
      <c r="BO769" t="s">
        <v>1014</v>
      </c>
      <c r="BP769" t="s">
        <v>74</v>
      </c>
      <c r="BQ769" t="s">
        <v>74</v>
      </c>
      <c r="BR769" t="s">
        <v>107</v>
      </c>
      <c r="BS769" t="s">
        <v>14901</v>
      </c>
      <c r="BT769" t="str">
        <f>HYPERLINK("https%3A%2F%2Fwww.webofscience.com%2Fwos%2Fwoscc%2Ffull-record%2FWOS:000457224500008","View Full Record in Web of Science")</f>
        <v>View Full Record in Web of Science</v>
      </c>
    </row>
    <row r="770" spans="1:72" x14ac:dyDescent="0.15">
      <c r="A770" t="s">
        <v>72</v>
      </c>
      <c r="B770" t="s">
        <v>14902</v>
      </c>
      <c r="C770" t="s">
        <v>74</v>
      </c>
      <c r="D770" t="s">
        <v>74</v>
      </c>
      <c r="E770" t="s">
        <v>74</v>
      </c>
      <c r="F770" t="s">
        <v>14903</v>
      </c>
      <c r="G770" t="s">
        <v>74</v>
      </c>
      <c r="H770" t="s">
        <v>74</v>
      </c>
      <c r="I770" t="s">
        <v>14904</v>
      </c>
      <c r="J770" t="s">
        <v>2719</v>
      </c>
      <c r="K770" t="s">
        <v>74</v>
      </c>
      <c r="L770" t="s">
        <v>74</v>
      </c>
      <c r="M770" t="s">
        <v>78</v>
      </c>
      <c r="N770" t="s">
        <v>79</v>
      </c>
      <c r="O770" t="s">
        <v>74</v>
      </c>
      <c r="P770" t="s">
        <v>74</v>
      </c>
      <c r="Q770" t="s">
        <v>74</v>
      </c>
      <c r="R770" t="s">
        <v>74</v>
      </c>
      <c r="S770" t="s">
        <v>74</v>
      </c>
      <c r="T770" t="s">
        <v>14905</v>
      </c>
      <c r="U770" t="s">
        <v>14906</v>
      </c>
      <c r="V770" t="s">
        <v>14907</v>
      </c>
      <c r="W770" t="s">
        <v>14908</v>
      </c>
      <c r="X770" t="s">
        <v>3193</v>
      </c>
      <c r="Y770" t="s">
        <v>14909</v>
      </c>
      <c r="Z770" t="s">
        <v>14910</v>
      </c>
      <c r="AA770" t="s">
        <v>14911</v>
      </c>
      <c r="AB770" t="s">
        <v>14912</v>
      </c>
      <c r="AC770" t="s">
        <v>74</v>
      </c>
      <c r="AD770" t="s">
        <v>74</v>
      </c>
      <c r="AE770" t="s">
        <v>74</v>
      </c>
      <c r="AF770" t="s">
        <v>74</v>
      </c>
      <c r="AG770">
        <v>72</v>
      </c>
      <c r="AH770">
        <v>17</v>
      </c>
      <c r="AI770">
        <v>17</v>
      </c>
      <c r="AJ770">
        <v>0</v>
      </c>
      <c r="AK770">
        <v>11</v>
      </c>
      <c r="AL770" t="s">
        <v>2011</v>
      </c>
      <c r="AM770" t="s">
        <v>2012</v>
      </c>
      <c r="AN770" t="s">
        <v>2013</v>
      </c>
      <c r="AO770" t="s">
        <v>2732</v>
      </c>
      <c r="AP770" t="s">
        <v>74</v>
      </c>
      <c r="AQ770" t="s">
        <v>74</v>
      </c>
      <c r="AR770" t="s">
        <v>2733</v>
      </c>
      <c r="AS770" t="s">
        <v>2734</v>
      </c>
      <c r="AT770" t="s">
        <v>12668</v>
      </c>
      <c r="AU770">
        <v>2019</v>
      </c>
      <c r="AV770">
        <v>11</v>
      </c>
      <c r="AW770">
        <v>2</v>
      </c>
      <c r="AX770" t="s">
        <v>74</v>
      </c>
      <c r="AY770" t="s">
        <v>74</v>
      </c>
      <c r="AZ770" t="s">
        <v>74</v>
      </c>
      <c r="BA770" t="s">
        <v>74</v>
      </c>
      <c r="BB770" t="s">
        <v>74</v>
      </c>
      <c r="BC770" t="s">
        <v>74</v>
      </c>
      <c r="BD770">
        <v>213</v>
      </c>
      <c r="BE770" t="s">
        <v>14913</v>
      </c>
      <c r="BF770" t="str">
        <f>HYPERLINK("http://dx.doi.org/10.3390/w11020213","http://dx.doi.org/10.3390/w11020213")</f>
        <v>http://dx.doi.org/10.3390/w11020213</v>
      </c>
      <c r="BG770" t="s">
        <v>74</v>
      </c>
      <c r="BH770" t="s">
        <v>74</v>
      </c>
      <c r="BI770">
        <v>38</v>
      </c>
      <c r="BJ770" t="s">
        <v>2736</v>
      </c>
      <c r="BK770" t="s">
        <v>337</v>
      </c>
      <c r="BL770" t="s">
        <v>2737</v>
      </c>
      <c r="BM770" t="s">
        <v>14914</v>
      </c>
      <c r="BN770" t="s">
        <v>74</v>
      </c>
      <c r="BO770" t="s">
        <v>6753</v>
      </c>
      <c r="BP770" t="s">
        <v>74</v>
      </c>
      <c r="BQ770" t="s">
        <v>74</v>
      </c>
      <c r="BR770" t="s">
        <v>107</v>
      </c>
      <c r="BS770" t="s">
        <v>14915</v>
      </c>
      <c r="BT770" t="str">
        <f>HYPERLINK("https%3A%2F%2Fwww.webofscience.com%2Fwos%2Fwoscc%2Ffull-record%2FWOS:000460899600032","View Full Record in Web of Science")</f>
        <v>View Full Record in Web of Science</v>
      </c>
    </row>
    <row r="771" spans="1:72" x14ac:dyDescent="0.15">
      <c r="A771" t="s">
        <v>72</v>
      </c>
      <c r="B771" t="s">
        <v>14916</v>
      </c>
      <c r="C771" t="s">
        <v>74</v>
      </c>
      <c r="D771" t="s">
        <v>74</v>
      </c>
      <c r="E771" t="s">
        <v>74</v>
      </c>
      <c r="F771" t="s">
        <v>14917</v>
      </c>
      <c r="G771" t="s">
        <v>74</v>
      </c>
      <c r="H771" t="s">
        <v>74</v>
      </c>
      <c r="I771" t="s">
        <v>14918</v>
      </c>
      <c r="J771" t="s">
        <v>4975</v>
      </c>
      <c r="K771" t="s">
        <v>74</v>
      </c>
      <c r="L771" t="s">
        <v>74</v>
      </c>
      <c r="M771" t="s">
        <v>78</v>
      </c>
      <c r="N771" t="s">
        <v>79</v>
      </c>
      <c r="O771" t="s">
        <v>74</v>
      </c>
      <c r="P771" t="s">
        <v>74</v>
      </c>
      <c r="Q771" t="s">
        <v>74</v>
      </c>
      <c r="R771" t="s">
        <v>74</v>
      </c>
      <c r="S771" t="s">
        <v>74</v>
      </c>
      <c r="T771" t="s">
        <v>14919</v>
      </c>
      <c r="U771" t="s">
        <v>14920</v>
      </c>
      <c r="V771" t="s">
        <v>14921</v>
      </c>
      <c r="W771" t="s">
        <v>14922</v>
      </c>
      <c r="X771" t="s">
        <v>14923</v>
      </c>
      <c r="Y771" t="s">
        <v>14924</v>
      </c>
      <c r="Z771" t="s">
        <v>14925</v>
      </c>
      <c r="AA771" t="s">
        <v>14926</v>
      </c>
      <c r="AB771" t="s">
        <v>14927</v>
      </c>
      <c r="AC771" t="s">
        <v>14928</v>
      </c>
      <c r="AD771" t="s">
        <v>14929</v>
      </c>
      <c r="AE771" t="s">
        <v>14930</v>
      </c>
      <c r="AF771" t="s">
        <v>74</v>
      </c>
      <c r="AG771">
        <v>38</v>
      </c>
      <c r="AH771">
        <v>10</v>
      </c>
      <c r="AI771">
        <v>11</v>
      </c>
      <c r="AJ771">
        <v>1</v>
      </c>
      <c r="AK771">
        <v>33</v>
      </c>
      <c r="AL771" t="s">
        <v>550</v>
      </c>
      <c r="AM771" t="s">
        <v>551</v>
      </c>
      <c r="AN771" t="s">
        <v>552</v>
      </c>
      <c r="AO771" t="s">
        <v>4987</v>
      </c>
      <c r="AP771" t="s">
        <v>4988</v>
      </c>
      <c r="AQ771" t="s">
        <v>74</v>
      </c>
      <c r="AR771" t="s">
        <v>4989</v>
      </c>
      <c r="AS771" t="s">
        <v>4990</v>
      </c>
      <c r="AT771" t="s">
        <v>12668</v>
      </c>
      <c r="AU771">
        <v>2019</v>
      </c>
      <c r="AV771">
        <v>189</v>
      </c>
      <c r="AW771">
        <v>1</v>
      </c>
      <c r="AX771" t="s">
        <v>74</v>
      </c>
      <c r="AY771" t="s">
        <v>74</v>
      </c>
      <c r="AZ771" t="s">
        <v>74</v>
      </c>
      <c r="BA771" t="s">
        <v>74</v>
      </c>
      <c r="BB771">
        <v>109</v>
      </c>
      <c r="BC771">
        <v>120</v>
      </c>
      <c r="BD771" t="s">
        <v>74</v>
      </c>
      <c r="BE771" t="s">
        <v>14931</v>
      </c>
      <c r="BF771" t="str">
        <f>HYPERLINK("http://dx.doi.org/10.1007/s00360-018-1199-5","http://dx.doi.org/10.1007/s00360-018-1199-5")</f>
        <v>http://dx.doi.org/10.1007/s00360-018-1199-5</v>
      </c>
      <c r="BG771" t="s">
        <v>74</v>
      </c>
      <c r="BH771" t="s">
        <v>74</v>
      </c>
      <c r="BI771">
        <v>12</v>
      </c>
      <c r="BJ771" t="s">
        <v>4992</v>
      </c>
      <c r="BK771" t="s">
        <v>102</v>
      </c>
      <c r="BL771" t="s">
        <v>4992</v>
      </c>
      <c r="BM771" t="s">
        <v>14932</v>
      </c>
      <c r="BN771">
        <v>30603847</v>
      </c>
      <c r="BO771" t="s">
        <v>74</v>
      </c>
      <c r="BP771" t="s">
        <v>74</v>
      </c>
      <c r="BQ771" t="s">
        <v>74</v>
      </c>
      <c r="BR771" t="s">
        <v>107</v>
      </c>
      <c r="BS771" t="s">
        <v>14933</v>
      </c>
      <c r="BT771" t="str">
        <f>HYPERLINK("https%3A%2F%2Fwww.webofscience.com%2Fwos%2Fwoscc%2Ffull-record%2FWOS:000455828300009","View Full Record in Web of Science")</f>
        <v>View Full Record in Web of Science</v>
      </c>
    </row>
    <row r="772" spans="1:72" x14ac:dyDescent="0.15">
      <c r="A772" t="s">
        <v>72</v>
      </c>
      <c r="B772" t="s">
        <v>14934</v>
      </c>
      <c r="C772" t="s">
        <v>74</v>
      </c>
      <c r="D772" t="s">
        <v>74</v>
      </c>
      <c r="E772" t="s">
        <v>74</v>
      </c>
      <c r="F772" t="s">
        <v>14935</v>
      </c>
      <c r="G772" t="s">
        <v>74</v>
      </c>
      <c r="H772" t="s">
        <v>74</v>
      </c>
      <c r="I772" t="s">
        <v>14936</v>
      </c>
      <c r="J772" t="s">
        <v>1829</v>
      </c>
      <c r="K772" t="s">
        <v>74</v>
      </c>
      <c r="L772" t="s">
        <v>74</v>
      </c>
      <c r="M772" t="s">
        <v>78</v>
      </c>
      <c r="N772" t="s">
        <v>79</v>
      </c>
      <c r="O772" t="s">
        <v>74</v>
      </c>
      <c r="P772" t="s">
        <v>74</v>
      </c>
      <c r="Q772" t="s">
        <v>74</v>
      </c>
      <c r="R772" t="s">
        <v>74</v>
      </c>
      <c r="S772" t="s">
        <v>74</v>
      </c>
      <c r="T772" t="s">
        <v>14937</v>
      </c>
      <c r="U772" t="s">
        <v>14938</v>
      </c>
      <c r="V772" t="s">
        <v>14939</v>
      </c>
      <c r="W772" t="s">
        <v>14940</v>
      </c>
      <c r="X772" t="s">
        <v>14941</v>
      </c>
      <c r="Y772" t="s">
        <v>14942</v>
      </c>
      <c r="Z772" t="s">
        <v>14943</v>
      </c>
      <c r="AA772" t="s">
        <v>74</v>
      </c>
      <c r="AB772" t="s">
        <v>14944</v>
      </c>
      <c r="AC772" t="s">
        <v>14945</v>
      </c>
      <c r="AD772" t="s">
        <v>14946</v>
      </c>
      <c r="AE772" t="s">
        <v>14947</v>
      </c>
      <c r="AF772" t="s">
        <v>74</v>
      </c>
      <c r="AG772">
        <v>56</v>
      </c>
      <c r="AH772">
        <v>22</v>
      </c>
      <c r="AI772">
        <v>23</v>
      </c>
      <c r="AJ772">
        <v>1</v>
      </c>
      <c r="AK772">
        <v>10</v>
      </c>
      <c r="AL772" t="s">
        <v>378</v>
      </c>
      <c r="AM772" t="s">
        <v>93</v>
      </c>
      <c r="AN772" t="s">
        <v>379</v>
      </c>
      <c r="AO772" t="s">
        <v>1842</v>
      </c>
      <c r="AP772" t="s">
        <v>1843</v>
      </c>
      <c r="AQ772" t="s">
        <v>74</v>
      </c>
      <c r="AR772" t="s">
        <v>1844</v>
      </c>
      <c r="AS772" t="s">
        <v>1845</v>
      </c>
      <c r="AT772" t="s">
        <v>12783</v>
      </c>
      <c r="AU772">
        <v>2019</v>
      </c>
      <c r="AV772">
        <v>246</v>
      </c>
      <c r="AW772" t="s">
        <v>74</v>
      </c>
      <c r="AX772" t="s">
        <v>74</v>
      </c>
      <c r="AY772" t="s">
        <v>74</v>
      </c>
      <c r="AZ772" t="s">
        <v>74</v>
      </c>
      <c r="BA772" t="s">
        <v>74</v>
      </c>
      <c r="BB772">
        <v>109</v>
      </c>
      <c r="BC772">
        <v>122</v>
      </c>
      <c r="BD772" t="s">
        <v>74</v>
      </c>
      <c r="BE772" t="s">
        <v>14948</v>
      </c>
      <c r="BF772" t="str">
        <f>HYPERLINK("http://dx.doi.org/10.1016/j.gca.2018.11.029","http://dx.doi.org/10.1016/j.gca.2018.11.029")</f>
        <v>http://dx.doi.org/10.1016/j.gca.2018.11.029</v>
      </c>
      <c r="BG772" t="s">
        <v>74</v>
      </c>
      <c r="BH772" t="s">
        <v>74</v>
      </c>
      <c r="BI772">
        <v>14</v>
      </c>
      <c r="BJ772" t="s">
        <v>643</v>
      </c>
      <c r="BK772" t="s">
        <v>102</v>
      </c>
      <c r="BL772" t="s">
        <v>643</v>
      </c>
      <c r="BM772" t="s">
        <v>14949</v>
      </c>
      <c r="BN772">
        <v>30846886</v>
      </c>
      <c r="BO772" t="s">
        <v>942</v>
      </c>
      <c r="BP772" t="s">
        <v>74</v>
      </c>
      <c r="BQ772" t="s">
        <v>74</v>
      </c>
      <c r="BR772" t="s">
        <v>107</v>
      </c>
      <c r="BS772" t="s">
        <v>14950</v>
      </c>
      <c r="BT772" t="str">
        <f>HYPERLINK("https%3A%2F%2Fwww.webofscience.com%2Fwos%2Fwoscc%2Ffull-record%2FWOS:000455651400006","View Full Record in Web of Science")</f>
        <v>View Full Record in Web of Science</v>
      </c>
    </row>
    <row r="773" spans="1:72" x14ac:dyDescent="0.15">
      <c r="A773" t="s">
        <v>72</v>
      </c>
      <c r="B773" t="s">
        <v>14951</v>
      </c>
      <c r="C773" t="s">
        <v>74</v>
      </c>
      <c r="D773" t="s">
        <v>74</v>
      </c>
      <c r="E773" t="s">
        <v>74</v>
      </c>
      <c r="F773" t="s">
        <v>14952</v>
      </c>
      <c r="G773" t="s">
        <v>74</v>
      </c>
      <c r="H773" t="s">
        <v>74</v>
      </c>
      <c r="I773" t="s">
        <v>14953</v>
      </c>
      <c r="J773" t="s">
        <v>1829</v>
      </c>
      <c r="K773" t="s">
        <v>74</v>
      </c>
      <c r="L773" t="s">
        <v>74</v>
      </c>
      <c r="M773" t="s">
        <v>78</v>
      </c>
      <c r="N773" t="s">
        <v>79</v>
      </c>
      <c r="O773" t="s">
        <v>74</v>
      </c>
      <c r="P773" t="s">
        <v>74</v>
      </c>
      <c r="Q773" t="s">
        <v>74</v>
      </c>
      <c r="R773" t="s">
        <v>74</v>
      </c>
      <c r="S773" t="s">
        <v>74</v>
      </c>
      <c r="T773" t="s">
        <v>14954</v>
      </c>
      <c r="U773" t="s">
        <v>14955</v>
      </c>
      <c r="V773" t="s">
        <v>14956</v>
      </c>
      <c r="W773" t="s">
        <v>14957</v>
      </c>
      <c r="X773" t="s">
        <v>14958</v>
      </c>
      <c r="Y773" t="s">
        <v>14959</v>
      </c>
      <c r="Z773" t="s">
        <v>14960</v>
      </c>
      <c r="AA773" t="s">
        <v>14961</v>
      </c>
      <c r="AB773" t="s">
        <v>74</v>
      </c>
      <c r="AC773" t="s">
        <v>14962</v>
      </c>
      <c r="AD773" t="s">
        <v>14963</v>
      </c>
      <c r="AE773" t="s">
        <v>14964</v>
      </c>
      <c r="AF773" t="s">
        <v>74</v>
      </c>
      <c r="AG773">
        <v>56</v>
      </c>
      <c r="AH773">
        <v>17</v>
      </c>
      <c r="AI773">
        <v>17</v>
      </c>
      <c r="AJ773">
        <v>2</v>
      </c>
      <c r="AK773">
        <v>32</v>
      </c>
      <c r="AL773" t="s">
        <v>378</v>
      </c>
      <c r="AM773" t="s">
        <v>93</v>
      </c>
      <c r="AN773" t="s">
        <v>379</v>
      </c>
      <c r="AO773" t="s">
        <v>1842</v>
      </c>
      <c r="AP773" t="s">
        <v>1843</v>
      </c>
      <c r="AQ773" t="s">
        <v>74</v>
      </c>
      <c r="AR773" t="s">
        <v>1844</v>
      </c>
      <c r="AS773" t="s">
        <v>1845</v>
      </c>
      <c r="AT773" t="s">
        <v>12783</v>
      </c>
      <c r="AU773">
        <v>2019</v>
      </c>
      <c r="AV773">
        <v>246</v>
      </c>
      <c r="AW773" t="s">
        <v>74</v>
      </c>
      <c r="AX773" t="s">
        <v>74</v>
      </c>
      <c r="AY773" t="s">
        <v>74</v>
      </c>
      <c r="AZ773" t="s">
        <v>74</v>
      </c>
      <c r="BA773" t="s">
        <v>74</v>
      </c>
      <c r="BB773">
        <v>123</v>
      </c>
      <c r="BC773">
        <v>137</v>
      </c>
      <c r="BD773" t="s">
        <v>74</v>
      </c>
      <c r="BE773" t="s">
        <v>14965</v>
      </c>
      <c r="BF773" t="str">
        <f>HYPERLINK("http://dx.doi.org/10.1016/j.gca.2018.11.022","http://dx.doi.org/10.1016/j.gca.2018.11.022")</f>
        <v>http://dx.doi.org/10.1016/j.gca.2018.11.022</v>
      </c>
      <c r="BG773" t="s">
        <v>74</v>
      </c>
      <c r="BH773" t="s">
        <v>74</v>
      </c>
      <c r="BI773">
        <v>15</v>
      </c>
      <c r="BJ773" t="s">
        <v>643</v>
      </c>
      <c r="BK773" t="s">
        <v>102</v>
      </c>
      <c r="BL773" t="s">
        <v>643</v>
      </c>
      <c r="BM773" t="s">
        <v>14949</v>
      </c>
      <c r="BN773" t="s">
        <v>74</v>
      </c>
      <c r="BO773" t="s">
        <v>198</v>
      </c>
      <c r="BP773" t="s">
        <v>74</v>
      </c>
      <c r="BQ773" t="s">
        <v>74</v>
      </c>
      <c r="BR773" t="s">
        <v>107</v>
      </c>
      <c r="BS773" t="s">
        <v>14966</v>
      </c>
      <c r="BT773" t="str">
        <f>HYPERLINK("https%3A%2F%2Fwww.webofscience.com%2Fwos%2Fwoscc%2Ffull-record%2FWOS:000455651400007","View Full Record in Web of Science")</f>
        <v>View Full Record in Web of Science</v>
      </c>
    </row>
    <row r="774" spans="1:72" x14ac:dyDescent="0.15">
      <c r="A774" t="s">
        <v>72</v>
      </c>
      <c r="B774" t="s">
        <v>14967</v>
      </c>
      <c r="C774" t="s">
        <v>74</v>
      </c>
      <c r="D774" t="s">
        <v>74</v>
      </c>
      <c r="E774" t="s">
        <v>74</v>
      </c>
      <c r="F774" t="s">
        <v>14968</v>
      </c>
      <c r="G774" t="s">
        <v>74</v>
      </c>
      <c r="H774" t="s">
        <v>74</v>
      </c>
      <c r="I774" t="s">
        <v>14969</v>
      </c>
      <c r="J774" t="s">
        <v>1829</v>
      </c>
      <c r="K774" t="s">
        <v>74</v>
      </c>
      <c r="L774" t="s">
        <v>74</v>
      </c>
      <c r="M774" t="s">
        <v>78</v>
      </c>
      <c r="N774" t="s">
        <v>79</v>
      </c>
      <c r="O774" t="s">
        <v>74</v>
      </c>
      <c r="P774" t="s">
        <v>74</v>
      </c>
      <c r="Q774" t="s">
        <v>74</v>
      </c>
      <c r="R774" t="s">
        <v>74</v>
      </c>
      <c r="S774" t="s">
        <v>74</v>
      </c>
      <c r="T774" t="s">
        <v>14970</v>
      </c>
      <c r="U774" t="s">
        <v>14971</v>
      </c>
      <c r="V774" t="s">
        <v>14972</v>
      </c>
      <c r="W774" t="s">
        <v>14973</v>
      </c>
      <c r="X774" t="s">
        <v>14974</v>
      </c>
      <c r="Y774" t="s">
        <v>14975</v>
      </c>
      <c r="Z774" t="s">
        <v>14976</v>
      </c>
      <c r="AA774" t="s">
        <v>14977</v>
      </c>
      <c r="AB774" t="s">
        <v>14978</v>
      </c>
      <c r="AC774" t="s">
        <v>14979</v>
      </c>
      <c r="AD774" t="s">
        <v>14980</v>
      </c>
      <c r="AE774" t="s">
        <v>14981</v>
      </c>
      <c r="AF774" t="s">
        <v>74</v>
      </c>
      <c r="AG774">
        <v>81</v>
      </c>
      <c r="AH774">
        <v>19</v>
      </c>
      <c r="AI774">
        <v>20</v>
      </c>
      <c r="AJ774">
        <v>0</v>
      </c>
      <c r="AK774">
        <v>50</v>
      </c>
      <c r="AL774" t="s">
        <v>378</v>
      </c>
      <c r="AM774" t="s">
        <v>93</v>
      </c>
      <c r="AN774" t="s">
        <v>379</v>
      </c>
      <c r="AO774" t="s">
        <v>1842</v>
      </c>
      <c r="AP774" t="s">
        <v>1843</v>
      </c>
      <c r="AQ774" t="s">
        <v>74</v>
      </c>
      <c r="AR774" t="s">
        <v>1844</v>
      </c>
      <c r="AS774" t="s">
        <v>1845</v>
      </c>
      <c r="AT774" t="s">
        <v>12783</v>
      </c>
      <c r="AU774">
        <v>2019</v>
      </c>
      <c r="AV774">
        <v>246</v>
      </c>
      <c r="AW774" t="s">
        <v>74</v>
      </c>
      <c r="AX774" t="s">
        <v>74</v>
      </c>
      <c r="AY774" t="s">
        <v>74</v>
      </c>
      <c r="AZ774" t="s">
        <v>74</v>
      </c>
      <c r="BA774" t="s">
        <v>74</v>
      </c>
      <c r="BB774">
        <v>339</v>
      </c>
      <c r="BC774">
        <v>362</v>
      </c>
      <c r="BD774" t="s">
        <v>74</v>
      </c>
      <c r="BE774" t="s">
        <v>14982</v>
      </c>
      <c r="BF774" t="str">
        <f>HYPERLINK("http://dx.doi.org/10.1016/j.gca.2018.12.001","http://dx.doi.org/10.1016/j.gca.2018.12.001")</f>
        <v>http://dx.doi.org/10.1016/j.gca.2018.12.001</v>
      </c>
      <c r="BG774" t="s">
        <v>74</v>
      </c>
      <c r="BH774" t="s">
        <v>74</v>
      </c>
      <c r="BI774">
        <v>24</v>
      </c>
      <c r="BJ774" t="s">
        <v>643</v>
      </c>
      <c r="BK774" t="s">
        <v>102</v>
      </c>
      <c r="BL774" t="s">
        <v>643</v>
      </c>
      <c r="BM774" t="s">
        <v>14949</v>
      </c>
      <c r="BN774" t="s">
        <v>74</v>
      </c>
      <c r="BO774" t="s">
        <v>74</v>
      </c>
      <c r="BP774" t="s">
        <v>74</v>
      </c>
      <c r="BQ774" t="s">
        <v>74</v>
      </c>
      <c r="BR774" t="s">
        <v>107</v>
      </c>
      <c r="BS774" t="s">
        <v>14983</v>
      </c>
      <c r="BT774" t="str">
        <f>HYPERLINK("https%3A%2F%2Fwww.webofscience.com%2Fwos%2Fwoscc%2Ffull-record%2FWOS:000455651400017","View Full Record in Web of Science")</f>
        <v>View Full Record in Web of Science</v>
      </c>
    </row>
    <row r="775" spans="1:72" x14ac:dyDescent="0.15">
      <c r="A775" t="s">
        <v>72</v>
      </c>
      <c r="B775" t="s">
        <v>14984</v>
      </c>
      <c r="C775" t="s">
        <v>74</v>
      </c>
      <c r="D775" t="s">
        <v>74</v>
      </c>
      <c r="E775" t="s">
        <v>74</v>
      </c>
      <c r="F775" t="s">
        <v>14985</v>
      </c>
      <c r="G775" t="s">
        <v>74</v>
      </c>
      <c r="H775" t="s">
        <v>74</v>
      </c>
      <c r="I775" t="s">
        <v>14986</v>
      </c>
      <c r="J775" t="s">
        <v>1829</v>
      </c>
      <c r="K775" t="s">
        <v>74</v>
      </c>
      <c r="L775" t="s">
        <v>74</v>
      </c>
      <c r="M775" t="s">
        <v>78</v>
      </c>
      <c r="N775" t="s">
        <v>79</v>
      </c>
      <c r="O775" t="s">
        <v>74</v>
      </c>
      <c r="P775" t="s">
        <v>74</v>
      </c>
      <c r="Q775" t="s">
        <v>74</v>
      </c>
      <c r="R775" t="s">
        <v>74</v>
      </c>
      <c r="S775" t="s">
        <v>74</v>
      </c>
      <c r="T775" t="s">
        <v>14987</v>
      </c>
      <c r="U775" t="s">
        <v>14988</v>
      </c>
      <c r="V775" t="s">
        <v>14989</v>
      </c>
      <c r="W775" t="s">
        <v>14990</v>
      </c>
      <c r="X775" t="s">
        <v>14991</v>
      </c>
      <c r="Y775" t="s">
        <v>14992</v>
      </c>
      <c r="Z775" t="s">
        <v>14993</v>
      </c>
      <c r="AA775" t="s">
        <v>14994</v>
      </c>
      <c r="AB775" t="s">
        <v>14995</v>
      </c>
      <c r="AC775" t="s">
        <v>14996</v>
      </c>
      <c r="AD775" t="s">
        <v>14997</v>
      </c>
      <c r="AE775" t="s">
        <v>14998</v>
      </c>
      <c r="AF775" t="s">
        <v>74</v>
      </c>
      <c r="AG775">
        <v>72</v>
      </c>
      <c r="AH775">
        <v>5</v>
      </c>
      <c r="AI775">
        <v>7</v>
      </c>
      <c r="AJ775">
        <v>0</v>
      </c>
      <c r="AK775">
        <v>30</v>
      </c>
      <c r="AL775" t="s">
        <v>378</v>
      </c>
      <c r="AM775" t="s">
        <v>93</v>
      </c>
      <c r="AN775" t="s">
        <v>379</v>
      </c>
      <c r="AO775" t="s">
        <v>1842</v>
      </c>
      <c r="AP775" t="s">
        <v>1843</v>
      </c>
      <c r="AQ775" t="s">
        <v>74</v>
      </c>
      <c r="AR775" t="s">
        <v>1844</v>
      </c>
      <c r="AS775" t="s">
        <v>1845</v>
      </c>
      <c r="AT775" t="s">
        <v>12783</v>
      </c>
      <c r="AU775">
        <v>2019</v>
      </c>
      <c r="AV775">
        <v>246</v>
      </c>
      <c r="AW775" t="s">
        <v>74</v>
      </c>
      <c r="AX775" t="s">
        <v>74</v>
      </c>
      <c r="AY775" t="s">
        <v>74</v>
      </c>
      <c r="AZ775" t="s">
        <v>74</v>
      </c>
      <c r="BA775" t="s">
        <v>74</v>
      </c>
      <c r="BB775">
        <v>450</v>
      </c>
      <c r="BC775">
        <v>460</v>
      </c>
      <c r="BD775" t="s">
        <v>74</v>
      </c>
      <c r="BE775" t="s">
        <v>14999</v>
      </c>
      <c r="BF775" t="str">
        <f>HYPERLINK("http://dx.doi.org/10.1016/j.gca.2018.12.009","http://dx.doi.org/10.1016/j.gca.2018.12.009")</f>
        <v>http://dx.doi.org/10.1016/j.gca.2018.12.009</v>
      </c>
      <c r="BG775" t="s">
        <v>74</v>
      </c>
      <c r="BH775" t="s">
        <v>74</v>
      </c>
      <c r="BI775">
        <v>11</v>
      </c>
      <c r="BJ775" t="s">
        <v>643</v>
      </c>
      <c r="BK775" t="s">
        <v>102</v>
      </c>
      <c r="BL775" t="s">
        <v>643</v>
      </c>
      <c r="BM775" t="s">
        <v>14949</v>
      </c>
      <c r="BN775" t="s">
        <v>74</v>
      </c>
      <c r="BO775" t="s">
        <v>15000</v>
      </c>
      <c r="BP775" t="s">
        <v>74</v>
      </c>
      <c r="BQ775" t="s">
        <v>74</v>
      </c>
      <c r="BR775" t="s">
        <v>107</v>
      </c>
      <c r="BS775" t="s">
        <v>15001</v>
      </c>
      <c r="BT775" t="str">
        <f>HYPERLINK("https%3A%2F%2Fwww.webofscience.com%2Fwos%2Fwoscc%2Ffull-record%2FWOS:000455651400023","View Full Record in Web of Science")</f>
        <v>View Full Record in Web of Science</v>
      </c>
    </row>
    <row r="776" spans="1:72" x14ac:dyDescent="0.15">
      <c r="A776" t="s">
        <v>72</v>
      </c>
      <c r="B776" t="s">
        <v>15002</v>
      </c>
      <c r="C776" t="s">
        <v>74</v>
      </c>
      <c r="D776" t="s">
        <v>74</v>
      </c>
      <c r="E776" t="s">
        <v>74</v>
      </c>
      <c r="F776" t="s">
        <v>15003</v>
      </c>
      <c r="G776" t="s">
        <v>74</v>
      </c>
      <c r="H776" t="s">
        <v>74</v>
      </c>
      <c r="I776" t="s">
        <v>15004</v>
      </c>
      <c r="J776" t="s">
        <v>7212</v>
      </c>
      <c r="K776" t="s">
        <v>74</v>
      </c>
      <c r="L776" t="s">
        <v>74</v>
      </c>
      <c r="M776" t="s">
        <v>78</v>
      </c>
      <c r="N776" t="s">
        <v>79</v>
      </c>
      <c r="O776" t="s">
        <v>74</v>
      </c>
      <c r="P776" t="s">
        <v>74</v>
      </c>
      <c r="Q776" t="s">
        <v>74</v>
      </c>
      <c r="R776" t="s">
        <v>74</v>
      </c>
      <c r="S776" t="s">
        <v>74</v>
      </c>
      <c r="T776" t="s">
        <v>74</v>
      </c>
      <c r="U776" t="s">
        <v>15005</v>
      </c>
      <c r="V776" t="s">
        <v>15006</v>
      </c>
      <c r="W776" t="s">
        <v>15007</v>
      </c>
      <c r="X776" t="s">
        <v>15008</v>
      </c>
      <c r="Y776" t="s">
        <v>15009</v>
      </c>
      <c r="Z776" t="s">
        <v>15010</v>
      </c>
      <c r="AA776" t="s">
        <v>15011</v>
      </c>
      <c r="AB776" t="s">
        <v>15012</v>
      </c>
      <c r="AC776" t="s">
        <v>15013</v>
      </c>
      <c r="AD776" t="s">
        <v>15014</v>
      </c>
      <c r="AE776" t="s">
        <v>15015</v>
      </c>
      <c r="AF776" t="s">
        <v>74</v>
      </c>
      <c r="AG776">
        <v>80</v>
      </c>
      <c r="AH776">
        <v>4</v>
      </c>
      <c r="AI776">
        <v>4</v>
      </c>
      <c r="AJ776">
        <v>1</v>
      </c>
      <c r="AK776">
        <v>8</v>
      </c>
      <c r="AL776" t="s">
        <v>7222</v>
      </c>
      <c r="AM776" t="s">
        <v>7223</v>
      </c>
      <c r="AN776" t="s">
        <v>7224</v>
      </c>
      <c r="AO776" t="s">
        <v>7225</v>
      </c>
      <c r="AP776" t="s">
        <v>7226</v>
      </c>
      <c r="AQ776" t="s">
        <v>74</v>
      </c>
      <c r="AR776" t="s">
        <v>7212</v>
      </c>
      <c r="AS776" t="s">
        <v>7227</v>
      </c>
      <c r="AT776" t="s">
        <v>12668</v>
      </c>
      <c r="AU776">
        <v>2019</v>
      </c>
      <c r="AV776">
        <v>319</v>
      </c>
      <c r="AW776" t="s">
        <v>74</v>
      </c>
      <c r="AX776" t="s">
        <v>74</v>
      </c>
      <c r="AY776" t="s">
        <v>74</v>
      </c>
      <c r="AZ776" t="s">
        <v>74</v>
      </c>
      <c r="BA776" t="s">
        <v>74</v>
      </c>
      <c r="BB776">
        <v>669</v>
      </c>
      <c r="BC776">
        <v>684</v>
      </c>
      <c r="BD776" t="s">
        <v>74</v>
      </c>
      <c r="BE776" t="s">
        <v>15016</v>
      </c>
      <c r="BF776" t="str">
        <f>HYPERLINK("http://dx.doi.org/10.1016/j.icarus.2018.10.007","http://dx.doi.org/10.1016/j.icarus.2018.10.007")</f>
        <v>http://dx.doi.org/10.1016/j.icarus.2018.10.007</v>
      </c>
      <c r="BG776" t="s">
        <v>74</v>
      </c>
      <c r="BH776" t="s">
        <v>74</v>
      </c>
      <c r="BI776">
        <v>16</v>
      </c>
      <c r="BJ776" t="s">
        <v>2579</v>
      </c>
      <c r="BK776" t="s">
        <v>102</v>
      </c>
      <c r="BL776" t="s">
        <v>2579</v>
      </c>
      <c r="BM776" t="s">
        <v>15017</v>
      </c>
      <c r="BN776" t="s">
        <v>74</v>
      </c>
      <c r="BO776" t="s">
        <v>11523</v>
      </c>
      <c r="BP776" t="s">
        <v>74</v>
      </c>
      <c r="BQ776" t="s">
        <v>74</v>
      </c>
      <c r="BR776" t="s">
        <v>107</v>
      </c>
      <c r="BS776" t="s">
        <v>15018</v>
      </c>
      <c r="BT776" t="str">
        <f>HYPERLINK("https%3A%2F%2Fwww.webofscience.com%2Fwos%2Fwoscc%2Ffull-record%2FWOS:000455422800044","View Full Record in Web of Science")</f>
        <v>View Full Record in Web of Science</v>
      </c>
    </row>
    <row r="777" spans="1:72" x14ac:dyDescent="0.15">
      <c r="A777" t="s">
        <v>72</v>
      </c>
      <c r="B777" t="s">
        <v>15019</v>
      </c>
      <c r="C777" t="s">
        <v>74</v>
      </c>
      <c r="D777" t="s">
        <v>74</v>
      </c>
      <c r="E777" t="s">
        <v>74</v>
      </c>
      <c r="F777" t="s">
        <v>15020</v>
      </c>
      <c r="G777" t="s">
        <v>74</v>
      </c>
      <c r="H777" t="s">
        <v>74</v>
      </c>
      <c r="I777" t="s">
        <v>15021</v>
      </c>
      <c r="J777" t="s">
        <v>7212</v>
      </c>
      <c r="K777" t="s">
        <v>74</v>
      </c>
      <c r="L777" t="s">
        <v>74</v>
      </c>
      <c r="M777" t="s">
        <v>78</v>
      </c>
      <c r="N777" t="s">
        <v>79</v>
      </c>
      <c r="O777" t="s">
        <v>74</v>
      </c>
      <c r="P777" t="s">
        <v>74</v>
      </c>
      <c r="Q777" t="s">
        <v>74</v>
      </c>
      <c r="R777" t="s">
        <v>74</v>
      </c>
      <c r="S777" t="s">
        <v>74</v>
      </c>
      <c r="T777" t="s">
        <v>74</v>
      </c>
      <c r="U777" t="s">
        <v>15022</v>
      </c>
      <c r="V777" t="s">
        <v>15023</v>
      </c>
      <c r="W777" t="s">
        <v>15024</v>
      </c>
      <c r="X777" t="s">
        <v>15025</v>
      </c>
      <c r="Y777" t="s">
        <v>15026</v>
      </c>
      <c r="Z777" t="s">
        <v>15027</v>
      </c>
      <c r="AA777" t="s">
        <v>15028</v>
      </c>
      <c r="AB777" t="s">
        <v>15029</v>
      </c>
      <c r="AC777" t="s">
        <v>15030</v>
      </c>
      <c r="AD777" t="s">
        <v>15031</v>
      </c>
      <c r="AE777" t="s">
        <v>15032</v>
      </c>
      <c r="AF777" t="s">
        <v>74</v>
      </c>
      <c r="AG777">
        <v>125</v>
      </c>
      <c r="AH777">
        <v>38</v>
      </c>
      <c r="AI777">
        <v>42</v>
      </c>
      <c r="AJ777">
        <v>0</v>
      </c>
      <c r="AK777">
        <v>15</v>
      </c>
      <c r="AL777" t="s">
        <v>7222</v>
      </c>
      <c r="AM777" t="s">
        <v>7223</v>
      </c>
      <c r="AN777" t="s">
        <v>7224</v>
      </c>
      <c r="AO777" t="s">
        <v>7225</v>
      </c>
      <c r="AP777" t="s">
        <v>7226</v>
      </c>
      <c r="AQ777" t="s">
        <v>74</v>
      </c>
      <c r="AR777" t="s">
        <v>7212</v>
      </c>
      <c r="AS777" t="s">
        <v>7227</v>
      </c>
      <c r="AT777" t="s">
        <v>12668</v>
      </c>
      <c r="AU777">
        <v>2019</v>
      </c>
      <c r="AV777">
        <v>319</v>
      </c>
      <c r="AW777" t="s">
        <v>74</v>
      </c>
      <c r="AX777" t="s">
        <v>74</v>
      </c>
      <c r="AY777" t="s">
        <v>74</v>
      </c>
      <c r="AZ777" t="s">
        <v>74</v>
      </c>
      <c r="BA777" t="s">
        <v>74</v>
      </c>
      <c r="BB777">
        <v>701</v>
      </c>
      <c r="BC777">
        <v>723</v>
      </c>
      <c r="BD777" t="s">
        <v>74</v>
      </c>
      <c r="BE777" t="s">
        <v>15033</v>
      </c>
      <c r="BF777" t="str">
        <f>HYPERLINK("http://dx.doi.org/10.1016/j.icarus.2018.10.018","http://dx.doi.org/10.1016/j.icarus.2018.10.018")</f>
        <v>http://dx.doi.org/10.1016/j.icarus.2018.10.018</v>
      </c>
      <c r="BG777" t="s">
        <v>74</v>
      </c>
      <c r="BH777" t="s">
        <v>74</v>
      </c>
      <c r="BI777">
        <v>23</v>
      </c>
      <c r="BJ777" t="s">
        <v>2579</v>
      </c>
      <c r="BK777" t="s">
        <v>102</v>
      </c>
      <c r="BL777" t="s">
        <v>2579</v>
      </c>
      <c r="BM777" t="s">
        <v>15017</v>
      </c>
      <c r="BN777" t="s">
        <v>74</v>
      </c>
      <c r="BO777" t="s">
        <v>74</v>
      </c>
      <c r="BP777" t="s">
        <v>74</v>
      </c>
      <c r="BQ777" t="s">
        <v>74</v>
      </c>
      <c r="BR777" t="s">
        <v>107</v>
      </c>
      <c r="BS777" t="s">
        <v>15034</v>
      </c>
      <c r="BT777" t="str">
        <f>HYPERLINK("https%3A%2F%2Fwww.webofscience.com%2Fwos%2Fwoscc%2Ffull-record%2FWOS:000455422800046","View Full Record in Web of Science")</f>
        <v>View Full Record in Web of Science</v>
      </c>
    </row>
    <row r="778" spans="1:72" x14ac:dyDescent="0.15">
      <c r="A778" t="s">
        <v>72</v>
      </c>
      <c r="B778" t="s">
        <v>15035</v>
      </c>
      <c r="C778" t="s">
        <v>74</v>
      </c>
      <c r="D778" t="s">
        <v>74</v>
      </c>
      <c r="E778" t="s">
        <v>74</v>
      </c>
      <c r="F778" t="s">
        <v>15036</v>
      </c>
      <c r="G778" t="s">
        <v>74</v>
      </c>
      <c r="H778" t="s">
        <v>74</v>
      </c>
      <c r="I778" t="s">
        <v>15037</v>
      </c>
      <c r="J778" t="s">
        <v>496</v>
      </c>
      <c r="K778" t="s">
        <v>74</v>
      </c>
      <c r="L778" t="s">
        <v>74</v>
      </c>
      <c r="M778" t="s">
        <v>78</v>
      </c>
      <c r="N778" t="s">
        <v>79</v>
      </c>
      <c r="O778" t="s">
        <v>74</v>
      </c>
      <c r="P778" t="s">
        <v>74</v>
      </c>
      <c r="Q778" t="s">
        <v>74</v>
      </c>
      <c r="R778" t="s">
        <v>74</v>
      </c>
      <c r="S778" t="s">
        <v>74</v>
      </c>
      <c r="T778" t="s">
        <v>15038</v>
      </c>
      <c r="U778" t="s">
        <v>15039</v>
      </c>
      <c r="V778" t="s">
        <v>15040</v>
      </c>
      <c r="W778" t="s">
        <v>15041</v>
      </c>
      <c r="X778" t="s">
        <v>15042</v>
      </c>
      <c r="Y778" t="s">
        <v>15043</v>
      </c>
      <c r="Z778" t="s">
        <v>15044</v>
      </c>
      <c r="AA778" t="s">
        <v>15045</v>
      </c>
      <c r="AB778" t="s">
        <v>15046</v>
      </c>
      <c r="AC778" t="s">
        <v>74</v>
      </c>
      <c r="AD778" t="s">
        <v>74</v>
      </c>
      <c r="AE778" t="s">
        <v>74</v>
      </c>
      <c r="AF778" t="s">
        <v>74</v>
      </c>
      <c r="AG778">
        <v>54</v>
      </c>
      <c r="AH778">
        <v>9</v>
      </c>
      <c r="AI778">
        <v>11</v>
      </c>
      <c r="AJ778">
        <v>0</v>
      </c>
      <c r="AK778">
        <v>16</v>
      </c>
      <c r="AL778" t="s">
        <v>269</v>
      </c>
      <c r="AM778" t="s">
        <v>270</v>
      </c>
      <c r="AN778" t="s">
        <v>271</v>
      </c>
      <c r="AO778" t="s">
        <v>509</v>
      </c>
      <c r="AP778" t="s">
        <v>510</v>
      </c>
      <c r="AQ778" t="s">
        <v>74</v>
      </c>
      <c r="AR778" t="s">
        <v>511</v>
      </c>
      <c r="AS778" t="s">
        <v>512</v>
      </c>
      <c r="AT778" t="s">
        <v>12668</v>
      </c>
      <c r="AU778">
        <v>2019</v>
      </c>
      <c r="AV778">
        <v>32</v>
      </c>
      <c r="AW778">
        <v>3</v>
      </c>
      <c r="AX778" t="s">
        <v>74</v>
      </c>
      <c r="AY778" t="s">
        <v>74</v>
      </c>
      <c r="AZ778" t="s">
        <v>74</v>
      </c>
      <c r="BA778" t="s">
        <v>74</v>
      </c>
      <c r="BB778">
        <v>701</v>
      </c>
      <c r="BC778">
        <v>716</v>
      </c>
      <c r="BD778" t="s">
        <v>74</v>
      </c>
      <c r="BE778" t="s">
        <v>15047</v>
      </c>
      <c r="BF778" t="str">
        <f>HYPERLINK("http://dx.doi.org/10.1175/JCLI-D-18-0438.1","http://dx.doi.org/10.1175/JCLI-D-18-0438.1")</f>
        <v>http://dx.doi.org/10.1175/JCLI-D-18-0438.1</v>
      </c>
      <c r="BG778" t="s">
        <v>74</v>
      </c>
      <c r="BH778" t="s">
        <v>74</v>
      </c>
      <c r="BI778">
        <v>16</v>
      </c>
      <c r="BJ778" t="s">
        <v>133</v>
      </c>
      <c r="BK778" t="s">
        <v>102</v>
      </c>
      <c r="BL778" t="s">
        <v>133</v>
      </c>
      <c r="BM778" t="s">
        <v>15048</v>
      </c>
      <c r="BN778" t="s">
        <v>74</v>
      </c>
      <c r="BO778" t="s">
        <v>279</v>
      </c>
      <c r="BP778" t="s">
        <v>74</v>
      </c>
      <c r="BQ778" t="s">
        <v>74</v>
      </c>
      <c r="BR778" t="s">
        <v>107</v>
      </c>
      <c r="BS778" t="s">
        <v>15049</v>
      </c>
      <c r="BT778" t="str">
        <f>HYPERLINK("https%3A%2F%2Fwww.webofscience.com%2Fwos%2Fwoscc%2Ffull-record%2FWOS:000455005000002","View Full Record in Web of Science")</f>
        <v>View Full Record in Web of Science</v>
      </c>
    </row>
    <row r="779" spans="1:72" x14ac:dyDescent="0.15">
      <c r="A779" t="s">
        <v>72</v>
      </c>
      <c r="B779" t="s">
        <v>15050</v>
      </c>
      <c r="C779" t="s">
        <v>74</v>
      </c>
      <c r="D779" t="s">
        <v>74</v>
      </c>
      <c r="E779" t="s">
        <v>74</v>
      </c>
      <c r="F779" t="s">
        <v>15051</v>
      </c>
      <c r="G779" t="s">
        <v>74</v>
      </c>
      <c r="H779" t="s">
        <v>74</v>
      </c>
      <c r="I779" t="s">
        <v>15052</v>
      </c>
      <c r="J779" t="s">
        <v>5619</v>
      </c>
      <c r="K779" t="s">
        <v>74</v>
      </c>
      <c r="L779" t="s">
        <v>74</v>
      </c>
      <c r="M779" t="s">
        <v>78</v>
      </c>
      <c r="N779" t="s">
        <v>79</v>
      </c>
      <c r="O779" t="s">
        <v>74</v>
      </c>
      <c r="P779" t="s">
        <v>74</v>
      </c>
      <c r="Q779" t="s">
        <v>74</v>
      </c>
      <c r="R779" t="s">
        <v>74</v>
      </c>
      <c r="S779" t="s">
        <v>74</v>
      </c>
      <c r="T779" t="s">
        <v>15053</v>
      </c>
      <c r="U779" t="s">
        <v>15054</v>
      </c>
      <c r="V779" t="s">
        <v>15055</v>
      </c>
      <c r="W779" t="s">
        <v>15056</v>
      </c>
      <c r="X779" t="s">
        <v>15057</v>
      </c>
      <c r="Y779" t="s">
        <v>15058</v>
      </c>
      <c r="Z779" t="s">
        <v>15059</v>
      </c>
      <c r="AA779" t="s">
        <v>15060</v>
      </c>
      <c r="AB779" t="s">
        <v>74</v>
      </c>
      <c r="AC779" t="s">
        <v>74</v>
      </c>
      <c r="AD779" t="s">
        <v>74</v>
      </c>
      <c r="AE779" t="s">
        <v>74</v>
      </c>
      <c r="AF779" t="s">
        <v>74</v>
      </c>
      <c r="AG779">
        <v>60</v>
      </c>
      <c r="AH779">
        <v>6</v>
      </c>
      <c r="AI779">
        <v>6</v>
      </c>
      <c r="AJ779">
        <v>1</v>
      </c>
      <c r="AK779">
        <v>10</v>
      </c>
      <c r="AL779" t="s">
        <v>5632</v>
      </c>
      <c r="AM779" t="s">
        <v>5633</v>
      </c>
      <c r="AN779" t="s">
        <v>5634</v>
      </c>
      <c r="AO779" t="s">
        <v>5635</v>
      </c>
      <c r="AP779" t="s">
        <v>5636</v>
      </c>
      <c r="AQ779" t="s">
        <v>74</v>
      </c>
      <c r="AR779" t="s">
        <v>5637</v>
      </c>
      <c r="AS779" t="s">
        <v>5638</v>
      </c>
      <c r="AT779" t="s">
        <v>12668</v>
      </c>
      <c r="AU779">
        <v>2019</v>
      </c>
      <c r="AV779">
        <v>128</v>
      </c>
      <c r="AW779">
        <v>1</v>
      </c>
      <c r="AX779" t="s">
        <v>74</v>
      </c>
      <c r="AY779" t="s">
        <v>74</v>
      </c>
      <c r="AZ779" t="s">
        <v>74</v>
      </c>
      <c r="BA779" t="s">
        <v>74</v>
      </c>
      <c r="BB779" t="s">
        <v>74</v>
      </c>
      <c r="BC779" t="s">
        <v>74</v>
      </c>
      <c r="BD779">
        <v>21</v>
      </c>
      <c r="BE779" t="s">
        <v>15061</v>
      </c>
      <c r="BF779" t="str">
        <f>HYPERLINK("http://dx.doi.org/10.1007/s12040-018-1042-0","http://dx.doi.org/10.1007/s12040-018-1042-0")</f>
        <v>http://dx.doi.org/10.1007/s12040-018-1042-0</v>
      </c>
      <c r="BG779" t="s">
        <v>74</v>
      </c>
      <c r="BH779" t="s">
        <v>74</v>
      </c>
      <c r="BI779">
        <v>18</v>
      </c>
      <c r="BJ779" t="s">
        <v>5640</v>
      </c>
      <c r="BK779" t="s">
        <v>102</v>
      </c>
      <c r="BL779" t="s">
        <v>5641</v>
      </c>
      <c r="BM779" t="s">
        <v>15062</v>
      </c>
      <c r="BN779" t="s">
        <v>74</v>
      </c>
      <c r="BO779" t="s">
        <v>279</v>
      </c>
      <c r="BP779" t="s">
        <v>74</v>
      </c>
      <c r="BQ779" t="s">
        <v>74</v>
      </c>
      <c r="BR779" t="s">
        <v>107</v>
      </c>
      <c r="BS779" t="s">
        <v>15063</v>
      </c>
      <c r="BT779" t="str">
        <f>HYPERLINK("https%3A%2F%2Fwww.webofscience.com%2Fwos%2Fwoscc%2Ffull-record%2FWOS:000454913400001","View Full Record in Web of Science")</f>
        <v>View Full Record in Web of Science</v>
      </c>
    </row>
    <row r="780" spans="1:72" x14ac:dyDescent="0.15">
      <c r="A780" t="s">
        <v>72</v>
      </c>
      <c r="B780" t="s">
        <v>15064</v>
      </c>
      <c r="C780" t="s">
        <v>74</v>
      </c>
      <c r="D780" t="s">
        <v>74</v>
      </c>
      <c r="E780" t="s">
        <v>74</v>
      </c>
      <c r="F780" t="s">
        <v>15065</v>
      </c>
      <c r="G780" t="s">
        <v>74</v>
      </c>
      <c r="H780" t="s">
        <v>74</v>
      </c>
      <c r="I780" t="s">
        <v>15066</v>
      </c>
      <c r="J780" t="s">
        <v>496</v>
      </c>
      <c r="K780" t="s">
        <v>74</v>
      </c>
      <c r="L780" t="s">
        <v>74</v>
      </c>
      <c r="M780" t="s">
        <v>78</v>
      </c>
      <c r="N780" t="s">
        <v>79</v>
      </c>
      <c r="O780" t="s">
        <v>74</v>
      </c>
      <c r="P780" t="s">
        <v>74</v>
      </c>
      <c r="Q780" t="s">
        <v>74</v>
      </c>
      <c r="R780" t="s">
        <v>74</v>
      </c>
      <c r="S780" t="s">
        <v>74</v>
      </c>
      <c r="T780" t="s">
        <v>15067</v>
      </c>
      <c r="U780" t="s">
        <v>15068</v>
      </c>
      <c r="V780" t="s">
        <v>15069</v>
      </c>
      <c r="W780" t="s">
        <v>15070</v>
      </c>
      <c r="X780" t="s">
        <v>15071</v>
      </c>
      <c r="Y780" t="s">
        <v>15072</v>
      </c>
      <c r="Z780" t="s">
        <v>15073</v>
      </c>
      <c r="AA780" t="s">
        <v>15074</v>
      </c>
      <c r="AB780" t="s">
        <v>15075</v>
      </c>
      <c r="AC780" t="s">
        <v>15076</v>
      </c>
      <c r="AD780" t="s">
        <v>15077</v>
      </c>
      <c r="AE780" t="s">
        <v>15078</v>
      </c>
      <c r="AF780" t="s">
        <v>74</v>
      </c>
      <c r="AG780">
        <v>72</v>
      </c>
      <c r="AH780">
        <v>58</v>
      </c>
      <c r="AI780">
        <v>63</v>
      </c>
      <c r="AJ780">
        <v>2</v>
      </c>
      <c r="AK780">
        <v>93</v>
      </c>
      <c r="AL780" t="s">
        <v>269</v>
      </c>
      <c r="AM780" t="s">
        <v>270</v>
      </c>
      <c r="AN780" t="s">
        <v>271</v>
      </c>
      <c r="AO780" t="s">
        <v>509</v>
      </c>
      <c r="AP780" t="s">
        <v>510</v>
      </c>
      <c r="AQ780" t="s">
        <v>74</v>
      </c>
      <c r="AR780" t="s">
        <v>511</v>
      </c>
      <c r="AS780" t="s">
        <v>512</v>
      </c>
      <c r="AT780" t="s">
        <v>12668</v>
      </c>
      <c r="AU780">
        <v>2019</v>
      </c>
      <c r="AV780">
        <v>32</v>
      </c>
      <c r="AW780">
        <v>3</v>
      </c>
      <c r="AX780" t="s">
        <v>74</v>
      </c>
      <c r="AY780" t="s">
        <v>74</v>
      </c>
      <c r="AZ780" t="s">
        <v>74</v>
      </c>
      <c r="BA780" t="s">
        <v>74</v>
      </c>
      <c r="BB780">
        <v>665</v>
      </c>
      <c r="BC780">
        <v>684</v>
      </c>
      <c r="BD780" t="s">
        <v>74</v>
      </c>
      <c r="BE780" t="s">
        <v>15079</v>
      </c>
      <c r="BF780" t="str">
        <f>HYPERLINK("http://dx.doi.org/10.1175/JCLI-D-18-0233.1","http://dx.doi.org/10.1175/JCLI-D-18-0233.1")</f>
        <v>http://dx.doi.org/10.1175/JCLI-D-18-0233.1</v>
      </c>
      <c r="BG780" t="s">
        <v>74</v>
      </c>
      <c r="BH780" t="s">
        <v>74</v>
      </c>
      <c r="BI780">
        <v>20</v>
      </c>
      <c r="BJ780" t="s">
        <v>133</v>
      </c>
      <c r="BK780" t="s">
        <v>102</v>
      </c>
      <c r="BL780" t="s">
        <v>133</v>
      </c>
      <c r="BM780" t="s">
        <v>15080</v>
      </c>
      <c r="BN780" t="s">
        <v>74</v>
      </c>
      <c r="BO780" t="s">
        <v>279</v>
      </c>
      <c r="BP780" t="s">
        <v>74</v>
      </c>
      <c r="BQ780" t="s">
        <v>74</v>
      </c>
      <c r="BR780" t="s">
        <v>107</v>
      </c>
      <c r="BS780" t="s">
        <v>15081</v>
      </c>
      <c r="BT780" t="str">
        <f>HYPERLINK("https%3A%2F%2Fwww.webofscience.com%2Fwos%2Fwoscc%2Ffull-record%2FWOS:000454864100001","View Full Record in Web of Science")</f>
        <v>View Full Record in Web of Science</v>
      </c>
    </row>
    <row r="781" spans="1:72" x14ac:dyDescent="0.15">
      <c r="A781" t="s">
        <v>72</v>
      </c>
      <c r="B781" t="s">
        <v>15082</v>
      </c>
      <c r="C781" t="s">
        <v>74</v>
      </c>
      <c r="D781" t="s">
        <v>74</v>
      </c>
      <c r="E781" t="s">
        <v>74</v>
      </c>
      <c r="F781" t="s">
        <v>15083</v>
      </c>
      <c r="G781" t="s">
        <v>74</v>
      </c>
      <c r="H781" t="s">
        <v>74</v>
      </c>
      <c r="I781" t="s">
        <v>15084</v>
      </c>
      <c r="J781" t="s">
        <v>15085</v>
      </c>
      <c r="K781" t="s">
        <v>74</v>
      </c>
      <c r="L781" t="s">
        <v>74</v>
      </c>
      <c r="M781" t="s">
        <v>78</v>
      </c>
      <c r="N781" t="s">
        <v>79</v>
      </c>
      <c r="O781" t="s">
        <v>74</v>
      </c>
      <c r="P781" t="s">
        <v>74</v>
      </c>
      <c r="Q781" t="s">
        <v>74</v>
      </c>
      <c r="R781" t="s">
        <v>74</v>
      </c>
      <c r="S781" t="s">
        <v>74</v>
      </c>
      <c r="T781" t="s">
        <v>15086</v>
      </c>
      <c r="U781" t="s">
        <v>15087</v>
      </c>
      <c r="V781" t="s">
        <v>15088</v>
      </c>
      <c r="W781" t="s">
        <v>15089</v>
      </c>
      <c r="X781" t="s">
        <v>15090</v>
      </c>
      <c r="Y781" t="s">
        <v>15091</v>
      </c>
      <c r="Z781" t="s">
        <v>15092</v>
      </c>
      <c r="AA781" t="s">
        <v>15093</v>
      </c>
      <c r="AB781" t="s">
        <v>15094</v>
      </c>
      <c r="AC781" t="s">
        <v>15095</v>
      </c>
      <c r="AD781" t="s">
        <v>15096</v>
      </c>
      <c r="AE781" t="s">
        <v>15097</v>
      </c>
      <c r="AF781" t="s">
        <v>74</v>
      </c>
      <c r="AG781">
        <v>93</v>
      </c>
      <c r="AH781">
        <v>0</v>
      </c>
      <c r="AI781">
        <v>0</v>
      </c>
      <c r="AJ781">
        <v>2</v>
      </c>
      <c r="AK781">
        <v>11</v>
      </c>
      <c r="AL781" t="s">
        <v>15098</v>
      </c>
      <c r="AM781" t="s">
        <v>15099</v>
      </c>
      <c r="AN781" t="s">
        <v>15100</v>
      </c>
      <c r="AO781" t="s">
        <v>15101</v>
      </c>
      <c r="AP781" t="s">
        <v>15102</v>
      </c>
      <c r="AQ781" t="s">
        <v>74</v>
      </c>
      <c r="AR781" t="s">
        <v>15103</v>
      </c>
      <c r="AS781" t="s">
        <v>15104</v>
      </c>
      <c r="AT781" t="s">
        <v>12668</v>
      </c>
      <c r="AU781">
        <v>2019</v>
      </c>
      <c r="AV781">
        <v>138</v>
      </c>
      <c r="AW781">
        <v>1</v>
      </c>
      <c r="AX781" t="s">
        <v>74</v>
      </c>
      <c r="AY781" t="s">
        <v>74</v>
      </c>
      <c r="AZ781" t="s">
        <v>74</v>
      </c>
      <c r="BA781" t="s">
        <v>74</v>
      </c>
      <c r="BB781">
        <v>3</v>
      </c>
      <c r="BC781">
        <v>16</v>
      </c>
      <c r="BD781" t="s">
        <v>74</v>
      </c>
      <c r="BE781" t="s">
        <v>15105</v>
      </c>
      <c r="BF781" t="str">
        <f>HYPERLINK("http://dx.doi.org/10.3301/IJG.2018.22","http://dx.doi.org/10.3301/IJG.2018.22")</f>
        <v>http://dx.doi.org/10.3301/IJG.2018.22</v>
      </c>
      <c r="BG781" t="s">
        <v>74</v>
      </c>
      <c r="BH781" t="s">
        <v>74</v>
      </c>
      <c r="BI781">
        <v>14</v>
      </c>
      <c r="BJ781" t="s">
        <v>2065</v>
      </c>
      <c r="BK781" t="s">
        <v>102</v>
      </c>
      <c r="BL781" t="s">
        <v>923</v>
      </c>
      <c r="BM781" t="s">
        <v>15106</v>
      </c>
      <c r="BN781" t="s">
        <v>74</v>
      </c>
      <c r="BO781" t="s">
        <v>74</v>
      </c>
      <c r="BP781" t="s">
        <v>74</v>
      </c>
      <c r="BQ781" t="s">
        <v>74</v>
      </c>
      <c r="BR781" t="s">
        <v>107</v>
      </c>
      <c r="BS781" t="s">
        <v>15107</v>
      </c>
      <c r="BT781" t="str">
        <f>HYPERLINK("https%3A%2F%2Fwww.webofscience.com%2Fwos%2Fwoscc%2Ffull-record%2FWOS:000449349400001","View Full Record in Web of Science")</f>
        <v>View Full Record in Web of Science</v>
      </c>
    </row>
    <row r="782" spans="1:72" x14ac:dyDescent="0.15">
      <c r="A782" t="s">
        <v>72</v>
      </c>
      <c r="B782" t="s">
        <v>15108</v>
      </c>
      <c r="C782" t="s">
        <v>74</v>
      </c>
      <c r="D782" t="s">
        <v>74</v>
      </c>
      <c r="E782" t="s">
        <v>74</v>
      </c>
      <c r="F782" t="s">
        <v>15109</v>
      </c>
      <c r="G782" t="s">
        <v>74</v>
      </c>
      <c r="H782" t="s">
        <v>74</v>
      </c>
      <c r="I782" t="s">
        <v>15110</v>
      </c>
      <c r="J782" t="s">
        <v>1358</v>
      </c>
      <c r="K782" t="s">
        <v>74</v>
      </c>
      <c r="L782" t="s">
        <v>74</v>
      </c>
      <c r="M782" t="s">
        <v>78</v>
      </c>
      <c r="N782" t="s">
        <v>79</v>
      </c>
      <c r="O782" t="s">
        <v>74</v>
      </c>
      <c r="P782" t="s">
        <v>74</v>
      </c>
      <c r="Q782" t="s">
        <v>74</v>
      </c>
      <c r="R782" t="s">
        <v>74</v>
      </c>
      <c r="S782" t="s">
        <v>74</v>
      </c>
      <c r="T782" t="s">
        <v>74</v>
      </c>
      <c r="U782" t="s">
        <v>15111</v>
      </c>
      <c r="V782" t="s">
        <v>15112</v>
      </c>
      <c r="W782" t="s">
        <v>15113</v>
      </c>
      <c r="X782" t="s">
        <v>15114</v>
      </c>
      <c r="Y782" t="s">
        <v>15115</v>
      </c>
      <c r="Z782" t="s">
        <v>15116</v>
      </c>
      <c r="AA782" t="s">
        <v>74</v>
      </c>
      <c r="AB782" t="s">
        <v>15117</v>
      </c>
      <c r="AC782" t="s">
        <v>15118</v>
      </c>
      <c r="AD782" t="s">
        <v>15118</v>
      </c>
      <c r="AE782" t="s">
        <v>15119</v>
      </c>
      <c r="AF782" t="s">
        <v>74</v>
      </c>
      <c r="AG782">
        <v>62</v>
      </c>
      <c r="AH782">
        <v>45</v>
      </c>
      <c r="AI782">
        <v>47</v>
      </c>
      <c r="AJ782">
        <v>2</v>
      </c>
      <c r="AK782">
        <v>41</v>
      </c>
      <c r="AL782" t="s">
        <v>1393</v>
      </c>
      <c r="AM782" t="s">
        <v>1371</v>
      </c>
      <c r="AN782" t="s">
        <v>1372</v>
      </c>
      <c r="AO782" t="s">
        <v>1373</v>
      </c>
      <c r="AP782" t="s">
        <v>1374</v>
      </c>
      <c r="AQ782" t="s">
        <v>74</v>
      </c>
      <c r="AR782" t="s">
        <v>1358</v>
      </c>
      <c r="AS782" t="s">
        <v>1375</v>
      </c>
      <c r="AT782" t="s">
        <v>15120</v>
      </c>
      <c r="AU782">
        <v>2019</v>
      </c>
      <c r="AV782">
        <v>565</v>
      </c>
      <c r="AW782">
        <v>7741</v>
      </c>
      <c r="AX782" t="s">
        <v>74</v>
      </c>
      <c r="AY782" t="s">
        <v>74</v>
      </c>
      <c r="AZ782" t="s">
        <v>74</v>
      </c>
      <c r="BA782" t="s">
        <v>74</v>
      </c>
      <c r="BB782">
        <v>636</v>
      </c>
      <c r="BC782" t="s">
        <v>1394</v>
      </c>
      <c r="BD782" t="s">
        <v>74</v>
      </c>
      <c r="BE782" t="s">
        <v>15121</v>
      </c>
      <c r="BF782" t="str">
        <f>HYPERLINK("http://dx.doi.org/10.1038/s41586-019-0886-z","http://dx.doi.org/10.1038/s41586-019-0886-z")</f>
        <v>http://dx.doi.org/10.1038/s41586-019-0886-z</v>
      </c>
      <c r="BG782" t="s">
        <v>74</v>
      </c>
      <c r="BH782" t="s">
        <v>74</v>
      </c>
      <c r="BI782">
        <v>15</v>
      </c>
      <c r="BJ782" t="s">
        <v>460</v>
      </c>
      <c r="BK782" t="s">
        <v>102</v>
      </c>
      <c r="BL782" t="s">
        <v>461</v>
      </c>
      <c r="BM782" t="s">
        <v>15122</v>
      </c>
      <c r="BN782">
        <v>30675065</v>
      </c>
      <c r="BO782" t="s">
        <v>74</v>
      </c>
      <c r="BP782" t="s">
        <v>74</v>
      </c>
      <c r="BQ782" t="s">
        <v>74</v>
      </c>
      <c r="BR782" t="s">
        <v>107</v>
      </c>
      <c r="BS782" t="s">
        <v>15123</v>
      </c>
      <c r="BT782" t="str">
        <f>HYPERLINK("https%3A%2F%2Fwww.webofscience.com%2Fwos%2Fwoscc%2Ffull-record%2FWOS:000457404000046","View Full Record in Web of Science")</f>
        <v>View Full Record in Web of Science</v>
      </c>
    </row>
    <row r="783" spans="1:72" x14ac:dyDescent="0.15">
      <c r="A783" t="s">
        <v>72</v>
      </c>
      <c r="B783" t="s">
        <v>15124</v>
      </c>
      <c r="C783" t="s">
        <v>74</v>
      </c>
      <c r="D783" t="s">
        <v>74</v>
      </c>
      <c r="E783" t="s">
        <v>74</v>
      </c>
      <c r="F783" t="s">
        <v>15125</v>
      </c>
      <c r="G783" t="s">
        <v>74</v>
      </c>
      <c r="H783" t="s">
        <v>74</v>
      </c>
      <c r="I783" t="s">
        <v>15126</v>
      </c>
      <c r="J783" t="s">
        <v>808</v>
      </c>
      <c r="K783" t="s">
        <v>74</v>
      </c>
      <c r="L783" t="s">
        <v>74</v>
      </c>
      <c r="M783" t="s">
        <v>78</v>
      </c>
      <c r="N783" t="s">
        <v>469</v>
      </c>
      <c r="O783" t="s">
        <v>74</v>
      </c>
      <c r="P783" t="s">
        <v>74</v>
      </c>
      <c r="Q783" t="s">
        <v>74</v>
      </c>
      <c r="R783" t="s">
        <v>74</v>
      </c>
      <c r="S783" t="s">
        <v>74</v>
      </c>
      <c r="T783" t="s">
        <v>15127</v>
      </c>
      <c r="U783" t="s">
        <v>15128</v>
      </c>
      <c r="V783" t="s">
        <v>15129</v>
      </c>
      <c r="W783" t="s">
        <v>15130</v>
      </c>
      <c r="X783" t="s">
        <v>15131</v>
      </c>
      <c r="Y783" t="s">
        <v>15132</v>
      </c>
      <c r="Z783" t="s">
        <v>15133</v>
      </c>
      <c r="AA783" t="s">
        <v>15134</v>
      </c>
      <c r="AB783" t="s">
        <v>15135</v>
      </c>
      <c r="AC783" t="s">
        <v>74</v>
      </c>
      <c r="AD783" t="s">
        <v>74</v>
      </c>
      <c r="AE783" t="s">
        <v>74</v>
      </c>
      <c r="AF783" t="s">
        <v>74</v>
      </c>
      <c r="AG783">
        <v>154</v>
      </c>
      <c r="AH783">
        <v>32</v>
      </c>
      <c r="AI783">
        <v>32</v>
      </c>
      <c r="AJ783">
        <v>3</v>
      </c>
      <c r="AK783">
        <v>48</v>
      </c>
      <c r="AL783" t="s">
        <v>821</v>
      </c>
      <c r="AM783" t="s">
        <v>822</v>
      </c>
      <c r="AN783" t="s">
        <v>823</v>
      </c>
      <c r="AO783" t="s">
        <v>74</v>
      </c>
      <c r="AP783" t="s">
        <v>824</v>
      </c>
      <c r="AQ783" t="s">
        <v>74</v>
      </c>
      <c r="AR783" t="s">
        <v>825</v>
      </c>
      <c r="AS783" t="s">
        <v>826</v>
      </c>
      <c r="AT783" t="s">
        <v>15136</v>
      </c>
      <c r="AU783">
        <v>2019</v>
      </c>
      <c r="AV783">
        <v>6</v>
      </c>
      <c r="AW783" t="s">
        <v>74</v>
      </c>
      <c r="AX783" t="s">
        <v>74</v>
      </c>
      <c r="AY783" t="s">
        <v>74</v>
      </c>
      <c r="AZ783" t="s">
        <v>74</v>
      </c>
      <c r="BA783" t="s">
        <v>74</v>
      </c>
      <c r="BB783" t="s">
        <v>74</v>
      </c>
      <c r="BC783" t="s">
        <v>74</v>
      </c>
      <c r="BD783">
        <v>12</v>
      </c>
      <c r="BE783" t="s">
        <v>15137</v>
      </c>
      <c r="BF783" t="str">
        <f>HYPERLINK("http://dx.doi.org/10.3389/fmars.2019.00012","http://dx.doi.org/10.3389/fmars.2019.00012")</f>
        <v>http://dx.doi.org/10.3389/fmars.2019.00012</v>
      </c>
      <c r="BG783" t="s">
        <v>74</v>
      </c>
      <c r="BH783" t="s">
        <v>74</v>
      </c>
      <c r="BI783">
        <v>14</v>
      </c>
      <c r="BJ783" t="s">
        <v>829</v>
      </c>
      <c r="BK783" t="s">
        <v>102</v>
      </c>
      <c r="BL783" t="s">
        <v>830</v>
      </c>
      <c r="BM783" t="s">
        <v>15138</v>
      </c>
      <c r="BN783" t="s">
        <v>74</v>
      </c>
      <c r="BO783" t="s">
        <v>1100</v>
      </c>
      <c r="BP783" t="s">
        <v>74</v>
      </c>
      <c r="BQ783" t="s">
        <v>74</v>
      </c>
      <c r="BR783" t="s">
        <v>107</v>
      </c>
      <c r="BS783" t="s">
        <v>15139</v>
      </c>
      <c r="BT783" t="str">
        <f>HYPERLINK("https%3A%2F%2Fwww.webofscience.com%2Fwos%2Fwoscc%2Ffull-record%2FWOS:000457827300001","View Full Record in Web of Science")</f>
        <v>View Full Record in Web of Science</v>
      </c>
    </row>
    <row r="784" spans="1:72" x14ac:dyDescent="0.15">
      <c r="A784" t="s">
        <v>72</v>
      </c>
      <c r="B784" t="s">
        <v>15140</v>
      </c>
      <c r="C784" t="s">
        <v>74</v>
      </c>
      <c r="D784" t="s">
        <v>74</v>
      </c>
      <c r="E784" t="s">
        <v>74</v>
      </c>
      <c r="F784" t="s">
        <v>15141</v>
      </c>
      <c r="G784" t="s">
        <v>74</v>
      </c>
      <c r="H784" t="s">
        <v>74</v>
      </c>
      <c r="I784" t="s">
        <v>15142</v>
      </c>
      <c r="J784" t="s">
        <v>10167</v>
      </c>
      <c r="K784" t="s">
        <v>74</v>
      </c>
      <c r="L784" t="s">
        <v>74</v>
      </c>
      <c r="M784" t="s">
        <v>78</v>
      </c>
      <c r="N784" t="s">
        <v>79</v>
      </c>
      <c r="O784" t="s">
        <v>74</v>
      </c>
      <c r="P784" t="s">
        <v>74</v>
      </c>
      <c r="Q784" t="s">
        <v>74</v>
      </c>
      <c r="R784" t="s">
        <v>74</v>
      </c>
      <c r="S784" t="s">
        <v>74</v>
      </c>
      <c r="T784" t="s">
        <v>74</v>
      </c>
      <c r="U784" t="s">
        <v>15143</v>
      </c>
      <c r="V784" t="s">
        <v>15144</v>
      </c>
      <c r="W784" t="s">
        <v>15145</v>
      </c>
      <c r="X784" t="s">
        <v>15146</v>
      </c>
      <c r="Y784" t="s">
        <v>15147</v>
      </c>
      <c r="Z784" t="s">
        <v>15148</v>
      </c>
      <c r="AA784" t="s">
        <v>15149</v>
      </c>
      <c r="AB784" t="s">
        <v>15150</v>
      </c>
      <c r="AC784" t="s">
        <v>15151</v>
      </c>
      <c r="AD784" t="s">
        <v>15152</v>
      </c>
      <c r="AE784" t="s">
        <v>15153</v>
      </c>
      <c r="AF784" t="s">
        <v>74</v>
      </c>
      <c r="AG784">
        <v>50</v>
      </c>
      <c r="AH784">
        <v>13</v>
      </c>
      <c r="AI784">
        <v>13</v>
      </c>
      <c r="AJ784">
        <v>3</v>
      </c>
      <c r="AK784">
        <v>9</v>
      </c>
      <c r="AL784" t="s">
        <v>868</v>
      </c>
      <c r="AM784" t="s">
        <v>869</v>
      </c>
      <c r="AN784" t="s">
        <v>870</v>
      </c>
      <c r="AO784" t="s">
        <v>10179</v>
      </c>
      <c r="AP784" t="s">
        <v>10180</v>
      </c>
      <c r="AQ784" t="s">
        <v>74</v>
      </c>
      <c r="AR784" t="s">
        <v>10181</v>
      </c>
      <c r="AS784" t="s">
        <v>10182</v>
      </c>
      <c r="AT784" t="s">
        <v>15136</v>
      </c>
      <c r="AU784">
        <v>2019</v>
      </c>
      <c r="AV784">
        <v>12</v>
      </c>
      <c r="AW784">
        <v>1</v>
      </c>
      <c r="AX784" t="s">
        <v>74</v>
      </c>
      <c r="AY784" t="s">
        <v>74</v>
      </c>
      <c r="AZ784" t="s">
        <v>74</v>
      </c>
      <c r="BA784" t="s">
        <v>74</v>
      </c>
      <c r="BB784">
        <v>619</v>
      </c>
      <c r="BC784">
        <v>635</v>
      </c>
      <c r="BD784" t="s">
        <v>74</v>
      </c>
      <c r="BE784" t="s">
        <v>15154</v>
      </c>
      <c r="BF784" t="str">
        <f>HYPERLINK("http://dx.doi.org/10.5194/amt-12-619-2019","http://dx.doi.org/10.5194/amt-12-619-2019")</f>
        <v>http://dx.doi.org/10.5194/amt-12-619-2019</v>
      </c>
      <c r="BG784" t="s">
        <v>74</v>
      </c>
      <c r="BH784" t="s">
        <v>74</v>
      </c>
      <c r="BI784">
        <v>17</v>
      </c>
      <c r="BJ784" t="s">
        <v>133</v>
      </c>
      <c r="BK784" t="s">
        <v>102</v>
      </c>
      <c r="BL784" t="s">
        <v>133</v>
      </c>
      <c r="BM784" t="s">
        <v>15155</v>
      </c>
      <c r="BN784" t="s">
        <v>74</v>
      </c>
      <c r="BO784" t="s">
        <v>3093</v>
      </c>
      <c r="BP784" t="s">
        <v>74</v>
      </c>
      <c r="BQ784" t="s">
        <v>74</v>
      </c>
      <c r="BR784" t="s">
        <v>107</v>
      </c>
      <c r="BS784" t="s">
        <v>15156</v>
      </c>
      <c r="BT784" t="str">
        <f>HYPERLINK("https%3A%2F%2Fwww.webofscience.com%2Fwos%2Fwoscc%2Ffull-record%2FWOS:000457178800002","View Full Record in Web of Science")</f>
        <v>View Full Record in Web of Science</v>
      </c>
    </row>
    <row r="785" spans="1:72" x14ac:dyDescent="0.15">
      <c r="A785" t="s">
        <v>72</v>
      </c>
      <c r="B785" t="s">
        <v>15157</v>
      </c>
      <c r="C785" t="s">
        <v>74</v>
      </c>
      <c r="D785" t="s">
        <v>74</v>
      </c>
      <c r="E785" t="s">
        <v>74</v>
      </c>
      <c r="F785" t="s">
        <v>15158</v>
      </c>
      <c r="G785" t="s">
        <v>74</v>
      </c>
      <c r="H785" t="s">
        <v>74</v>
      </c>
      <c r="I785" t="s">
        <v>15159</v>
      </c>
      <c r="J785" t="s">
        <v>856</v>
      </c>
      <c r="K785" t="s">
        <v>74</v>
      </c>
      <c r="L785" t="s">
        <v>74</v>
      </c>
      <c r="M785" t="s">
        <v>78</v>
      </c>
      <c r="N785" t="s">
        <v>79</v>
      </c>
      <c r="O785" t="s">
        <v>74</v>
      </c>
      <c r="P785" t="s">
        <v>74</v>
      </c>
      <c r="Q785" t="s">
        <v>74</v>
      </c>
      <c r="R785" t="s">
        <v>74</v>
      </c>
      <c r="S785" t="s">
        <v>74</v>
      </c>
      <c r="T785" t="s">
        <v>74</v>
      </c>
      <c r="U785" t="s">
        <v>15160</v>
      </c>
      <c r="V785" t="s">
        <v>15161</v>
      </c>
      <c r="W785" t="s">
        <v>15162</v>
      </c>
      <c r="X785" t="s">
        <v>15163</v>
      </c>
      <c r="Y785" t="s">
        <v>15164</v>
      </c>
      <c r="Z785" t="s">
        <v>15165</v>
      </c>
      <c r="AA785" t="s">
        <v>15166</v>
      </c>
      <c r="AB785" t="s">
        <v>15167</v>
      </c>
      <c r="AC785" t="s">
        <v>15168</v>
      </c>
      <c r="AD785" t="s">
        <v>15169</v>
      </c>
      <c r="AE785" t="s">
        <v>15170</v>
      </c>
      <c r="AF785" t="s">
        <v>74</v>
      </c>
      <c r="AG785">
        <v>94</v>
      </c>
      <c r="AH785">
        <v>14</v>
      </c>
      <c r="AI785">
        <v>14</v>
      </c>
      <c r="AJ785">
        <v>1</v>
      </c>
      <c r="AK785">
        <v>4</v>
      </c>
      <c r="AL785" t="s">
        <v>868</v>
      </c>
      <c r="AM785" t="s">
        <v>869</v>
      </c>
      <c r="AN785" t="s">
        <v>870</v>
      </c>
      <c r="AO785" t="s">
        <v>871</v>
      </c>
      <c r="AP785" t="s">
        <v>872</v>
      </c>
      <c r="AQ785" t="s">
        <v>74</v>
      </c>
      <c r="AR785" t="s">
        <v>873</v>
      </c>
      <c r="AS785" t="s">
        <v>874</v>
      </c>
      <c r="AT785" t="s">
        <v>15136</v>
      </c>
      <c r="AU785">
        <v>2019</v>
      </c>
      <c r="AV785">
        <v>15</v>
      </c>
      <c r="AW785">
        <v>1</v>
      </c>
      <c r="AX785" t="s">
        <v>74</v>
      </c>
      <c r="AY785" t="s">
        <v>74</v>
      </c>
      <c r="AZ785" t="s">
        <v>74</v>
      </c>
      <c r="BA785" t="s">
        <v>74</v>
      </c>
      <c r="BB785">
        <v>189</v>
      </c>
      <c r="BC785">
        <v>215</v>
      </c>
      <c r="BD785" t="s">
        <v>74</v>
      </c>
      <c r="BE785" t="s">
        <v>15171</v>
      </c>
      <c r="BF785" t="str">
        <f>HYPERLINK("http://dx.doi.org/10.5194/cp-15-189-2019","http://dx.doi.org/10.5194/cp-15-189-2019")</f>
        <v>http://dx.doi.org/10.5194/cp-15-189-2019</v>
      </c>
      <c r="BG785" t="s">
        <v>74</v>
      </c>
      <c r="BH785" t="s">
        <v>74</v>
      </c>
      <c r="BI785">
        <v>27</v>
      </c>
      <c r="BJ785" t="s">
        <v>876</v>
      </c>
      <c r="BK785" t="s">
        <v>102</v>
      </c>
      <c r="BL785" t="s">
        <v>877</v>
      </c>
      <c r="BM785" t="s">
        <v>15172</v>
      </c>
      <c r="BN785" t="s">
        <v>74</v>
      </c>
      <c r="BO785" t="s">
        <v>135</v>
      </c>
      <c r="BP785" t="s">
        <v>74</v>
      </c>
      <c r="BQ785" t="s">
        <v>74</v>
      </c>
      <c r="BR785" t="s">
        <v>107</v>
      </c>
      <c r="BS785" t="s">
        <v>15173</v>
      </c>
      <c r="BT785" t="str">
        <f>HYPERLINK("https%3A%2F%2Fwww.webofscience.com%2Fwos%2Fwoscc%2Ffull-record%2FWOS:000457180600001","View Full Record in Web of Science")</f>
        <v>View Full Record in Web of Science</v>
      </c>
    </row>
    <row r="786" spans="1:72" x14ac:dyDescent="0.15">
      <c r="A786" t="s">
        <v>72</v>
      </c>
      <c r="B786" t="s">
        <v>15174</v>
      </c>
      <c r="C786" t="s">
        <v>74</v>
      </c>
      <c r="D786" t="s">
        <v>74</v>
      </c>
      <c r="E786" t="s">
        <v>74</v>
      </c>
      <c r="F786" t="s">
        <v>15175</v>
      </c>
      <c r="G786" t="s">
        <v>74</v>
      </c>
      <c r="H786" t="s">
        <v>74</v>
      </c>
      <c r="I786" t="s">
        <v>15176</v>
      </c>
      <c r="J786" t="s">
        <v>1938</v>
      </c>
      <c r="K786" t="s">
        <v>74</v>
      </c>
      <c r="L786" t="s">
        <v>74</v>
      </c>
      <c r="M786" t="s">
        <v>78</v>
      </c>
      <c r="N786" t="s">
        <v>469</v>
      </c>
      <c r="O786" t="s">
        <v>74</v>
      </c>
      <c r="P786" t="s">
        <v>74</v>
      </c>
      <c r="Q786" t="s">
        <v>74</v>
      </c>
      <c r="R786" t="s">
        <v>74</v>
      </c>
      <c r="S786" t="s">
        <v>74</v>
      </c>
      <c r="T786" t="s">
        <v>74</v>
      </c>
      <c r="U786" t="s">
        <v>15177</v>
      </c>
      <c r="V786" t="s">
        <v>15178</v>
      </c>
      <c r="W786" t="s">
        <v>15179</v>
      </c>
      <c r="X786" t="s">
        <v>15180</v>
      </c>
      <c r="Y786" t="s">
        <v>15181</v>
      </c>
      <c r="Z786" t="s">
        <v>15182</v>
      </c>
      <c r="AA786" t="s">
        <v>15183</v>
      </c>
      <c r="AB786" t="s">
        <v>15184</v>
      </c>
      <c r="AC786" t="s">
        <v>15185</v>
      </c>
      <c r="AD786" t="s">
        <v>15186</v>
      </c>
      <c r="AE786" t="s">
        <v>15187</v>
      </c>
      <c r="AF786" t="s">
        <v>74</v>
      </c>
      <c r="AG786">
        <v>160</v>
      </c>
      <c r="AH786">
        <v>86</v>
      </c>
      <c r="AI786">
        <v>92</v>
      </c>
      <c r="AJ786">
        <v>3</v>
      </c>
      <c r="AK786">
        <v>43</v>
      </c>
      <c r="AL786" t="s">
        <v>328</v>
      </c>
      <c r="AM786" t="s">
        <v>329</v>
      </c>
      <c r="AN786" t="s">
        <v>330</v>
      </c>
      <c r="AO786" t="s">
        <v>1950</v>
      </c>
      <c r="AP786" t="s">
        <v>74</v>
      </c>
      <c r="AQ786" t="s">
        <v>74</v>
      </c>
      <c r="AR786" t="s">
        <v>1951</v>
      </c>
      <c r="AS786" t="s">
        <v>1952</v>
      </c>
      <c r="AT786" t="s">
        <v>15136</v>
      </c>
      <c r="AU786">
        <v>2019</v>
      </c>
      <c r="AV786">
        <v>10</v>
      </c>
      <c r="AW786" t="s">
        <v>74</v>
      </c>
      <c r="AX786" t="s">
        <v>74</v>
      </c>
      <c r="AY786" t="s">
        <v>74</v>
      </c>
      <c r="AZ786" t="s">
        <v>74</v>
      </c>
      <c r="BA786" t="s">
        <v>74</v>
      </c>
      <c r="BB786" t="s">
        <v>74</v>
      </c>
      <c r="BC786" t="s">
        <v>74</v>
      </c>
      <c r="BD786">
        <v>503</v>
      </c>
      <c r="BE786" t="s">
        <v>15188</v>
      </c>
      <c r="BF786" t="str">
        <f>HYPERLINK("http://dx.doi.org/10.1038/s41467-018-08068-y","http://dx.doi.org/10.1038/s41467-018-08068-y")</f>
        <v>http://dx.doi.org/10.1038/s41467-018-08068-y</v>
      </c>
      <c r="BG786" t="s">
        <v>74</v>
      </c>
      <c r="BH786" t="s">
        <v>74</v>
      </c>
      <c r="BI786">
        <v>14</v>
      </c>
      <c r="BJ786" t="s">
        <v>460</v>
      </c>
      <c r="BK786" t="s">
        <v>102</v>
      </c>
      <c r="BL786" t="s">
        <v>461</v>
      </c>
      <c r="BM786" t="s">
        <v>15189</v>
      </c>
      <c r="BN786">
        <v>30700704</v>
      </c>
      <c r="BO786" t="s">
        <v>10732</v>
      </c>
      <c r="BP786" t="s">
        <v>74</v>
      </c>
      <c r="BQ786" t="s">
        <v>74</v>
      </c>
      <c r="BR786" t="s">
        <v>107</v>
      </c>
      <c r="BS786" t="s">
        <v>15190</v>
      </c>
      <c r="BT786" t="str">
        <f>HYPERLINK("https%3A%2F%2Fwww.webofscience.com%2Fwos%2Fwoscc%2Ffull-record%2FWOS:000457130800019","View Full Record in Web of Science")</f>
        <v>View Full Record in Web of Science</v>
      </c>
    </row>
    <row r="787" spans="1:72" x14ac:dyDescent="0.15">
      <c r="A787" t="s">
        <v>72</v>
      </c>
      <c r="B787" t="s">
        <v>15191</v>
      </c>
      <c r="C787" t="s">
        <v>74</v>
      </c>
      <c r="D787" t="s">
        <v>74</v>
      </c>
      <c r="E787" t="s">
        <v>74</v>
      </c>
      <c r="F787" t="s">
        <v>15192</v>
      </c>
      <c r="G787" t="s">
        <v>74</v>
      </c>
      <c r="H787" t="s">
        <v>74</v>
      </c>
      <c r="I787" t="s">
        <v>15193</v>
      </c>
      <c r="J787" t="s">
        <v>1720</v>
      </c>
      <c r="K787" t="s">
        <v>74</v>
      </c>
      <c r="L787" t="s">
        <v>74</v>
      </c>
      <c r="M787" t="s">
        <v>78</v>
      </c>
      <c r="N787" t="s">
        <v>79</v>
      </c>
      <c r="O787" t="s">
        <v>74</v>
      </c>
      <c r="P787" t="s">
        <v>74</v>
      </c>
      <c r="Q787" t="s">
        <v>74</v>
      </c>
      <c r="R787" t="s">
        <v>74</v>
      </c>
      <c r="S787" t="s">
        <v>74</v>
      </c>
      <c r="T787" t="s">
        <v>74</v>
      </c>
      <c r="U787" t="s">
        <v>15194</v>
      </c>
      <c r="V787" t="s">
        <v>15195</v>
      </c>
      <c r="W787" t="s">
        <v>15196</v>
      </c>
      <c r="X787" t="s">
        <v>15197</v>
      </c>
      <c r="Y787" t="s">
        <v>15198</v>
      </c>
      <c r="Z787" t="s">
        <v>15199</v>
      </c>
      <c r="AA787" t="s">
        <v>15200</v>
      </c>
      <c r="AB787" t="s">
        <v>15201</v>
      </c>
      <c r="AC787" t="s">
        <v>15202</v>
      </c>
      <c r="AD787" t="s">
        <v>15203</v>
      </c>
      <c r="AE787" t="s">
        <v>15204</v>
      </c>
      <c r="AF787" t="s">
        <v>74</v>
      </c>
      <c r="AG787">
        <v>69</v>
      </c>
      <c r="AH787">
        <v>20</v>
      </c>
      <c r="AI787">
        <v>21</v>
      </c>
      <c r="AJ787">
        <v>2</v>
      </c>
      <c r="AK787">
        <v>13</v>
      </c>
      <c r="AL787" t="s">
        <v>1393</v>
      </c>
      <c r="AM787" t="s">
        <v>1371</v>
      </c>
      <c r="AN787" t="s">
        <v>1372</v>
      </c>
      <c r="AO787" t="s">
        <v>1731</v>
      </c>
      <c r="AP787" t="s">
        <v>74</v>
      </c>
      <c r="AQ787" t="s">
        <v>74</v>
      </c>
      <c r="AR787" t="s">
        <v>1732</v>
      </c>
      <c r="AS787" t="s">
        <v>1733</v>
      </c>
      <c r="AT787" t="s">
        <v>15136</v>
      </c>
      <c r="AU787">
        <v>2019</v>
      </c>
      <c r="AV787">
        <v>9</v>
      </c>
      <c r="AW787" t="s">
        <v>74</v>
      </c>
      <c r="AX787" t="s">
        <v>74</v>
      </c>
      <c r="AY787" t="s">
        <v>74</v>
      </c>
      <c r="AZ787" t="s">
        <v>74</v>
      </c>
      <c r="BA787" t="s">
        <v>74</v>
      </c>
      <c r="BB787" t="s">
        <v>74</v>
      </c>
      <c r="BC787" t="s">
        <v>74</v>
      </c>
      <c r="BD787">
        <v>952</v>
      </c>
      <c r="BE787" t="s">
        <v>15205</v>
      </c>
      <c r="BF787" t="str">
        <f>HYPERLINK("http://dx.doi.org/10.1038/s41598-018-37255-6","http://dx.doi.org/10.1038/s41598-018-37255-6")</f>
        <v>http://dx.doi.org/10.1038/s41598-018-37255-6</v>
      </c>
      <c r="BG787" t="s">
        <v>74</v>
      </c>
      <c r="BH787" t="s">
        <v>74</v>
      </c>
      <c r="BI787">
        <v>12</v>
      </c>
      <c r="BJ787" t="s">
        <v>460</v>
      </c>
      <c r="BK787" t="s">
        <v>102</v>
      </c>
      <c r="BL787" t="s">
        <v>461</v>
      </c>
      <c r="BM787" t="s">
        <v>15206</v>
      </c>
      <c r="BN787">
        <v>30700813</v>
      </c>
      <c r="BO787" t="s">
        <v>1100</v>
      </c>
      <c r="BP787" t="s">
        <v>74</v>
      </c>
      <c r="BQ787" t="s">
        <v>74</v>
      </c>
      <c r="BR787" t="s">
        <v>107</v>
      </c>
      <c r="BS787" t="s">
        <v>15207</v>
      </c>
      <c r="BT787" t="str">
        <f>HYPERLINK("https%3A%2F%2Fwww.webofscience.com%2Fwos%2Fwoscc%2Ffull-record%2FWOS:000457128700029","View Full Record in Web of Science")</f>
        <v>View Full Record in Web of Science</v>
      </c>
    </row>
    <row r="788" spans="1:72" x14ac:dyDescent="0.15">
      <c r="A788" t="s">
        <v>72</v>
      </c>
      <c r="B788" t="s">
        <v>15208</v>
      </c>
      <c r="C788" t="s">
        <v>74</v>
      </c>
      <c r="D788" t="s">
        <v>74</v>
      </c>
      <c r="E788" t="s">
        <v>74</v>
      </c>
      <c r="F788" t="s">
        <v>15209</v>
      </c>
      <c r="G788" t="s">
        <v>74</v>
      </c>
      <c r="H788" t="s">
        <v>74</v>
      </c>
      <c r="I788" t="s">
        <v>15210</v>
      </c>
      <c r="J788" t="s">
        <v>1125</v>
      </c>
      <c r="K788" t="s">
        <v>74</v>
      </c>
      <c r="L788" t="s">
        <v>74</v>
      </c>
      <c r="M788" t="s">
        <v>78</v>
      </c>
      <c r="N788" t="s">
        <v>79</v>
      </c>
      <c r="O788" t="s">
        <v>74</v>
      </c>
      <c r="P788" t="s">
        <v>74</v>
      </c>
      <c r="Q788" t="s">
        <v>74</v>
      </c>
      <c r="R788" t="s">
        <v>74</v>
      </c>
      <c r="S788" t="s">
        <v>74</v>
      </c>
      <c r="T788" t="s">
        <v>74</v>
      </c>
      <c r="U788" t="s">
        <v>15211</v>
      </c>
      <c r="V788" t="s">
        <v>15212</v>
      </c>
      <c r="W788" t="s">
        <v>15213</v>
      </c>
      <c r="X788" t="s">
        <v>15214</v>
      </c>
      <c r="Y788" t="s">
        <v>15215</v>
      </c>
      <c r="Z788" t="s">
        <v>15216</v>
      </c>
      <c r="AA788" t="s">
        <v>15217</v>
      </c>
      <c r="AB788" t="s">
        <v>15218</v>
      </c>
      <c r="AC788" t="s">
        <v>15219</v>
      </c>
      <c r="AD788" t="s">
        <v>15220</v>
      </c>
      <c r="AE788" t="s">
        <v>15221</v>
      </c>
      <c r="AF788" t="s">
        <v>74</v>
      </c>
      <c r="AG788">
        <v>54</v>
      </c>
      <c r="AH788">
        <v>8</v>
      </c>
      <c r="AI788">
        <v>8</v>
      </c>
      <c r="AJ788">
        <v>0</v>
      </c>
      <c r="AK788">
        <v>13</v>
      </c>
      <c r="AL788" t="s">
        <v>868</v>
      </c>
      <c r="AM788" t="s">
        <v>869</v>
      </c>
      <c r="AN788" t="s">
        <v>870</v>
      </c>
      <c r="AO788" t="s">
        <v>1137</v>
      </c>
      <c r="AP788" t="s">
        <v>1138</v>
      </c>
      <c r="AQ788" t="s">
        <v>74</v>
      </c>
      <c r="AR788" t="s">
        <v>1125</v>
      </c>
      <c r="AS788" t="s">
        <v>1139</v>
      </c>
      <c r="AT788" t="s">
        <v>15222</v>
      </c>
      <c r="AU788">
        <v>2019</v>
      </c>
      <c r="AV788">
        <v>13</v>
      </c>
      <c r="AW788">
        <v>1</v>
      </c>
      <c r="AX788" t="s">
        <v>74</v>
      </c>
      <c r="AY788" t="s">
        <v>74</v>
      </c>
      <c r="AZ788" t="s">
        <v>74</v>
      </c>
      <c r="BA788" t="s">
        <v>74</v>
      </c>
      <c r="BB788">
        <v>265</v>
      </c>
      <c r="BC788">
        <v>280</v>
      </c>
      <c r="BD788" t="s">
        <v>74</v>
      </c>
      <c r="BE788" t="s">
        <v>15223</v>
      </c>
      <c r="BF788" t="str">
        <f>HYPERLINK("http://dx.doi.org/10.5194/tc-13-265-2019","http://dx.doi.org/10.5194/tc-13-265-2019")</f>
        <v>http://dx.doi.org/10.5194/tc-13-265-2019</v>
      </c>
      <c r="BG788" t="s">
        <v>74</v>
      </c>
      <c r="BH788" t="s">
        <v>74</v>
      </c>
      <c r="BI788">
        <v>16</v>
      </c>
      <c r="BJ788" t="s">
        <v>1142</v>
      </c>
      <c r="BK788" t="s">
        <v>102</v>
      </c>
      <c r="BL788" t="s">
        <v>1143</v>
      </c>
      <c r="BM788" t="s">
        <v>15224</v>
      </c>
      <c r="BN788" t="s">
        <v>74</v>
      </c>
      <c r="BO788" t="s">
        <v>3476</v>
      </c>
      <c r="BP788" t="s">
        <v>74</v>
      </c>
      <c r="BQ788" t="s">
        <v>74</v>
      </c>
      <c r="BR788" t="s">
        <v>107</v>
      </c>
      <c r="BS788" t="s">
        <v>15225</v>
      </c>
      <c r="BT788" t="str">
        <f>HYPERLINK("https%3A%2F%2Fwww.webofscience.com%2Fwos%2Fwoscc%2Ffull-record%2FWOS:000457035700001","View Full Record in Web of Science")</f>
        <v>View Full Record in Web of Science</v>
      </c>
    </row>
    <row r="789" spans="1:72" x14ac:dyDescent="0.15">
      <c r="A789" t="s">
        <v>72</v>
      </c>
      <c r="B789" t="s">
        <v>15226</v>
      </c>
      <c r="C789" t="s">
        <v>74</v>
      </c>
      <c r="D789" t="s">
        <v>74</v>
      </c>
      <c r="E789" t="s">
        <v>74</v>
      </c>
      <c r="F789" t="s">
        <v>15227</v>
      </c>
      <c r="G789" t="s">
        <v>74</v>
      </c>
      <c r="H789" t="s">
        <v>74</v>
      </c>
      <c r="I789" t="s">
        <v>15228</v>
      </c>
      <c r="J789" t="s">
        <v>1125</v>
      </c>
      <c r="K789" t="s">
        <v>74</v>
      </c>
      <c r="L789" t="s">
        <v>74</v>
      </c>
      <c r="M789" t="s">
        <v>78</v>
      </c>
      <c r="N789" t="s">
        <v>79</v>
      </c>
      <c r="O789" t="s">
        <v>74</v>
      </c>
      <c r="P789" t="s">
        <v>74</v>
      </c>
      <c r="Q789" t="s">
        <v>74</v>
      </c>
      <c r="R789" t="s">
        <v>74</v>
      </c>
      <c r="S789" t="s">
        <v>74</v>
      </c>
      <c r="T789" t="s">
        <v>74</v>
      </c>
      <c r="U789" t="s">
        <v>15229</v>
      </c>
      <c r="V789" t="s">
        <v>15230</v>
      </c>
      <c r="W789" t="s">
        <v>15231</v>
      </c>
      <c r="X789" t="s">
        <v>15232</v>
      </c>
      <c r="Y789" t="s">
        <v>15233</v>
      </c>
      <c r="Z789" t="s">
        <v>15234</v>
      </c>
      <c r="AA789" t="s">
        <v>15235</v>
      </c>
      <c r="AB789" t="s">
        <v>15236</v>
      </c>
      <c r="AC789" t="s">
        <v>15237</v>
      </c>
      <c r="AD789" t="s">
        <v>15238</v>
      </c>
      <c r="AE789" t="s">
        <v>15239</v>
      </c>
      <c r="AF789" t="s">
        <v>74</v>
      </c>
      <c r="AG789">
        <v>63</v>
      </c>
      <c r="AH789">
        <v>167</v>
      </c>
      <c r="AI789">
        <v>174</v>
      </c>
      <c r="AJ789">
        <v>6</v>
      </c>
      <c r="AK789">
        <v>38</v>
      </c>
      <c r="AL789" t="s">
        <v>868</v>
      </c>
      <c r="AM789" t="s">
        <v>869</v>
      </c>
      <c r="AN789" t="s">
        <v>870</v>
      </c>
      <c r="AO789" t="s">
        <v>1137</v>
      </c>
      <c r="AP789" t="s">
        <v>1138</v>
      </c>
      <c r="AQ789" t="s">
        <v>74</v>
      </c>
      <c r="AR789" t="s">
        <v>1125</v>
      </c>
      <c r="AS789" t="s">
        <v>1139</v>
      </c>
      <c r="AT789" t="s">
        <v>15222</v>
      </c>
      <c r="AU789">
        <v>2019</v>
      </c>
      <c r="AV789">
        <v>13</v>
      </c>
      <c r="AW789">
        <v>1</v>
      </c>
      <c r="AX789" t="s">
        <v>74</v>
      </c>
      <c r="AY789" t="s">
        <v>74</v>
      </c>
      <c r="AZ789" t="s">
        <v>74</v>
      </c>
      <c r="BA789" t="s">
        <v>74</v>
      </c>
      <c r="BB789">
        <v>281</v>
      </c>
      <c r="BC789">
        <v>296</v>
      </c>
      <c r="BD789" t="s">
        <v>74</v>
      </c>
      <c r="BE789" t="s">
        <v>15240</v>
      </c>
      <c r="BF789" t="str">
        <f>HYPERLINK("http://dx.doi.org/10.5194/tc-13-281-2019","http://dx.doi.org/10.5194/tc-13-281-2019")</f>
        <v>http://dx.doi.org/10.5194/tc-13-281-2019</v>
      </c>
      <c r="BG789" t="s">
        <v>74</v>
      </c>
      <c r="BH789" t="s">
        <v>74</v>
      </c>
      <c r="BI789">
        <v>16</v>
      </c>
      <c r="BJ789" t="s">
        <v>1142</v>
      </c>
      <c r="BK789" t="s">
        <v>102</v>
      </c>
      <c r="BL789" t="s">
        <v>1143</v>
      </c>
      <c r="BM789" t="s">
        <v>15224</v>
      </c>
      <c r="BN789" t="s">
        <v>74</v>
      </c>
      <c r="BO789" t="s">
        <v>135</v>
      </c>
      <c r="BP789" t="s">
        <v>105</v>
      </c>
      <c r="BQ789" t="s">
        <v>106</v>
      </c>
      <c r="BR789" t="s">
        <v>107</v>
      </c>
      <c r="BS789" t="s">
        <v>15241</v>
      </c>
      <c r="BT789" t="str">
        <f>HYPERLINK("https%3A%2F%2Fwww.webofscience.com%2Fwos%2Fwoscc%2Ffull-record%2FWOS:000457035700002","View Full Record in Web of Science")</f>
        <v>View Full Record in Web of Science</v>
      </c>
    </row>
    <row r="790" spans="1:72" x14ac:dyDescent="0.15">
      <c r="A790" t="s">
        <v>72</v>
      </c>
      <c r="B790" t="s">
        <v>15242</v>
      </c>
      <c r="C790" t="s">
        <v>74</v>
      </c>
      <c r="D790" t="s">
        <v>74</v>
      </c>
      <c r="E790" t="s">
        <v>74</v>
      </c>
      <c r="F790" t="s">
        <v>15243</v>
      </c>
      <c r="G790" t="s">
        <v>74</v>
      </c>
      <c r="H790" t="s">
        <v>74</v>
      </c>
      <c r="I790" t="s">
        <v>15244</v>
      </c>
      <c r="J790" t="s">
        <v>1720</v>
      </c>
      <c r="K790" t="s">
        <v>74</v>
      </c>
      <c r="L790" t="s">
        <v>74</v>
      </c>
      <c r="M790" t="s">
        <v>78</v>
      </c>
      <c r="N790" t="s">
        <v>79</v>
      </c>
      <c r="O790" t="s">
        <v>74</v>
      </c>
      <c r="P790" t="s">
        <v>74</v>
      </c>
      <c r="Q790" t="s">
        <v>74</v>
      </c>
      <c r="R790" t="s">
        <v>74</v>
      </c>
      <c r="S790" t="s">
        <v>74</v>
      </c>
      <c r="T790" t="s">
        <v>74</v>
      </c>
      <c r="U790" t="s">
        <v>15245</v>
      </c>
      <c r="V790" t="s">
        <v>15246</v>
      </c>
      <c r="W790" t="s">
        <v>15247</v>
      </c>
      <c r="X790" t="s">
        <v>3193</v>
      </c>
      <c r="Y790" t="s">
        <v>15248</v>
      </c>
      <c r="Z790" t="s">
        <v>10132</v>
      </c>
      <c r="AA790" t="s">
        <v>15249</v>
      </c>
      <c r="AB790" t="s">
        <v>15250</v>
      </c>
      <c r="AC790" t="s">
        <v>15251</v>
      </c>
      <c r="AD790" t="s">
        <v>15252</v>
      </c>
      <c r="AE790" t="s">
        <v>15253</v>
      </c>
      <c r="AF790" t="s">
        <v>74</v>
      </c>
      <c r="AG790">
        <v>32</v>
      </c>
      <c r="AH790">
        <v>39</v>
      </c>
      <c r="AI790">
        <v>40</v>
      </c>
      <c r="AJ790">
        <v>1</v>
      </c>
      <c r="AK790">
        <v>34</v>
      </c>
      <c r="AL790" t="s">
        <v>1393</v>
      </c>
      <c r="AM790" t="s">
        <v>1371</v>
      </c>
      <c r="AN790" t="s">
        <v>1372</v>
      </c>
      <c r="AO790" t="s">
        <v>1731</v>
      </c>
      <c r="AP790" t="s">
        <v>74</v>
      </c>
      <c r="AQ790" t="s">
        <v>74</v>
      </c>
      <c r="AR790" t="s">
        <v>1732</v>
      </c>
      <c r="AS790" t="s">
        <v>1733</v>
      </c>
      <c r="AT790" t="s">
        <v>15222</v>
      </c>
      <c r="AU790">
        <v>2019</v>
      </c>
      <c r="AV790">
        <v>9</v>
      </c>
      <c r="AW790" t="s">
        <v>74</v>
      </c>
      <c r="AX790" t="s">
        <v>74</v>
      </c>
      <c r="AY790" t="s">
        <v>74</v>
      </c>
      <c r="AZ790" t="s">
        <v>74</v>
      </c>
      <c r="BA790" t="s">
        <v>74</v>
      </c>
      <c r="BB790" t="s">
        <v>74</v>
      </c>
      <c r="BC790" t="s">
        <v>74</v>
      </c>
      <c r="BD790">
        <v>916</v>
      </c>
      <c r="BE790" t="s">
        <v>15254</v>
      </c>
      <c r="BF790" t="str">
        <f>HYPERLINK("http://dx.doi.org/10.1038/s41598-018-37324-w","http://dx.doi.org/10.1038/s41598-018-37324-w")</f>
        <v>http://dx.doi.org/10.1038/s41598-018-37324-w</v>
      </c>
      <c r="BG790" t="s">
        <v>74</v>
      </c>
      <c r="BH790" t="s">
        <v>74</v>
      </c>
      <c r="BI790">
        <v>8</v>
      </c>
      <c r="BJ790" t="s">
        <v>460</v>
      </c>
      <c r="BK790" t="s">
        <v>102</v>
      </c>
      <c r="BL790" t="s">
        <v>461</v>
      </c>
      <c r="BM790" t="s">
        <v>15255</v>
      </c>
      <c r="BN790">
        <v>30696878</v>
      </c>
      <c r="BO790" t="s">
        <v>6876</v>
      </c>
      <c r="BP790" t="s">
        <v>74</v>
      </c>
      <c r="BQ790" t="s">
        <v>74</v>
      </c>
      <c r="BR790" t="s">
        <v>107</v>
      </c>
      <c r="BS790" t="s">
        <v>15256</v>
      </c>
      <c r="BT790" t="str">
        <f>HYPERLINK("https%3A%2F%2Fwww.webofscience.com%2Fwos%2Fwoscc%2Ffull-record%2FWOS:000456956200006","View Full Record in Web of Science")</f>
        <v>View Full Record in Web of Science</v>
      </c>
    </row>
    <row r="791" spans="1:72" x14ac:dyDescent="0.15">
      <c r="A791" t="s">
        <v>72</v>
      </c>
      <c r="B791" t="s">
        <v>15257</v>
      </c>
      <c r="C791" t="s">
        <v>74</v>
      </c>
      <c r="D791" t="s">
        <v>74</v>
      </c>
      <c r="E791" t="s">
        <v>74</v>
      </c>
      <c r="F791" t="s">
        <v>15258</v>
      </c>
      <c r="G791" t="s">
        <v>74</v>
      </c>
      <c r="H791" t="s">
        <v>74</v>
      </c>
      <c r="I791" t="s">
        <v>15259</v>
      </c>
      <c r="J791" t="s">
        <v>907</v>
      </c>
      <c r="K791" t="s">
        <v>74</v>
      </c>
      <c r="L791" t="s">
        <v>74</v>
      </c>
      <c r="M791" t="s">
        <v>78</v>
      </c>
      <c r="N791" t="s">
        <v>79</v>
      </c>
      <c r="O791" t="s">
        <v>74</v>
      </c>
      <c r="P791" t="s">
        <v>74</v>
      </c>
      <c r="Q791" t="s">
        <v>74</v>
      </c>
      <c r="R791" t="s">
        <v>74</v>
      </c>
      <c r="S791" t="s">
        <v>74</v>
      </c>
      <c r="T791" t="s">
        <v>74</v>
      </c>
      <c r="U791" t="s">
        <v>15260</v>
      </c>
      <c r="V791" t="s">
        <v>15261</v>
      </c>
      <c r="W791" t="s">
        <v>15262</v>
      </c>
      <c r="X791" t="s">
        <v>15263</v>
      </c>
      <c r="Y791" t="s">
        <v>15264</v>
      </c>
      <c r="Z791" t="s">
        <v>15265</v>
      </c>
      <c r="AA791" t="s">
        <v>15266</v>
      </c>
      <c r="AB791" t="s">
        <v>15267</v>
      </c>
      <c r="AC791" t="s">
        <v>15268</v>
      </c>
      <c r="AD791" t="s">
        <v>15269</v>
      </c>
      <c r="AE791" t="s">
        <v>15270</v>
      </c>
      <c r="AF791" t="s">
        <v>74</v>
      </c>
      <c r="AG791">
        <v>34</v>
      </c>
      <c r="AH791">
        <v>5</v>
      </c>
      <c r="AI791">
        <v>5</v>
      </c>
      <c r="AJ791">
        <v>1</v>
      </c>
      <c r="AK791">
        <v>3</v>
      </c>
      <c r="AL791" t="s">
        <v>125</v>
      </c>
      <c r="AM791" t="s">
        <v>126</v>
      </c>
      <c r="AN791" t="s">
        <v>127</v>
      </c>
      <c r="AO791" t="s">
        <v>916</v>
      </c>
      <c r="AP791" t="s">
        <v>917</v>
      </c>
      <c r="AQ791" t="s">
        <v>74</v>
      </c>
      <c r="AR791" t="s">
        <v>918</v>
      </c>
      <c r="AS791" t="s">
        <v>919</v>
      </c>
      <c r="AT791" t="s">
        <v>15271</v>
      </c>
      <c r="AU791">
        <v>2019</v>
      </c>
      <c r="AV791">
        <v>46</v>
      </c>
      <c r="AW791">
        <v>2</v>
      </c>
      <c r="AX791" t="s">
        <v>74</v>
      </c>
      <c r="AY791" t="s">
        <v>74</v>
      </c>
      <c r="AZ791" t="s">
        <v>74</v>
      </c>
      <c r="BA791" t="s">
        <v>74</v>
      </c>
      <c r="BB791">
        <v>553</v>
      </c>
      <c r="BC791">
        <v>561</v>
      </c>
      <c r="BD791" t="s">
        <v>74</v>
      </c>
      <c r="BE791" t="s">
        <v>15272</v>
      </c>
      <c r="BF791" t="str">
        <f>HYPERLINK("http://dx.doi.org/10.1029/2018GL080842","http://dx.doi.org/10.1029/2018GL080842")</f>
        <v>http://dx.doi.org/10.1029/2018GL080842</v>
      </c>
      <c r="BG791" t="s">
        <v>74</v>
      </c>
      <c r="BH791" t="s">
        <v>74</v>
      </c>
      <c r="BI791">
        <v>9</v>
      </c>
      <c r="BJ791" t="s">
        <v>922</v>
      </c>
      <c r="BK791" t="s">
        <v>102</v>
      </c>
      <c r="BL791" t="s">
        <v>923</v>
      </c>
      <c r="BM791" t="s">
        <v>15273</v>
      </c>
      <c r="BN791" t="s">
        <v>74</v>
      </c>
      <c r="BO791" t="s">
        <v>279</v>
      </c>
      <c r="BP791" t="s">
        <v>74</v>
      </c>
      <c r="BQ791" t="s">
        <v>74</v>
      </c>
      <c r="BR791" t="s">
        <v>107</v>
      </c>
      <c r="BS791" t="s">
        <v>15274</v>
      </c>
      <c r="BT791" t="str">
        <f>HYPERLINK("https%3A%2F%2Fwww.webofscience.com%2Fwos%2Fwoscc%2Ffull-record%2FWOS:000458607400004","View Full Record in Web of Science")</f>
        <v>View Full Record in Web of Science</v>
      </c>
    </row>
    <row r="792" spans="1:72" x14ac:dyDescent="0.15">
      <c r="A792" t="s">
        <v>72</v>
      </c>
      <c r="B792" t="s">
        <v>15275</v>
      </c>
      <c r="C792" t="s">
        <v>74</v>
      </c>
      <c r="D792" t="s">
        <v>74</v>
      </c>
      <c r="E792" t="s">
        <v>74</v>
      </c>
      <c r="F792" t="s">
        <v>15276</v>
      </c>
      <c r="G792" t="s">
        <v>74</v>
      </c>
      <c r="H792" t="s">
        <v>74</v>
      </c>
      <c r="I792" t="s">
        <v>15277</v>
      </c>
      <c r="J792" t="s">
        <v>907</v>
      </c>
      <c r="K792" t="s">
        <v>74</v>
      </c>
      <c r="L792" t="s">
        <v>74</v>
      </c>
      <c r="M792" t="s">
        <v>78</v>
      </c>
      <c r="N792" t="s">
        <v>79</v>
      </c>
      <c r="O792" t="s">
        <v>74</v>
      </c>
      <c r="P792" t="s">
        <v>74</v>
      </c>
      <c r="Q792" t="s">
        <v>74</v>
      </c>
      <c r="R792" t="s">
        <v>74</v>
      </c>
      <c r="S792" t="s">
        <v>74</v>
      </c>
      <c r="T792" t="s">
        <v>74</v>
      </c>
      <c r="U792" t="s">
        <v>15278</v>
      </c>
      <c r="V792" t="s">
        <v>15279</v>
      </c>
      <c r="W792" t="s">
        <v>15280</v>
      </c>
      <c r="X792" t="s">
        <v>15281</v>
      </c>
      <c r="Y792" t="s">
        <v>15282</v>
      </c>
      <c r="Z792" t="s">
        <v>15283</v>
      </c>
      <c r="AA792" t="s">
        <v>15284</v>
      </c>
      <c r="AB792" t="s">
        <v>15285</v>
      </c>
      <c r="AC792" t="s">
        <v>15286</v>
      </c>
      <c r="AD792" t="s">
        <v>15287</v>
      </c>
      <c r="AE792" t="s">
        <v>15288</v>
      </c>
      <c r="AF792" t="s">
        <v>74</v>
      </c>
      <c r="AG792">
        <v>50</v>
      </c>
      <c r="AH792">
        <v>1</v>
      </c>
      <c r="AI792">
        <v>2</v>
      </c>
      <c r="AJ792">
        <v>1</v>
      </c>
      <c r="AK792">
        <v>17</v>
      </c>
      <c r="AL792" t="s">
        <v>125</v>
      </c>
      <c r="AM792" t="s">
        <v>126</v>
      </c>
      <c r="AN792" t="s">
        <v>127</v>
      </c>
      <c r="AO792" t="s">
        <v>916</v>
      </c>
      <c r="AP792" t="s">
        <v>917</v>
      </c>
      <c r="AQ792" t="s">
        <v>74</v>
      </c>
      <c r="AR792" t="s">
        <v>918</v>
      </c>
      <c r="AS792" t="s">
        <v>919</v>
      </c>
      <c r="AT792" t="s">
        <v>15271</v>
      </c>
      <c r="AU792">
        <v>2019</v>
      </c>
      <c r="AV792">
        <v>46</v>
      </c>
      <c r="AW792">
        <v>2</v>
      </c>
      <c r="AX792" t="s">
        <v>74</v>
      </c>
      <c r="AY792" t="s">
        <v>74</v>
      </c>
      <c r="AZ792" t="s">
        <v>74</v>
      </c>
      <c r="BA792" t="s">
        <v>74</v>
      </c>
      <c r="BB792">
        <v>812</v>
      </c>
      <c r="BC792">
        <v>821</v>
      </c>
      <c r="BD792" t="s">
        <v>74</v>
      </c>
      <c r="BE792" t="s">
        <v>15289</v>
      </c>
      <c r="BF792" t="str">
        <f>HYPERLINK("http://dx.doi.org/10.1029/2018GL080410","http://dx.doi.org/10.1029/2018GL080410")</f>
        <v>http://dx.doi.org/10.1029/2018GL080410</v>
      </c>
      <c r="BG792" t="s">
        <v>74</v>
      </c>
      <c r="BH792" t="s">
        <v>74</v>
      </c>
      <c r="BI792">
        <v>10</v>
      </c>
      <c r="BJ792" t="s">
        <v>922</v>
      </c>
      <c r="BK792" t="s">
        <v>102</v>
      </c>
      <c r="BL792" t="s">
        <v>923</v>
      </c>
      <c r="BM792" t="s">
        <v>15273</v>
      </c>
      <c r="BN792" t="s">
        <v>74</v>
      </c>
      <c r="BO792" t="s">
        <v>925</v>
      </c>
      <c r="BP792" t="s">
        <v>74</v>
      </c>
      <c r="BQ792" t="s">
        <v>74</v>
      </c>
      <c r="BR792" t="s">
        <v>107</v>
      </c>
      <c r="BS792" t="s">
        <v>15290</v>
      </c>
      <c r="BT792" t="str">
        <f>HYPERLINK("https%3A%2F%2Fwww.webofscience.com%2Fwos%2Fwoscc%2Ffull-record%2FWOS:000458607400032","View Full Record in Web of Science")</f>
        <v>View Full Record in Web of Science</v>
      </c>
    </row>
    <row r="793" spans="1:72" x14ac:dyDescent="0.15">
      <c r="A793" t="s">
        <v>72</v>
      </c>
      <c r="B793" t="s">
        <v>15291</v>
      </c>
      <c r="C793" t="s">
        <v>74</v>
      </c>
      <c r="D793" t="s">
        <v>74</v>
      </c>
      <c r="E793" t="s">
        <v>74</v>
      </c>
      <c r="F793" t="s">
        <v>15292</v>
      </c>
      <c r="G793" t="s">
        <v>74</v>
      </c>
      <c r="H793" t="s">
        <v>74</v>
      </c>
      <c r="I793" t="s">
        <v>15293</v>
      </c>
      <c r="J793" t="s">
        <v>907</v>
      </c>
      <c r="K793" t="s">
        <v>74</v>
      </c>
      <c r="L793" t="s">
        <v>74</v>
      </c>
      <c r="M793" t="s">
        <v>78</v>
      </c>
      <c r="N793" t="s">
        <v>79</v>
      </c>
      <c r="O793" t="s">
        <v>74</v>
      </c>
      <c r="P793" t="s">
        <v>74</v>
      </c>
      <c r="Q793" t="s">
        <v>74</v>
      </c>
      <c r="R793" t="s">
        <v>74</v>
      </c>
      <c r="S793" t="s">
        <v>74</v>
      </c>
      <c r="T793" t="s">
        <v>74</v>
      </c>
      <c r="U793" t="s">
        <v>15294</v>
      </c>
      <c r="V793" t="s">
        <v>15295</v>
      </c>
      <c r="W793" t="s">
        <v>15296</v>
      </c>
      <c r="X793" t="s">
        <v>15297</v>
      </c>
      <c r="Y793" t="s">
        <v>15298</v>
      </c>
      <c r="Z793" t="s">
        <v>15299</v>
      </c>
      <c r="AA793" t="s">
        <v>74</v>
      </c>
      <c r="AB793" t="s">
        <v>74</v>
      </c>
      <c r="AC793" t="s">
        <v>74</v>
      </c>
      <c r="AD793" t="s">
        <v>74</v>
      </c>
      <c r="AE793" t="s">
        <v>74</v>
      </c>
      <c r="AF793" t="s">
        <v>74</v>
      </c>
      <c r="AG793">
        <v>46</v>
      </c>
      <c r="AH793">
        <v>6</v>
      </c>
      <c r="AI793">
        <v>7</v>
      </c>
      <c r="AJ793">
        <v>1</v>
      </c>
      <c r="AK793">
        <v>18</v>
      </c>
      <c r="AL793" t="s">
        <v>125</v>
      </c>
      <c r="AM793" t="s">
        <v>126</v>
      </c>
      <c r="AN793" t="s">
        <v>127</v>
      </c>
      <c r="AO793" t="s">
        <v>916</v>
      </c>
      <c r="AP793" t="s">
        <v>917</v>
      </c>
      <c r="AQ793" t="s">
        <v>74</v>
      </c>
      <c r="AR793" t="s">
        <v>918</v>
      </c>
      <c r="AS793" t="s">
        <v>919</v>
      </c>
      <c r="AT793" t="s">
        <v>15271</v>
      </c>
      <c r="AU793">
        <v>2019</v>
      </c>
      <c r="AV793">
        <v>46</v>
      </c>
      <c r="AW793">
        <v>2</v>
      </c>
      <c r="AX793" t="s">
        <v>74</v>
      </c>
      <c r="AY793" t="s">
        <v>74</v>
      </c>
      <c r="AZ793" t="s">
        <v>74</v>
      </c>
      <c r="BA793" t="s">
        <v>74</v>
      </c>
      <c r="BB793">
        <v>833</v>
      </c>
      <c r="BC793">
        <v>841</v>
      </c>
      <c r="BD793" t="s">
        <v>74</v>
      </c>
      <c r="BE793" t="s">
        <v>15300</v>
      </c>
      <c r="BF793" t="str">
        <f>HYPERLINK("http://dx.doi.org/10.1029/2018GL080604","http://dx.doi.org/10.1029/2018GL080604")</f>
        <v>http://dx.doi.org/10.1029/2018GL080604</v>
      </c>
      <c r="BG793" t="s">
        <v>74</v>
      </c>
      <c r="BH793" t="s">
        <v>74</v>
      </c>
      <c r="BI793">
        <v>9</v>
      </c>
      <c r="BJ793" t="s">
        <v>922</v>
      </c>
      <c r="BK793" t="s">
        <v>102</v>
      </c>
      <c r="BL793" t="s">
        <v>923</v>
      </c>
      <c r="BM793" t="s">
        <v>15273</v>
      </c>
      <c r="BN793" t="s">
        <v>74</v>
      </c>
      <c r="BO793" t="s">
        <v>198</v>
      </c>
      <c r="BP793" t="s">
        <v>74</v>
      </c>
      <c r="BQ793" t="s">
        <v>74</v>
      </c>
      <c r="BR793" t="s">
        <v>107</v>
      </c>
      <c r="BS793" t="s">
        <v>15301</v>
      </c>
      <c r="BT793" t="str">
        <f>HYPERLINK("https%3A%2F%2Fwww.webofscience.com%2Fwos%2Fwoscc%2Ffull-record%2FWOS:000458607400034","View Full Record in Web of Science")</f>
        <v>View Full Record in Web of Science</v>
      </c>
    </row>
    <row r="794" spans="1:72" x14ac:dyDescent="0.15">
      <c r="A794" t="s">
        <v>72</v>
      </c>
      <c r="B794" t="s">
        <v>15302</v>
      </c>
      <c r="C794" t="s">
        <v>74</v>
      </c>
      <c r="D794" t="s">
        <v>74</v>
      </c>
      <c r="E794" t="s">
        <v>74</v>
      </c>
      <c r="F794" t="s">
        <v>15303</v>
      </c>
      <c r="G794" t="s">
        <v>74</v>
      </c>
      <c r="H794" t="s">
        <v>74</v>
      </c>
      <c r="I794" t="s">
        <v>15304</v>
      </c>
      <c r="J794" t="s">
        <v>907</v>
      </c>
      <c r="K794" t="s">
        <v>74</v>
      </c>
      <c r="L794" t="s">
        <v>74</v>
      </c>
      <c r="M794" t="s">
        <v>78</v>
      </c>
      <c r="N794" t="s">
        <v>79</v>
      </c>
      <c r="O794" t="s">
        <v>74</v>
      </c>
      <c r="P794" t="s">
        <v>74</v>
      </c>
      <c r="Q794" t="s">
        <v>74</v>
      </c>
      <c r="R794" t="s">
        <v>74</v>
      </c>
      <c r="S794" t="s">
        <v>74</v>
      </c>
      <c r="T794" t="s">
        <v>74</v>
      </c>
      <c r="U794" t="s">
        <v>15305</v>
      </c>
      <c r="V794" t="s">
        <v>15306</v>
      </c>
      <c r="W794" t="s">
        <v>15307</v>
      </c>
      <c r="X794" t="s">
        <v>15308</v>
      </c>
      <c r="Y794" t="s">
        <v>15309</v>
      </c>
      <c r="Z794" t="s">
        <v>15310</v>
      </c>
      <c r="AA794" t="s">
        <v>15311</v>
      </c>
      <c r="AB794" t="s">
        <v>15312</v>
      </c>
      <c r="AC794" t="s">
        <v>15313</v>
      </c>
      <c r="AD794" t="s">
        <v>15314</v>
      </c>
      <c r="AE794" t="s">
        <v>15315</v>
      </c>
      <c r="AF794" t="s">
        <v>74</v>
      </c>
      <c r="AG794">
        <v>25</v>
      </c>
      <c r="AH794">
        <v>22</v>
      </c>
      <c r="AI794">
        <v>28</v>
      </c>
      <c r="AJ794">
        <v>2</v>
      </c>
      <c r="AK794">
        <v>13</v>
      </c>
      <c r="AL794" t="s">
        <v>125</v>
      </c>
      <c r="AM794" t="s">
        <v>126</v>
      </c>
      <c r="AN794" t="s">
        <v>127</v>
      </c>
      <c r="AO794" t="s">
        <v>916</v>
      </c>
      <c r="AP794" t="s">
        <v>917</v>
      </c>
      <c r="AQ794" t="s">
        <v>74</v>
      </c>
      <c r="AR794" t="s">
        <v>918</v>
      </c>
      <c r="AS794" t="s">
        <v>919</v>
      </c>
      <c r="AT794" t="s">
        <v>15271</v>
      </c>
      <c r="AU794">
        <v>2019</v>
      </c>
      <c r="AV794">
        <v>46</v>
      </c>
      <c r="AW794">
        <v>2</v>
      </c>
      <c r="AX794" t="s">
        <v>74</v>
      </c>
      <c r="AY794" t="s">
        <v>74</v>
      </c>
      <c r="AZ794" t="s">
        <v>74</v>
      </c>
      <c r="BA794" t="s">
        <v>74</v>
      </c>
      <c r="BB794">
        <v>870</v>
      </c>
      <c r="BC794">
        <v>878</v>
      </c>
      <c r="BD794" t="s">
        <v>74</v>
      </c>
      <c r="BE794" t="s">
        <v>15316</v>
      </c>
      <c r="BF794" t="str">
        <f>HYPERLINK("http://dx.doi.org/10.1029/2018GL081354","http://dx.doi.org/10.1029/2018GL081354")</f>
        <v>http://dx.doi.org/10.1029/2018GL081354</v>
      </c>
      <c r="BG794" t="s">
        <v>74</v>
      </c>
      <c r="BH794" t="s">
        <v>74</v>
      </c>
      <c r="BI794">
        <v>9</v>
      </c>
      <c r="BJ794" t="s">
        <v>922</v>
      </c>
      <c r="BK794" t="s">
        <v>102</v>
      </c>
      <c r="BL794" t="s">
        <v>923</v>
      </c>
      <c r="BM794" t="s">
        <v>15273</v>
      </c>
      <c r="BN794" t="s">
        <v>74</v>
      </c>
      <c r="BO794" t="s">
        <v>198</v>
      </c>
      <c r="BP794" t="s">
        <v>74</v>
      </c>
      <c r="BQ794" t="s">
        <v>74</v>
      </c>
      <c r="BR794" t="s">
        <v>107</v>
      </c>
      <c r="BS794" t="s">
        <v>15317</v>
      </c>
      <c r="BT794" t="str">
        <f>HYPERLINK("https%3A%2F%2Fwww.webofscience.com%2Fwos%2Fwoscc%2Ffull-record%2FWOS:000458607400038","View Full Record in Web of Science")</f>
        <v>View Full Record in Web of Science</v>
      </c>
    </row>
    <row r="795" spans="1:72" x14ac:dyDescent="0.15">
      <c r="A795" t="s">
        <v>72</v>
      </c>
      <c r="B795" t="s">
        <v>15318</v>
      </c>
      <c r="C795" t="s">
        <v>74</v>
      </c>
      <c r="D795" t="s">
        <v>74</v>
      </c>
      <c r="E795" t="s">
        <v>74</v>
      </c>
      <c r="F795" t="s">
        <v>15319</v>
      </c>
      <c r="G795" t="s">
        <v>74</v>
      </c>
      <c r="H795" t="s">
        <v>74</v>
      </c>
      <c r="I795" t="s">
        <v>15320</v>
      </c>
      <c r="J795" t="s">
        <v>907</v>
      </c>
      <c r="K795" t="s">
        <v>74</v>
      </c>
      <c r="L795" t="s">
        <v>74</v>
      </c>
      <c r="M795" t="s">
        <v>78</v>
      </c>
      <c r="N795" t="s">
        <v>79</v>
      </c>
      <c r="O795" t="s">
        <v>74</v>
      </c>
      <c r="P795" t="s">
        <v>74</v>
      </c>
      <c r="Q795" t="s">
        <v>74</v>
      </c>
      <c r="R795" t="s">
        <v>74</v>
      </c>
      <c r="S795" t="s">
        <v>74</v>
      </c>
      <c r="T795" t="s">
        <v>74</v>
      </c>
      <c r="U795" t="s">
        <v>15321</v>
      </c>
      <c r="V795" t="s">
        <v>15322</v>
      </c>
      <c r="W795" t="s">
        <v>15323</v>
      </c>
      <c r="X795" t="s">
        <v>15324</v>
      </c>
      <c r="Y795" t="s">
        <v>15325</v>
      </c>
      <c r="Z795" t="s">
        <v>15326</v>
      </c>
      <c r="AA795" t="s">
        <v>74</v>
      </c>
      <c r="AB795" t="s">
        <v>74</v>
      </c>
      <c r="AC795" t="s">
        <v>15327</v>
      </c>
      <c r="AD795" t="s">
        <v>15328</v>
      </c>
      <c r="AE795" t="s">
        <v>15329</v>
      </c>
      <c r="AF795" t="s">
        <v>74</v>
      </c>
      <c r="AG795">
        <v>53</v>
      </c>
      <c r="AH795">
        <v>47</v>
      </c>
      <c r="AI795">
        <v>56</v>
      </c>
      <c r="AJ795">
        <v>2</v>
      </c>
      <c r="AK795">
        <v>36</v>
      </c>
      <c r="AL795" t="s">
        <v>125</v>
      </c>
      <c r="AM795" t="s">
        <v>126</v>
      </c>
      <c r="AN795" t="s">
        <v>127</v>
      </c>
      <c r="AO795" t="s">
        <v>916</v>
      </c>
      <c r="AP795" t="s">
        <v>917</v>
      </c>
      <c r="AQ795" t="s">
        <v>74</v>
      </c>
      <c r="AR795" t="s">
        <v>918</v>
      </c>
      <c r="AS795" t="s">
        <v>919</v>
      </c>
      <c r="AT795" t="s">
        <v>15271</v>
      </c>
      <c r="AU795">
        <v>2019</v>
      </c>
      <c r="AV795">
        <v>46</v>
      </c>
      <c r="AW795">
        <v>2</v>
      </c>
      <c r="AX795" t="s">
        <v>74</v>
      </c>
      <c r="AY795" t="s">
        <v>74</v>
      </c>
      <c r="AZ795" t="s">
        <v>74</v>
      </c>
      <c r="BA795" t="s">
        <v>74</v>
      </c>
      <c r="BB795">
        <v>944</v>
      </c>
      <c r="BC795">
        <v>952</v>
      </c>
      <c r="BD795" t="s">
        <v>74</v>
      </c>
      <c r="BE795" t="s">
        <v>15330</v>
      </c>
      <c r="BF795" t="str">
        <f>HYPERLINK("http://dx.doi.org/10.1029/2018GL080602","http://dx.doi.org/10.1029/2018GL080602")</f>
        <v>http://dx.doi.org/10.1029/2018GL080602</v>
      </c>
      <c r="BG795" t="s">
        <v>74</v>
      </c>
      <c r="BH795" t="s">
        <v>74</v>
      </c>
      <c r="BI795">
        <v>9</v>
      </c>
      <c r="BJ795" t="s">
        <v>922</v>
      </c>
      <c r="BK795" t="s">
        <v>102</v>
      </c>
      <c r="BL795" t="s">
        <v>923</v>
      </c>
      <c r="BM795" t="s">
        <v>15273</v>
      </c>
      <c r="BN795" t="s">
        <v>74</v>
      </c>
      <c r="BO795" t="s">
        <v>2764</v>
      </c>
      <c r="BP795" t="s">
        <v>74</v>
      </c>
      <c r="BQ795" t="s">
        <v>74</v>
      </c>
      <c r="BR795" t="s">
        <v>107</v>
      </c>
      <c r="BS795" t="s">
        <v>15331</v>
      </c>
      <c r="BT795" t="str">
        <f>HYPERLINK("https%3A%2F%2Fwww.webofscience.com%2Fwos%2Fwoscc%2Ffull-record%2FWOS:000458607400046","View Full Record in Web of Science")</f>
        <v>View Full Record in Web of Science</v>
      </c>
    </row>
    <row r="796" spans="1:72" x14ac:dyDescent="0.15">
      <c r="A796" t="s">
        <v>72</v>
      </c>
      <c r="B796" t="s">
        <v>15332</v>
      </c>
      <c r="C796" t="s">
        <v>74</v>
      </c>
      <c r="D796" t="s">
        <v>74</v>
      </c>
      <c r="E796" t="s">
        <v>74</v>
      </c>
      <c r="F796" t="s">
        <v>15333</v>
      </c>
      <c r="G796" t="s">
        <v>74</v>
      </c>
      <c r="H796" t="s">
        <v>74</v>
      </c>
      <c r="I796" t="s">
        <v>15334</v>
      </c>
      <c r="J796" t="s">
        <v>1125</v>
      </c>
      <c r="K796" t="s">
        <v>74</v>
      </c>
      <c r="L796" t="s">
        <v>74</v>
      </c>
      <c r="M796" t="s">
        <v>78</v>
      </c>
      <c r="N796" t="s">
        <v>79</v>
      </c>
      <c r="O796" t="s">
        <v>74</v>
      </c>
      <c r="P796" t="s">
        <v>74</v>
      </c>
      <c r="Q796" t="s">
        <v>74</v>
      </c>
      <c r="R796" t="s">
        <v>74</v>
      </c>
      <c r="S796" t="s">
        <v>74</v>
      </c>
      <c r="T796" t="s">
        <v>74</v>
      </c>
      <c r="U796" t="s">
        <v>15335</v>
      </c>
      <c r="V796" t="s">
        <v>15336</v>
      </c>
      <c r="W796" t="s">
        <v>15337</v>
      </c>
      <c r="X796" t="s">
        <v>15338</v>
      </c>
      <c r="Y796" t="s">
        <v>15339</v>
      </c>
      <c r="Z796" t="s">
        <v>15340</v>
      </c>
      <c r="AA796" t="s">
        <v>15341</v>
      </c>
      <c r="AB796" t="s">
        <v>15342</v>
      </c>
      <c r="AC796" t="s">
        <v>15343</v>
      </c>
      <c r="AD796" t="s">
        <v>15344</v>
      </c>
      <c r="AE796" t="s">
        <v>15345</v>
      </c>
      <c r="AF796" t="s">
        <v>74</v>
      </c>
      <c r="AG796">
        <v>61</v>
      </c>
      <c r="AH796">
        <v>18</v>
      </c>
      <c r="AI796">
        <v>19</v>
      </c>
      <c r="AJ796">
        <v>0</v>
      </c>
      <c r="AK796">
        <v>6</v>
      </c>
      <c r="AL796" t="s">
        <v>868</v>
      </c>
      <c r="AM796" t="s">
        <v>869</v>
      </c>
      <c r="AN796" t="s">
        <v>870</v>
      </c>
      <c r="AO796" t="s">
        <v>1137</v>
      </c>
      <c r="AP796" t="s">
        <v>1138</v>
      </c>
      <c r="AQ796" t="s">
        <v>74</v>
      </c>
      <c r="AR796" t="s">
        <v>1125</v>
      </c>
      <c r="AS796" t="s">
        <v>1139</v>
      </c>
      <c r="AT796" t="s">
        <v>15271</v>
      </c>
      <c r="AU796">
        <v>2019</v>
      </c>
      <c r="AV796">
        <v>13</v>
      </c>
      <c r="AW796">
        <v>1</v>
      </c>
      <c r="AX796" t="s">
        <v>74</v>
      </c>
      <c r="AY796" t="s">
        <v>74</v>
      </c>
      <c r="AZ796" t="s">
        <v>74</v>
      </c>
      <c r="BA796" t="s">
        <v>74</v>
      </c>
      <c r="BB796">
        <v>247</v>
      </c>
      <c r="BC796">
        <v>264</v>
      </c>
      <c r="BD796" t="s">
        <v>74</v>
      </c>
      <c r="BE796" t="s">
        <v>15346</v>
      </c>
      <c r="BF796" t="str">
        <f>HYPERLINK("http://dx.doi.org/10.5194/tc-13-247-2019","http://dx.doi.org/10.5194/tc-13-247-2019")</f>
        <v>http://dx.doi.org/10.5194/tc-13-247-2019</v>
      </c>
      <c r="BG796" t="s">
        <v>74</v>
      </c>
      <c r="BH796" t="s">
        <v>74</v>
      </c>
      <c r="BI796">
        <v>18</v>
      </c>
      <c r="BJ796" t="s">
        <v>1142</v>
      </c>
      <c r="BK796" t="s">
        <v>102</v>
      </c>
      <c r="BL796" t="s">
        <v>1143</v>
      </c>
      <c r="BM796" t="s">
        <v>15347</v>
      </c>
      <c r="BN796" t="s">
        <v>74</v>
      </c>
      <c r="BO796" t="s">
        <v>1975</v>
      </c>
      <c r="BP796" t="s">
        <v>74</v>
      </c>
      <c r="BQ796" t="s">
        <v>74</v>
      </c>
      <c r="BR796" t="s">
        <v>107</v>
      </c>
      <c r="BS796" t="s">
        <v>15348</v>
      </c>
      <c r="BT796" t="str">
        <f>HYPERLINK("https%3A%2F%2Fwww.webofscience.com%2Fwos%2Fwoscc%2Ffull-record%2FWOS:000456995900001","View Full Record in Web of Science")</f>
        <v>View Full Record in Web of Science</v>
      </c>
    </row>
    <row r="797" spans="1:72" x14ac:dyDescent="0.15">
      <c r="A797" t="s">
        <v>72</v>
      </c>
      <c r="B797" t="s">
        <v>15349</v>
      </c>
      <c r="C797" t="s">
        <v>74</v>
      </c>
      <c r="D797" t="s">
        <v>74</v>
      </c>
      <c r="E797" t="s">
        <v>74</v>
      </c>
      <c r="F797" t="s">
        <v>15350</v>
      </c>
      <c r="G797" t="s">
        <v>74</v>
      </c>
      <c r="H797" t="s">
        <v>74</v>
      </c>
      <c r="I797" t="s">
        <v>15351</v>
      </c>
      <c r="J797" t="s">
        <v>1938</v>
      </c>
      <c r="K797" t="s">
        <v>74</v>
      </c>
      <c r="L797" t="s">
        <v>74</v>
      </c>
      <c r="M797" t="s">
        <v>78</v>
      </c>
      <c r="N797" t="s">
        <v>79</v>
      </c>
      <c r="O797" t="s">
        <v>74</v>
      </c>
      <c r="P797" t="s">
        <v>74</v>
      </c>
      <c r="Q797" t="s">
        <v>74</v>
      </c>
      <c r="R797" t="s">
        <v>74</v>
      </c>
      <c r="S797" t="s">
        <v>74</v>
      </c>
      <c r="T797" t="s">
        <v>74</v>
      </c>
      <c r="U797" t="s">
        <v>15352</v>
      </c>
      <c r="V797" t="s">
        <v>15353</v>
      </c>
      <c r="W797" t="s">
        <v>15354</v>
      </c>
      <c r="X797" t="s">
        <v>15355</v>
      </c>
      <c r="Y797" t="s">
        <v>15356</v>
      </c>
      <c r="Z797" t="s">
        <v>15357</v>
      </c>
      <c r="AA797" t="s">
        <v>15358</v>
      </c>
      <c r="AB797" t="s">
        <v>15359</v>
      </c>
      <c r="AC797" t="s">
        <v>15360</v>
      </c>
      <c r="AD797" t="s">
        <v>15361</v>
      </c>
      <c r="AE797" t="s">
        <v>15362</v>
      </c>
      <c r="AF797" t="s">
        <v>74</v>
      </c>
      <c r="AG797">
        <v>55</v>
      </c>
      <c r="AH797">
        <v>47</v>
      </c>
      <c r="AI797">
        <v>49</v>
      </c>
      <c r="AJ797">
        <v>5</v>
      </c>
      <c r="AK797">
        <v>34</v>
      </c>
      <c r="AL797" t="s">
        <v>328</v>
      </c>
      <c r="AM797" t="s">
        <v>329</v>
      </c>
      <c r="AN797" t="s">
        <v>330</v>
      </c>
      <c r="AO797" t="s">
        <v>1950</v>
      </c>
      <c r="AP797" t="s">
        <v>74</v>
      </c>
      <c r="AQ797" t="s">
        <v>74</v>
      </c>
      <c r="AR797" t="s">
        <v>1951</v>
      </c>
      <c r="AS797" t="s">
        <v>1952</v>
      </c>
      <c r="AT797" t="s">
        <v>15271</v>
      </c>
      <c r="AU797">
        <v>2019</v>
      </c>
      <c r="AV797">
        <v>10</v>
      </c>
      <c r="AW797" t="s">
        <v>74</v>
      </c>
      <c r="AX797" t="s">
        <v>74</v>
      </c>
      <c r="AY797" t="s">
        <v>74</v>
      </c>
      <c r="AZ797" t="s">
        <v>74</v>
      </c>
      <c r="BA797" t="s">
        <v>74</v>
      </c>
      <c r="BB797" t="s">
        <v>74</v>
      </c>
      <c r="BC797" t="s">
        <v>74</v>
      </c>
      <c r="BD797">
        <v>466</v>
      </c>
      <c r="BE797" t="s">
        <v>15363</v>
      </c>
      <c r="BF797" t="str">
        <f>HYPERLINK("http://dx.doi.org/10.1038/s41467-019-08357-0","http://dx.doi.org/10.1038/s41467-019-08357-0")</f>
        <v>http://dx.doi.org/10.1038/s41467-019-08357-0</v>
      </c>
      <c r="BG797" t="s">
        <v>74</v>
      </c>
      <c r="BH797" t="s">
        <v>74</v>
      </c>
      <c r="BI797">
        <v>7</v>
      </c>
      <c r="BJ797" t="s">
        <v>460</v>
      </c>
      <c r="BK797" t="s">
        <v>102</v>
      </c>
      <c r="BL797" t="s">
        <v>461</v>
      </c>
      <c r="BM797" t="s">
        <v>15364</v>
      </c>
      <c r="BN797">
        <v>30692536</v>
      </c>
      <c r="BO797" t="s">
        <v>463</v>
      </c>
      <c r="BP797" t="s">
        <v>74</v>
      </c>
      <c r="BQ797" t="s">
        <v>74</v>
      </c>
      <c r="BR797" t="s">
        <v>107</v>
      </c>
      <c r="BS797" t="s">
        <v>15365</v>
      </c>
      <c r="BT797" t="str">
        <f>HYPERLINK("https%3A%2F%2Fwww.webofscience.com%2Fwos%2Fwoscc%2Ffull-record%2FWOS:000456829100002","View Full Record in Web of Science")</f>
        <v>View Full Record in Web of Science</v>
      </c>
    </row>
    <row r="798" spans="1:72" x14ac:dyDescent="0.15">
      <c r="A798" t="s">
        <v>72</v>
      </c>
      <c r="B798" t="s">
        <v>15366</v>
      </c>
      <c r="C798" t="s">
        <v>74</v>
      </c>
      <c r="D798" t="s">
        <v>74</v>
      </c>
      <c r="E798" t="s">
        <v>74</v>
      </c>
      <c r="F798" t="s">
        <v>15367</v>
      </c>
      <c r="G798" t="s">
        <v>74</v>
      </c>
      <c r="H798" t="s">
        <v>74</v>
      </c>
      <c r="I798" t="s">
        <v>15368</v>
      </c>
      <c r="J798" t="s">
        <v>1019</v>
      </c>
      <c r="K798" t="s">
        <v>74</v>
      </c>
      <c r="L798" t="s">
        <v>74</v>
      </c>
      <c r="M798" t="s">
        <v>78</v>
      </c>
      <c r="N798" t="s">
        <v>79</v>
      </c>
      <c r="O798" t="s">
        <v>74</v>
      </c>
      <c r="P798" t="s">
        <v>74</v>
      </c>
      <c r="Q798" t="s">
        <v>74</v>
      </c>
      <c r="R798" t="s">
        <v>74</v>
      </c>
      <c r="S798" t="s">
        <v>74</v>
      </c>
      <c r="T798" t="s">
        <v>74</v>
      </c>
      <c r="U798" t="s">
        <v>15369</v>
      </c>
      <c r="V798" t="s">
        <v>15370</v>
      </c>
      <c r="W798" t="s">
        <v>15371</v>
      </c>
      <c r="X798" t="s">
        <v>15372</v>
      </c>
      <c r="Y798" t="s">
        <v>15373</v>
      </c>
      <c r="Z798" t="s">
        <v>15374</v>
      </c>
      <c r="AA798" t="s">
        <v>15375</v>
      </c>
      <c r="AB798" t="s">
        <v>15376</v>
      </c>
      <c r="AC798" t="s">
        <v>15377</v>
      </c>
      <c r="AD798" t="s">
        <v>15378</v>
      </c>
      <c r="AE798" t="s">
        <v>15379</v>
      </c>
      <c r="AF798" t="s">
        <v>74</v>
      </c>
      <c r="AG798">
        <v>78</v>
      </c>
      <c r="AH798">
        <v>38</v>
      </c>
      <c r="AI798">
        <v>38</v>
      </c>
      <c r="AJ798">
        <v>3</v>
      </c>
      <c r="AK798">
        <v>9</v>
      </c>
      <c r="AL798" t="s">
        <v>125</v>
      </c>
      <c r="AM798" t="s">
        <v>126</v>
      </c>
      <c r="AN798" t="s">
        <v>127</v>
      </c>
      <c r="AO798" t="s">
        <v>1031</v>
      </c>
      <c r="AP798" t="s">
        <v>1032</v>
      </c>
      <c r="AQ798" t="s">
        <v>74</v>
      </c>
      <c r="AR798" t="s">
        <v>1033</v>
      </c>
      <c r="AS798" t="s">
        <v>1034</v>
      </c>
      <c r="AT798" t="s">
        <v>15380</v>
      </c>
      <c r="AU798">
        <v>2019</v>
      </c>
      <c r="AV798">
        <v>124</v>
      </c>
      <c r="AW798">
        <v>2</v>
      </c>
      <c r="AX798" t="s">
        <v>74</v>
      </c>
      <c r="AY798" t="s">
        <v>74</v>
      </c>
      <c r="AZ798" t="s">
        <v>74</v>
      </c>
      <c r="BA798" t="s">
        <v>74</v>
      </c>
      <c r="BB798">
        <v>964</v>
      </c>
      <c r="BC798">
        <v>985</v>
      </c>
      <c r="BD798" t="s">
        <v>74</v>
      </c>
      <c r="BE798" t="s">
        <v>15381</v>
      </c>
      <c r="BF798" t="str">
        <f>HYPERLINK("http://dx.doi.org/10.1029/2018JD028675","http://dx.doi.org/10.1029/2018JD028675")</f>
        <v>http://dx.doi.org/10.1029/2018JD028675</v>
      </c>
      <c r="BG798" t="s">
        <v>74</v>
      </c>
      <c r="BH798" t="s">
        <v>74</v>
      </c>
      <c r="BI798">
        <v>22</v>
      </c>
      <c r="BJ798" t="s">
        <v>133</v>
      </c>
      <c r="BK798" t="s">
        <v>102</v>
      </c>
      <c r="BL798" t="s">
        <v>133</v>
      </c>
      <c r="BM798" t="s">
        <v>15382</v>
      </c>
      <c r="BN798" t="s">
        <v>74</v>
      </c>
      <c r="BO798" t="s">
        <v>15383</v>
      </c>
      <c r="BP798" t="s">
        <v>74</v>
      </c>
      <c r="BQ798" t="s">
        <v>74</v>
      </c>
      <c r="BR798" t="s">
        <v>107</v>
      </c>
      <c r="BS798" t="s">
        <v>15384</v>
      </c>
      <c r="BT798" t="str">
        <f>HYPERLINK("https%3A%2F%2Fwww.webofscience.com%2Fwos%2Fwoscc%2Ffull-record%2FWOS:000458845300030","View Full Record in Web of Science")</f>
        <v>View Full Record in Web of Science</v>
      </c>
    </row>
    <row r="799" spans="1:72" x14ac:dyDescent="0.15">
      <c r="A799" t="s">
        <v>72</v>
      </c>
      <c r="B799" t="s">
        <v>15385</v>
      </c>
      <c r="C799" t="s">
        <v>74</v>
      </c>
      <c r="D799" t="s">
        <v>74</v>
      </c>
      <c r="E799" t="s">
        <v>74</v>
      </c>
      <c r="F799" t="s">
        <v>15386</v>
      </c>
      <c r="G799" t="s">
        <v>74</v>
      </c>
      <c r="H799" t="s">
        <v>74</v>
      </c>
      <c r="I799" t="s">
        <v>15387</v>
      </c>
      <c r="J799" t="s">
        <v>2511</v>
      </c>
      <c r="K799" t="s">
        <v>74</v>
      </c>
      <c r="L799" t="s">
        <v>74</v>
      </c>
      <c r="M799" t="s">
        <v>78</v>
      </c>
      <c r="N799" t="s">
        <v>79</v>
      </c>
      <c r="O799" t="s">
        <v>74</v>
      </c>
      <c r="P799" t="s">
        <v>74</v>
      </c>
      <c r="Q799" t="s">
        <v>74</v>
      </c>
      <c r="R799" t="s">
        <v>74</v>
      </c>
      <c r="S799" t="s">
        <v>74</v>
      </c>
      <c r="T799" t="s">
        <v>74</v>
      </c>
      <c r="U799" t="s">
        <v>15388</v>
      </c>
      <c r="V799" t="s">
        <v>15389</v>
      </c>
      <c r="W799" t="s">
        <v>15390</v>
      </c>
      <c r="X799" t="s">
        <v>2352</v>
      </c>
      <c r="Y799" t="s">
        <v>15391</v>
      </c>
      <c r="Z799" t="s">
        <v>15392</v>
      </c>
      <c r="AA799" t="s">
        <v>15393</v>
      </c>
      <c r="AB799" t="s">
        <v>15394</v>
      </c>
      <c r="AC799" t="s">
        <v>15395</v>
      </c>
      <c r="AD799" t="s">
        <v>15396</v>
      </c>
      <c r="AE799" t="s">
        <v>15397</v>
      </c>
      <c r="AF799" t="s">
        <v>74</v>
      </c>
      <c r="AG799">
        <v>88</v>
      </c>
      <c r="AH799">
        <v>56</v>
      </c>
      <c r="AI799">
        <v>60</v>
      </c>
      <c r="AJ799">
        <v>6</v>
      </c>
      <c r="AK799">
        <v>32</v>
      </c>
      <c r="AL799" t="s">
        <v>2523</v>
      </c>
      <c r="AM799" t="s">
        <v>2524</v>
      </c>
      <c r="AN799" t="s">
        <v>2525</v>
      </c>
      <c r="AO799" t="s">
        <v>2526</v>
      </c>
      <c r="AP799" t="s">
        <v>74</v>
      </c>
      <c r="AQ799" t="s">
        <v>74</v>
      </c>
      <c r="AR799" t="s">
        <v>2511</v>
      </c>
      <c r="AS799" t="s">
        <v>2527</v>
      </c>
      <c r="AT799" t="s">
        <v>15398</v>
      </c>
      <c r="AU799">
        <v>2019</v>
      </c>
      <c r="AV799">
        <v>14</v>
      </c>
      <c r="AW799">
        <v>1</v>
      </c>
      <c r="AX799" t="s">
        <v>74</v>
      </c>
      <c r="AY799" t="s">
        <v>74</v>
      </c>
      <c r="AZ799" t="s">
        <v>74</v>
      </c>
      <c r="BA799" t="s">
        <v>74</v>
      </c>
      <c r="BB799" t="s">
        <v>74</v>
      </c>
      <c r="BC799" t="s">
        <v>74</v>
      </c>
      <c r="BD799" t="s">
        <v>15399</v>
      </c>
      <c r="BE799" t="s">
        <v>15400</v>
      </c>
      <c r="BF799" t="str">
        <f>HYPERLINK("http://dx.doi.org/10.1371/journal.pone.0210220","http://dx.doi.org/10.1371/journal.pone.0210220")</f>
        <v>http://dx.doi.org/10.1371/journal.pone.0210220</v>
      </c>
      <c r="BG799" t="s">
        <v>74</v>
      </c>
      <c r="BH799" t="s">
        <v>74</v>
      </c>
      <c r="BI799">
        <v>27</v>
      </c>
      <c r="BJ799" t="s">
        <v>460</v>
      </c>
      <c r="BK799" t="s">
        <v>102</v>
      </c>
      <c r="BL799" t="s">
        <v>461</v>
      </c>
      <c r="BM799" t="s">
        <v>15401</v>
      </c>
      <c r="BN799">
        <v>30682047</v>
      </c>
      <c r="BO799" t="s">
        <v>6876</v>
      </c>
      <c r="BP799" t="s">
        <v>74</v>
      </c>
      <c r="BQ799" t="s">
        <v>74</v>
      </c>
      <c r="BR799" t="s">
        <v>107</v>
      </c>
      <c r="BS799" t="s">
        <v>15402</v>
      </c>
      <c r="BT799" t="str">
        <f>HYPERLINK("https%3A%2F%2Fwww.webofscience.com%2Fwos%2Fwoscc%2Ffull-record%2FWOS:000457037500028","View Full Record in Web of Science")</f>
        <v>View Full Record in Web of Science</v>
      </c>
    </row>
    <row r="800" spans="1:72" x14ac:dyDescent="0.15">
      <c r="A800" t="s">
        <v>72</v>
      </c>
      <c r="B800" t="s">
        <v>15403</v>
      </c>
      <c r="C800" t="s">
        <v>74</v>
      </c>
      <c r="D800" t="s">
        <v>74</v>
      </c>
      <c r="E800" t="s">
        <v>74</v>
      </c>
      <c r="F800" t="s">
        <v>15404</v>
      </c>
      <c r="G800" t="s">
        <v>74</v>
      </c>
      <c r="H800" t="s">
        <v>74</v>
      </c>
      <c r="I800" t="s">
        <v>15405</v>
      </c>
      <c r="J800" t="s">
        <v>1358</v>
      </c>
      <c r="K800" t="s">
        <v>74</v>
      </c>
      <c r="L800" t="s">
        <v>74</v>
      </c>
      <c r="M800" t="s">
        <v>78</v>
      </c>
      <c r="N800" t="s">
        <v>1301</v>
      </c>
      <c r="O800" t="s">
        <v>74</v>
      </c>
      <c r="P800" t="s">
        <v>74</v>
      </c>
      <c r="Q800" t="s">
        <v>74</v>
      </c>
      <c r="R800" t="s">
        <v>74</v>
      </c>
      <c r="S800" t="s">
        <v>74</v>
      </c>
      <c r="T800" t="s">
        <v>74</v>
      </c>
      <c r="U800" t="s">
        <v>74</v>
      </c>
      <c r="V800" t="s">
        <v>74</v>
      </c>
      <c r="W800" t="s">
        <v>74</v>
      </c>
      <c r="X800" t="s">
        <v>74</v>
      </c>
      <c r="Y800" t="s">
        <v>74</v>
      </c>
      <c r="Z800" t="s">
        <v>74</v>
      </c>
      <c r="AA800" t="s">
        <v>74</v>
      </c>
      <c r="AB800" t="s">
        <v>74</v>
      </c>
      <c r="AC800" t="s">
        <v>74</v>
      </c>
      <c r="AD800" t="s">
        <v>74</v>
      </c>
      <c r="AE800" t="s">
        <v>74</v>
      </c>
      <c r="AF800" t="s">
        <v>74</v>
      </c>
      <c r="AG800">
        <v>0</v>
      </c>
      <c r="AH800">
        <v>1</v>
      </c>
      <c r="AI800">
        <v>2</v>
      </c>
      <c r="AJ800">
        <v>0</v>
      </c>
      <c r="AK800">
        <v>7</v>
      </c>
      <c r="AL800" t="s">
        <v>1370</v>
      </c>
      <c r="AM800" t="s">
        <v>1371</v>
      </c>
      <c r="AN800" t="s">
        <v>1372</v>
      </c>
      <c r="AO800" t="s">
        <v>1373</v>
      </c>
      <c r="AP800" t="s">
        <v>1374</v>
      </c>
      <c r="AQ800" t="s">
        <v>74</v>
      </c>
      <c r="AR800" t="s">
        <v>1358</v>
      </c>
      <c r="AS800" t="s">
        <v>1375</v>
      </c>
      <c r="AT800" t="s">
        <v>15406</v>
      </c>
      <c r="AU800">
        <v>2019</v>
      </c>
      <c r="AV800">
        <v>565</v>
      </c>
      <c r="AW800">
        <v>7740</v>
      </c>
      <c r="AX800" t="s">
        <v>74</v>
      </c>
      <c r="AY800" t="s">
        <v>74</v>
      </c>
      <c r="AZ800" t="s">
        <v>74</v>
      </c>
      <c r="BA800" t="s">
        <v>74</v>
      </c>
      <c r="BB800">
        <v>405</v>
      </c>
      <c r="BC800">
        <v>406</v>
      </c>
      <c r="BD800" t="s">
        <v>74</v>
      </c>
      <c r="BE800" t="s">
        <v>15407</v>
      </c>
      <c r="BF800" t="str">
        <f>HYPERLINK("http://dx.doi.org/10.1038/d41586-019-00106-z","http://dx.doi.org/10.1038/d41586-019-00106-z")</f>
        <v>http://dx.doi.org/10.1038/d41586-019-00106-z</v>
      </c>
      <c r="BG800" t="s">
        <v>74</v>
      </c>
      <c r="BH800" t="s">
        <v>74</v>
      </c>
      <c r="BI800">
        <v>2</v>
      </c>
      <c r="BJ800" t="s">
        <v>460</v>
      </c>
      <c r="BK800" t="s">
        <v>102</v>
      </c>
      <c r="BL800" t="s">
        <v>461</v>
      </c>
      <c r="BM800" t="s">
        <v>15408</v>
      </c>
      <c r="BN800">
        <v>30670855</v>
      </c>
      <c r="BO800" t="s">
        <v>279</v>
      </c>
      <c r="BP800" t="s">
        <v>74</v>
      </c>
      <c r="BQ800" t="s">
        <v>74</v>
      </c>
      <c r="BR800" t="s">
        <v>107</v>
      </c>
      <c r="BS800" t="s">
        <v>15409</v>
      </c>
      <c r="BT800" t="str">
        <f>HYPERLINK("https%3A%2F%2Fwww.webofscience.com%2Fwos%2Fwoscc%2Ffull-record%2FWOS:000456653500006","View Full Record in Web of Science")</f>
        <v>View Full Record in Web of Science</v>
      </c>
    </row>
    <row r="801" spans="1:72" x14ac:dyDescent="0.15">
      <c r="A801" t="s">
        <v>72</v>
      </c>
      <c r="B801" t="s">
        <v>15410</v>
      </c>
      <c r="C801" t="s">
        <v>74</v>
      </c>
      <c r="D801" t="s">
        <v>74</v>
      </c>
      <c r="E801" t="s">
        <v>74</v>
      </c>
      <c r="F801" t="s">
        <v>15411</v>
      </c>
      <c r="G801" t="s">
        <v>74</v>
      </c>
      <c r="H801" t="s">
        <v>74</v>
      </c>
      <c r="I801" t="s">
        <v>15412</v>
      </c>
      <c r="J801" t="s">
        <v>1042</v>
      </c>
      <c r="K801" t="s">
        <v>74</v>
      </c>
      <c r="L801" t="s">
        <v>74</v>
      </c>
      <c r="M801" t="s">
        <v>78</v>
      </c>
      <c r="N801" t="s">
        <v>79</v>
      </c>
      <c r="O801" t="s">
        <v>74</v>
      </c>
      <c r="P801" t="s">
        <v>74</v>
      </c>
      <c r="Q801" t="s">
        <v>74</v>
      </c>
      <c r="R801" t="s">
        <v>74</v>
      </c>
      <c r="S801" t="s">
        <v>74</v>
      </c>
      <c r="T801" t="s">
        <v>74</v>
      </c>
      <c r="U801" t="s">
        <v>15413</v>
      </c>
      <c r="V801" t="s">
        <v>15414</v>
      </c>
      <c r="W801" t="s">
        <v>15415</v>
      </c>
      <c r="X801" t="s">
        <v>15416</v>
      </c>
      <c r="Y801" t="s">
        <v>15417</v>
      </c>
      <c r="Z801" t="s">
        <v>15418</v>
      </c>
      <c r="AA801" t="s">
        <v>15419</v>
      </c>
      <c r="AB801" t="s">
        <v>15420</v>
      </c>
      <c r="AC801" t="s">
        <v>15421</v>
      </c>
      <c r="AD801" t="s">
        <v>15422</v>
      </c>
      <c r="AE801" t="s">
        <v>15423</v>
      </c>
      <c r="AF801" t="s">
        <v>74</v>
      </c>
      <c r="AG801">
        <v>81</v>
      </c>
      <c r="AH801">
        <v>22</v>
      </c>
      <c r="AI801">
        <v>22</v>
      </c>
      <c r="AJ801">
        <v>1</v>
      </c>
      <c r="AK801">
        <v>9</v>
      </c>
      <c r="AL801" t="s">
        <v>868</v>
      </c>
      <c r="AM801" t="s">
        <v>869</v>
      </c>
      <c r="AN801" t="s">
        <v>870</v>
      </c>
      <c r="AO801" t="s">
        <v>1054</v>
      </c>
      <c r="AP801" t="s">
        <v>1055</v>
      </c>
      <c r="AQ801" t="s">
        <v>74</v>
      </c>
      <c r="AR801" t="s">
        <v>1056</v>
      </c>
      <c r="AS801" t="s">
        <v>1057</v>
      </c>
      <c r="AT801" t="s">
        <v>15406</v>
      </c>
      <c r="AU801">
        <v>2019</v>
      </c>
      <c r="AV801">
        <v>19</v>
      </c>
      <c r="AW801">
        <v>2</v>
      </c>
      <c r="AX801" t="s">
        <v>74</v>
      </c>
      <c r="AY801" t="s">
        <v>74</v>
      </c>
      <c r="AZ801" t="s">
        <v>74</v>
      </c>
      <c r="BA801" t="s">
        <v>74</v>
      </c>
      <c r="BB801">
        <v>921</v>
      </c>
      <c r="BC801">
        <v>940</v>
      </c>
      <c r="BD801" t="s">
        <v>74</v>
      </c>
      <c r="BE801" t="s">
        <v>15424</v>
      </c>
      <c r="BF801" t="str">
        <f>HYPERLINK("http://dx.doi.org/10.5194/acp-19-921-2019","http://dx.doi.org/10.5194/acp-19-921-2019")</f>
        <v>http://dx.doi.org/10.5194/acp-19-921-2019</v>
      </c>
      <c r="BG801" t="s">
        <v>74</v>
      </c>
      <c r="BH801" t="s">
        <v>74</v>
      </c>
      <c r="BI801">
        <v>20</v>
      </c>
      <c r="BJ801" t="s">
        <v>1060</v>
      </c>
      <c r="BK801" t="s">
        <v>102</v>
      </c>
      <c r="BL801" t="s">
        <v>338</v>
      </c>
      <c r="BM801" t="s">
        <v>15425</v>
      </c>
      <c r="BN801">
        <v>32793293</v>
      </c>
      <c r="BO801" t="s">
        <v>15426</v>
      </c>
      <c r="BP801" t="s">
        <v>74</v>
      </c>
      <c r="BQ801" t="s">
        <v>74</v>
      </c>
      <c r="BR801" t="s">
        <v>107</v>
      </c>
      <c r="BS801" t="s">
        <v>15427</v>
      </c>
      <c r="BT801" t="str">
        <f>HYPERLINK("https%3A%2F%2Fwww.webofscience.com%2Fwos%2Fwoscc%2Ffull-record%2FWOS:000456710100002","View Full Record in Web of Science")</f>
        <v>View Full Record in Web of Science</v>
      </c>
    </row>
    <row r="802" spans="1:72" x14ac:dyDescent="0.15">
      <c r="A802" t="s">
        <v>72</v>
      </c>
      <c r="B802" t="s">
        <v>15428</v>
      </c>
      <c r="C802" t="s">
        <v>74</v>
      </c>
      <c r="D802" t="s">
        <v>74</v>
      </c>
      <c r="E802" t="s">
        <v>74</v>
      </c>
      <c r="F802" t="s">
        <v>15429</v>
      </c>
      <c r="G802" t="s">
        <v>74</v>
      </c>
      <c r="H802" t="s">
        <v>74</v>
      </c>
      <c r="I802" t="s">
        <v>15430</v>
      </c>
      <c r="J802" t="s">
        <v>1042</v>
      </c>
      <c r="K802" t="s">
        <v>74</v>
      </c>
      <c r="L802" t="s">
        <v>74</v>
      </c>
      <c r="M802" t="s">
        <v>78</v>
      </c>
      <c r="N802" t="s">
        <v>79</v>
      </c>
      <c r="O802" t="s">
        <v>74</v>
      </c>
      <c r="P802" t="s">
        <v>74</v>
      </c>
      <c r="Q802" t="s">
        <v>74</v>
      </c>
      <c r="R802" t="s">
        <v>74</v>
      </c>
      <c r="S802" t="s">
        <v>74</v>
      </c>
      <c r="T802" t="s">
        <v>74</v>
      </c>
      <c r="U802" t="s">
        <v>15431</v>
      </c>
      <c r="V802" t="s">
        <v>15432</v>
      </c>
      <c r="W802" t="s">
        <v>15433</v>
      </c>
      <c r="X802" t="s">
        <v>15434</v>
      </c>
      <c r="Y802" t="s">
        <v>15435</v>
      </c>
      <c r="Z802" t="s">
        <v>15436</v>
      </c>
      <c r="AA802" t="s">
        <v>15437</v>
      </c>
      <c r="AB802" t="s">
        <v>15438</v>
      </c>
      <c r="AC802" t="s">
        <v>15439</v>
      </c>
      <c r="AD802" t="s">
        <v>15440</v>
      </c>
      <c r="AE802" t="s">
        <v>15441</v>
      </c>
      <c r="AF802" t="s">
        <v>74</v>
      </c>
      <c r="AG802">
        <v>53</v>
      </c>
      <c r="AH802">
        <v>14</v>
      </c>
      <c r="AI802">
        <v>14</v>
      </c>
      <c r="AJ802">
        <v>0</v>
      </c>
      <c r="AK802">
        <v>11</v>
      </c>
      <c r="AL802" t="s">
        <v>868</v>
      </c>
      <c r="AM802" t="s">
        <v>869</v>
      </c>
      <c r="AN802" t="s">
        <v>870</v>
      </c>
      <c r="AO802" t="s">
        <v>1054</v>
      </c>
      <c r="AP802" t="s">
        <v>1055</v>
      </c>
      <c r="AQ802" t="s">
        <v>74</v>
      </c>
      <c r="AR802" t="s">
        <v>1056</v>
      </c>
      <c r="AS802" t="s">
        <v>1057</v>
      </c>
      <c r="AT802" t="s">
        <v>15406</v>
      </c>
      <c r="AU802">
        <v>2019</v>
      </c>
      <c r="AV802">
        <v>19</v>
      </c>
      <c r="AW802">
        <v>2</v>
      </c>
      <c r="AX802" t="s">
        <v>74</v>
      </c>
      <c r="AY802" t="s">
        <v>74</v>
      </c>
      <c r="AZ802" t="s">
        <v>74</v>
      </c>
      <c r="BA802" t="s">
        <v>74</v>
      </c>
      <c r="BB802">
        <v>955</v>
      </c>
      <c r="BC802">
        <v>972</v>
      </c>
      <c r="BD802" t="s">
        <v>74</v>
      </c>
      <c r="BE802" t="s">
        <v>15442</v>
      </c>
      <c r="BF802" t="str">
        <f>HYPERLINK("http://dx.doi.org/10.5194/acp-19-955-2019","http://dx.doi.org/10.5194/acp-19-955-2019")</f>
        <v>http://dx.doi.org/10.5194/acp-19-955-2019</v>
      </c>
      <c r="BG802" t="s">
        <v>74</v>
      </c>
      <c r="BH802" t="s">
        <v>74</v>
      </c>
      <c r="BI802">
        <v>18</v>
      </c>
      <c r="BJ802" t="s">
        <v>1060</v>
      </c>
      <c r="BK802" t="s">
        <v>102</v>
      </c>
      <c r="BL802" t="s">
        <v>338</v>
      </c>
      <c r="BM802" t="s">
        <v>15425</v>
      </c>
      <c r="BN802" t="s">
        <v>74</v>
      </c>
      <c r="BO802" t="s">
        <v>3093</v>
      </c>
      <c r="BP802" t="s">
        <v>74</v>
      </c>
      <c r="BQ802" t="s">
        <v>74</v>
      </c>
      <c r="BR802" t="s">
        <v>107</v>
      </c>
      <c r="BS802" t="s">
        <v>15443</v>
      </c>
      <c r="BT802" t="str">
        <f>HYPERLINK("https%3A%2F%2Fwww.webofscience.com%2Fwos%2Fwoscc%2Ffull-record%2FWOS:000456710100004","View Full Record in Web of Science")</f>
        <v>View Full Record in Web of Science</v>
      </c>
    </row>
    <row r="803" spans="1:72" x14ac:dyDescent="0.15">
      <c r="A803" t="s">
        <v>72</v>
      </c>
      <c r="B803" t="s">
        <v>15444</v>
      </c>
      <c r="C803" t="s">
        <v>74</v>
      </c>
      <c r="D803" t="s">
        <v>74</v>
      </c>
      <c r="E803" t="s">
        <v>74</v>
      </c>
      <c r="F803" t="s">
        <v>15445</v>
      </c>
      <c r="G803" t="s">
        <v>74</v>
      </c>
      <c r="H803" t="s">
        <v>74</v>
      </c>
      <c r="I803" t="s">
        <v>15446</v>
      </c>
      <c r="J803" t="s">
        <v>1654</v>
      </c>
      <c r="K803" t="s">
        <v>74</v>
      </c>
      <c r="L803" t="s">
        <v>74</v>
      </c>
      <c r="M803" t="s">
        <v>78</v>
      </c>
      <c r="N803" t="s">
        <v>79</v>
      </c>
      <c r="O803" t="s">
        <v>74</v>
      </c>
      <c r="P803" t="s">
        <v>74</v>
      </c>
      <c r="Q803" t="s">
        <v>74</v>
      </c>
      <c r="R803" t="s">
        <v>74</v>
      </c>
      <c r="S803" t="s">
        <v>74</v>
      </c>
      <c r="T803" t="s">
        <v>15447</v>
      </c>
      <c r="U803" t="s">
        <v>15448</v>
      </c>
      <c r="V803" t="s">
        <v>15449</v>
      </c>
      <c r="W803" t="s">
        <v>15450</v>
      </c>
      <c r="X803" t="s">
        <v>15451</v>
      </c>
      <c r="Y803" t="s">
        <v>15452</v>
      </c>
      <c r="Z803" t="s">
        <v>15453</v>
      </c>
      <c r="AA803" t="s">
        <v>15454</v>
      </c>
      <c r="AB803" t="s">
        <v>15455</v>
      </c>
      <c r="AC803" t="s">
        <v>15456</v>
      </c>
      <c r="AD803" t="s">
        <v>15457</v>
      </c>
      <c r="AE803" t="s">
        <v>15458</v>
      </c>
      <c r="AF803" t="s">
        <v>74</v>
      </c>
      <c r="AG803">
        <v>80</v>
      </c>
      <c r="AH803">
        <v>6</v>
      </c>
      <c r="AI803">
        <v>8</v>
      </c>
      <c r="AJ803">
        <v>0</v>
      </c>
      <c r="AK803">
        <v>0</v>
      </c>
      <c r="AL803" t="s">
        <v>1667</v>
      </c>
      <c r="AM803" t="s">
        <v>1668</v>
      </c>
      <c r="AN803" t="s">
        <v>4946</v>
      </c>
      <c r="AO803" t="s">
        <v>1670</v>
      </c>
      <c r="AP803" t="s">
        <v>1671</v>
      </c>
      <c r="AQ803" t="s">
        <v>74</v>
      </c>
      <c r="AR803" t="s">
        <v>1654</v>
      </c>
      <c r="AS803" t="s">
        <v>1672</v>
      </c>
      <c r="AT803" t="s">
        <v>15406</v>
      </c>
      <c r="AU803">
        <v>2019</v>
      </c>
      <c r="AV803">
        <v>4550</v>
      </c>
      <c r="AW803">
        <v>2</v>
      </c>
      <c r="AX803" t="s">
        <v>74</v>
      </c>
      <c r="AY803" t="s">
        <v>74</v>
      </c>
      <c r="AZ803" t="s">
        <v>74</v>
      </c>
      <c r="BA803" t="s">
        <v>74</v>
      </c>
      <c r="BB803">
        <v>185</v>
      </c>
      <c r="BC803">
        <v>200</v>
      </c>
      <c r="BD803" t="s">
        <v>74</v>
      </c>
      <c r="BE803" t="s">
        <v>15459</v>
      </c>
      <c r="BF803" t="str">
        <f>HYPERLINK("http://dx.doi.org/10.11646/zootaxa.4550.2.2","http://dx.doi.org/10.11646/zootaxa.4550.2.2")</f>
        <v>http://dx.doi.org/10.11646/zootaxa.4550.2.2</v>
      </c>
      <c r="BG803" t="s">
        <v>74</v>
      </c>
      <c r="BH803" t="s">
        <v>74</v>
      </c>
      <c r="BI803">
        <v>16</v>
      </c>
      <c r="BJ803" t="s">
        <v>1674</v>
      </c>
      <c r="BK803" t="s">
        <v>102</v>
      </c>
      <c r="BL803" t="s">
        <v>1674</v>
      </c>
      <c r="BM803" t="s">
        <v>15460</v>
      </c>
      <c r="BN803">
        <v>30790862</v>
      </c>
      <c r="BO803" t="s">
        <v>74</v>
      </c>
      <c r="BP803" t="s">
        <v>74</v>
      </c>
      <c r="BQ803" t="s">
        <v>74</v>
      </c>
      <c r="BR803" t="s">
        <v>107</v>
      </c>
      <c r="BS803" t="s">
        <v>15461</v>
      </c>
      <c r="BT803" t="str">
        <f>HYPERLINK("https%3A%2F%2Fwww.webofscience.com%2Fwos%2Fwoscc%2Ffull-record%2FWOS:000456361800002","View Full Record in Web of Science")</f>
        <v>View Full Record in Web of Science</v>
      </c>
    </row>
    <row r="804" spans="1:72" x14ac:dyDescent="0.15">
      <c r="A804" t="s">
        <v>72</v>
      </c>
      <c r="B804" t="s">
        <v>15462</v>
      </c>
      <c r="C804" t="s">
        <v>74</v>
      </c>
      <c r="D804" t="s">
        <v>74</v>
      </c>
      <c r="E804" t="s">
        <v>74</v>
      </c>
      <c r="F804" t="s">
        <v>15463</v>
      </c>
      <c r="G804" t="s">
        <v>74</v>
      </c>
      <c r="H804" t="s">
        <v>74</v>
      </c>
      <c r="I804" t="s">
        <v>15464</v>
      </c>
      <c r="J804" t="s">
        <v>6564</v>
      </c>
      <c r="K804" t="s">
        <v>74</v>
      </c>
      <c r="L804" t="s">
        <v>74</v>
      </c>
      <c r="M804" t="s">
        <v>78</v>
      </c>
      <c r="N804" t="s">
        <v>79</v>
      </c>
      <c r="O804" t="s">
        <v>74</v>
      </c>
      <c r="P804" t="s">
        <v>74</v>
      </c>
      <c r="Q804" t="s">
        <v>74</v>
      </c>
      <c r="R804" t="s">
        <v>74</v>
      </c>
      <c r="S804" t="s">
        <v>74</v>
      </c>
      <c r="T804" t="s">
        <v>15465</v>
      </c>
      <c r="U804" t="s">
        <v>15466</v>
      </c>
      <c r="V804" t="s">
        <v>15467</v>
      </c>
      <c r="W804" t="s">
        <v>15468</v>
      </c>
      <c r="X804" t="s">
        <v>15469</v>
      </c>
      <c r="Y804" t="s">
        <v>15470</v>
      </c>
      <c r="Z804" t="s">
        <v>15471</v>
      </c>
      <c r="AA804" t="s">
        <v>15472</v>
      </c>
      <c r="AB804" t="s">
        <v>15473</v>
      </c>
      <c r="AC804" t="s">
        <v>15474</v>
      </c>
      <c r="AD804" t="s">
        <v>15475</v>
      </c>
      <c r="AE804" t="s">
        <v>15476</v>
      </c>
      <c r="AF804" t="s">
        <v>74</v>
      </c>
      <c r="AG804">
        <v>101</v>
      </c>
      <c r="AH804">
        <v>17</v>
      </c>
      <c r="AI804">
        <v>18</v>
      </c>
      <c r="AJ804">
        <v>6</v>
      </c>
      <c r="AK804">
        <v>30</v>
      </c>
      <c r="AL804" t="s">
        <v>821</v>
      </c>
      <c r="AM804" t="s">
        <v>822</v>
      </c>
      <c r="AN804" t="s">
        <v>823</v>
      </c>
      <c r="AO804" t="s">
        <v>6577</v>
      </c>
      <c r="AP804" t="s">
        <v>74</v>
      </c>
      <c r="AQ804" t="s">
        <v>74</v>
      </c>
      <c r="AR804" t="s">
        <v>6578</v>
      </c>
      <c r="AS804" t="s">
        <v>6579</v>
      </c>
      <c r="AT804" t="s">
        <v>15477</v>
      </c>
      <c r="AU804">
        <v>2019</v>
      </c>
      <c r="AV804">
        <v>7</v>
      </c>
      <c r="AW804" t="s">
        <v>74</v>
      </c>
      <c r="AX804" t="s">
        <v>74</v>
      </c>
      <c r="AY804" t="s">
        <v>74</v>
      </c>
      <c r="AZ804" t="s">
        <v>74</v>
      </c>
      <c r="BA804" t="s">
        <v>74</v>
      </c>
      <c r="BB804" t="s">
        <v>74</v>
      </c>
      <c r="BC804" t="s">
        <v>74</v>
      </c>
      <c r="BD804">
        <v>1</v>
      </c>
      <c r="BE804" t="s">
        <v>15478</v>
      </c>
      <c r="BF804" t="str">
        <f>HYPERLINK("http://dx.doi.org/10.3389/fevo.2019.00001","http://dx.doi.org/10.3389/fevo.2019.00001")</f>
        <v>http://dx.doi.org/10.3389/fevo.2019.00001</v>
      </c>
      <c r="BG804" t="s">
        <v>74</v>
      </c>
      <c r="BH804" t="s">
        <v>74</v>
      </c>
      <c r="BI804">
        <v>22</v>
      </c>
      <c r="BJ804" t="s">
        <v>5763</v>
      </c>
      <c r="BK804" t="s">
        <v>102</v>
      </c>
      <c r="BL804" t="s">
        <v>2297</v>
      </c>
      <c r="BM804" t="s">
        <v>15479</v>
      </c>
      <c r="BN804" t="s">
        <v>74</v>
      </c>
      <c r="BO804" t="s">
        <v>1415</v>
      </c>
      <c r="BP804" t="s">
        <v>74</v>
      </c>
      <c r="BQ804" t="s">
        <v>74</v>
      </c>
      <c r="BR804" t="s">
        <v>107</v>
      </c>
      <c r="BS804" t="s">
        <v>15480</v>
      </c>
      <c r="BT804" t="str">
        <f>HYPERLINK("https%3A%2F%2Fwww.webofscience.com%2Fwos%2Fwoscc%2Ffull-record%2FWOS:000467373600001","View Full Record in Web of Science")</f>
        <v>View Full Record in Web of Science</v>
      </c>
    </row>
    <row r="805" spans="1:72" x14ac:dyDescent="0.15">
      <c r="A805" t="s">
        <v>72</v>
      </c>
      <c r="B805" t="s">
        <v>15481</v>
      </c>
      <c r="C805" t="s">
        <v>74</v>
      </c>
      <c r="D805" t="s">
        <v>74</v>
      </c>
      <c r="E805" t="s">
        <v>74</v>
      </c>
      <c r="F805" t="s">
        <v>15482</v>
      </c>
      <c r="G805" t="s">
        <v>74</v>
      </c>
      <c r="H805" t="s">
        <v>74</v>
      </c>
      <c r="I805" t="s">
        <v>15483</v>
      </c>
      <c r="J805" t="s">
        <v>15484</v>
      </c>
      <c r="K805" t="s">
        <v>74</v>
      </c>
      <c r="L805" t="s">
        <v>74</v>
      </c>
      <c r="M805" t="s">
        <v>78</v>
      </c>
      <c r="N805" t="s">
        <v>79</v>
      </c>
      <c r="O805" t="s">
        <v>74</v>
      </c>
      <c r="P805" t="s">
        <v>74</v>
      </c>
      <c r="Q805" t="s">
        <v>74</v>
      </c>
      <c r="R805" t="s">
        <v>74</v>
      </c>
      <c r="S805" t="s">
        <v>74</v>
      </c>
      <c r="T805" t="s">
        <v>15485</v>
      </c>
      <c r="U805" t="s">
        <v>15486</v>
      </c>
      <c r="V805" t="s">
        <v>15487</v>
      </c>
      <c r="W805" t="s">
        <v>15488</v>
      </c>
      <c r="X805" t="s">
        <v>15489</v>
      </c>
      <c r="Y805" t="s">
        <v>15490</v>
      </c>
      <c r="Z805" t="s">
        <v>15491</v>
      </c>
      <c r="AA805" t="s">
        <v>15492</v>
      </c>
      <c r="AB805" t="s">
        <v>15493</v>
      </c>
      <c r="AC805" t="s">
        <v>15494</v>
      </c>
      <c r="AD805" t="s">
        <v>15495</v>
      </c>
      <c r="AE805" t="s">
        <v>15496</v>
      </c>
      <c r="AF805" t="s">
        <v>74</v>
      </c>
      <c r="AG805">
        <v>54</v>
      </c>
      <c r="AH805">
        <v>8</v>
      </c>
      <c r="AI805">
        <v>8</v>
      </c>
      <c r="AJ805">
        <v>0</v>
      </c>
      <c r="AK805">
        <v>2</v>
      </c>
      <c r="AL805" t="s">
        <v>15497</v>
      </c>
      <c r="AM805" t="s">
        <v>329</v>
      </c>
      <c r="AN805" t="s">
        <v>9148</v>
      </c>
      <c r="AO805" t="s">
        <v>15498</v>
      </c>
      <c r="AP805" t="s">
        <v>74</v>
      </c>
      <c r="AQ805" t="s">
        <v>74</v>
      </c>
      <c r="AR805" t="s">
        <v>15499</v>
      </c>
      <c r="AS805" t="s">
        <v>15500</v>
      </c>
      <c r="AT805" t="s">
        <v>15477</v>
      </c>
      <c r="AU805">
        <v>2019</v>
      </c>
      <c r="AV805">
        <v>71</v>
      </c>
      <c r="AW805" t="s">
        <v>74</v>
      </c>
      <c r="AX805" t="s">
        <v>74</v>
      </c>
      <c r="AY805" t="s">
        <v>74</v>
      </c>
      <c r="AZ805" t="s">
        <v>74</v>
      </c>
      <c r="BA805" t="s">
        <v>74</v>
      </c>
      <c r="BB805" t="s">
        <v>74</v>
      </c>
      <c r="BC805" t="s">
        <v>74</v>
      </c>
      <c r="BD805">
        <v>9</v>
      </c>
      <c r="BE805" t="s">
        <v>15501</v>
      </c>
      <c r="BF805" t="str">
        <f>HYPERLINK("http://dx.doi.org/10.1186/s40623-019-0989-7","http://dx.doi.org/10.1186/s40623-019-0989-7")</f>
        <v>http://dx.doi.org/10.1186/s40623-019-0989-7</v>
      </c>
      <c r="BG805" t="s">
        <v>74</v>
      </c>
      <c r="BH805" t="s">
        <v>74</v>
      </c>
      <c r="BI805">
        <v>10</v>
      </c>
      <c r="BJ805" t="s">
        <v>922</v>
      </c>
      <c r="BK805" t="s">
        <v>102</v>
      </c>
      <c r="BL805" t="s">
        <v>923</v>
      </c>
      <c r="BM805" t="s">
        <v>15502</v>
      </c>
      <c r="BN805" t="s">
        <v>74</v>
      </c>
      <c r="BO805" t="s">
        <v>851</v>
      </c>
      <c r="BP805" t="s">
        <v>74</v>
      </c>
      <c r="BQ805" t="s">
        <v>74</v>
      </c>
      <c r="BR805" t="s">
        <v>107</v>
      </c>
      <c r="BS805" t="s">
        <v>15503</v>
      </c>
      <c r="BT805" t="str">
        <f>HYPERLINK("https%3A%2F%2Fwww.webofscience.com%2Fwos%2Fwoscc%2Ffull-record%2FWOS:000456559500001","View Full Record in Web of Science")</f>
        <v>View Full Record in Web of Science</v>
      </c>
    </row>
    <row r="806" spans="1:72" x14ac:dyDescent="0.15">
      <c r="A806" t="s">
        <v>72</v>
      </c>
      <c r="B806" t="s">
        <v>9464</v>
      </c>
      <c r="C806" t="s">
        <v>74</v>
      </c>
      <c r="D806" t="s">
        <v>74</v>
      </c>
      <c r="E806" t="s">
        <v>74</v>
      </c>
      <c r="F806" t="s">
        <v>15504</v>
      </c>
      <c r="G806" t="s">
        <v>74</v>
      </c>
      <c r="H806" t="s">
        <v>74</v>
      </c>
      <c r="I806" t="s">
        <v>15505</v>
      </c>
      <c r="J806" t="s">
        <v>1720</v>
      </c>
      <c r="K806" t="s">
        <v>74</v>
      </c>
      <c r="L806" t="s">
        <v>74</v>
      </c>
      <c r="M806" t="s">
        <v>78</v>
      </c>
      <c r="N806" t="s">
        <v>79</v>
      </c>
      <c r="O806" t="s">
        <v>74</v>
      </c>
      <c r="P806" t="s">
        <v>74</v>
      </c>
      <c r="Q806" t="s">
        <v>74</v>
      </c>
      <c r="R806" t="s">
        <v>74</v>
      </c>
      <c r="S806" t="s">
        <v>74</v>
      </c>
      <c r="T806" t="s">
        <v>74</v>
      </c>
      <c r="U806" t="s">
        <v>15506</v>
      </c>
      <c r="V806" t="s">
        <v>15507</v>
      </c>
      <c r="W806" t="s">
        <v>15508</v>
      </c>
      <c r="X806" t="s">
        <v>15509</v>
      </c>
      <c r="Y806" t="s">
        <v>15510</v>
      </c>
      <c r="Z806" t="s">
        <v>9469</v>
      </c>
      <c r="AA806" t="s">
        <v>15511</v>
      </c>
      <c r="AB806" t="s">
        <v>15512</v>
      </c>
      <c r="AC806" t="s">
        <v>15513</v>
      </c>
      <c r="AD806" t="s">
        <v>15513</v>
      </c>
      <c r="AE806" t="s">
        <v>15514</v>
      </c>
      <c r="AF806" t="s">
        <v>74</v>
      </c>
      <c r="AG806">
        <v>63</v>
      </c>
      <c r="AH806">
        <v>13</v>
      </c>
      <c r="AI806">
        <v>15</v>
      </c>
      <c r="AJ806">
        <v>1</v>
      </c>
      <c r="AK806">
        <v>7</v>
      </c>
      <c r="AL806" t="s">
        <v>1370</v>
      </c>
      <c r="AM806" t="s">
        <v>1371</v>
      </c>
      <c r="AN806" t="s">
        <v>1372</v>
      </c>
      <c r="AO806" t="s">
        <v>1731</v>
      </c>
      <c r="AP806" t="s">
        <v>74</v>
      </c>
      <c r="AQ806" t="s">
        <v>74</v>
      </c>
      <c r="AR806" t="s">
        <v>1732</v>
      </c>
      <c r="AS806" t="s">
        <v>1733</v>
      </c>
      <c r="AT806" t="s">
        <v>15477</v>
      </c>
      <c r="AU806">
        <v>2019</v>
      </c>
      <c r="AV806">
        <v>9</v>
      </c>
      <c r="AW806" t="s">
        <v>74</v>
      </c>
      <c r="AX806" t="s">
        <v>74</v>
      </c>
      <c r="AY806" t="s">
        <v>74</v>
      </c>
      <c r="AZ806" t="s">
        <v>74</v>
      </c>
      <c r="BA806" t="s">
        <v>74</v>
      </c>
      <c r="BB806" t="s">
        <v>74</v>
      </c>
      <c r="BC806" t="s">
        <v>74</v>
      </c>
      <c r="BD806">
        <v>381</v>
      </c>
      <c r="BE806" t="s">
        <v>15515</v>
      </c>
      <c r="BF806" t="str">
        <f>HYPERLINK("http://dx.doi.org/10.1038/s41598-018-37379-9","http://dx.doi.org/10.1038/s41598-018-37379-9")</f>
        <v>http://dx.doi.org/10.1038/s41598-018-37379-9</v>
      </c>
      <c r="BG806" t="s">
        <v>74</v>
      </c>
      <c r="BH806" t="s">
        <v>74</v>
      </c>
      <c r="BI806">
        <v>12</v>
      </c>
      <c r="BJ806" t="s">
        <v>460</v>
      </c>
      <c r="BK806" t="s">
        <v>102</v>
      </c>
      <c r="BL806" t="s">
        <v>461</v>
      </c>
      <c r="BM806" t="s">
        <v>15516</v>
      </c>
      <c r="BN806">
        <v>30674981</v>
      </c>
      <c r="BO806" t="s">
        <v>1100</v>
      </c>
      <c r="BP806" t="s">
        <v>74</v>
      </c>
      <c r="BQ806" t="s">
        <v>74</v>
      </c>
      <c r="BR806" t="s">
        <v>107</v>
      </c>
      <c r="BS806" t="s">
        <v>15517</v>
      </c>
      <c r="BT806" t="str">
        <f>HYPERLINK("https%3A%2F%2Fwww.webofscience.com%2Fwos%2Fwoscc%2Ffull-record%2FWOS:000456392400062","View Full Record in Web of Science")</f>
        <v>View Full Record in Web of Science</v>
      </c>
    </row>
    <row r="807" spans="1:72" x14ac:dyDescent="0.15">
      <c r="A807" t="s">
        <v>72</v>
      </c>
      <c r="B807" t="s">
        <v>15518</v>
      </c>
      <c r="C807" t="s">
        <v>74</v>
      </c>
      <c r="D807" t="s">
        <v>74</v>
      </c>
      <c r="E807" t="s">
        <v>74</v>
      </c>
      <c r="F807" t="s">
        <v>15519</v>
      </c>
      <c r="G807" t="s">
        <v>74</v>
      </c>
      <c r="H807" t="s">
        <v>74</v>
      </c>
      <c r="I807" t="s">
        <v>15520</v>
      </c>
      <c r="J807" t="s">
        <v>1720</v>
      </c>
      <c r="K807" t="s">
        <v>74</v>
      </c>
      <c r="L807" t="s">
        <v>74</v>
      </c>
      <c r="M807" t="s">
        <v>78</v>
      </c>
      <c r="N807" t="s">
        <v>79</v>
      </c>
      <c r="O807" t="s">
        <v>74</v>
      </c>
      <c r="P807" t="s">
        <v>74</v>
      </c>
      <c r="Q807" t="s">
        <v>74</v>
      </c>
      <c r="R807" t="s">
        <v>74</v>
      </c>
      <c r="S807" t="s">
        <v>74</v>
      </c>
      <c r="T807" t="s">
        <v>74</v>
      </c>
      <c r="U807" t="s">
        <v>15521</v>
      </c>
      <c r="V807" t="s">
        <v>15522</v>
      </c>
      <c r="W807" t="s">
        <v>15523</v>
      </c>
      <c r="X807" t="s">
        <v>15524</v>
      </c>
      <c r="Y807" t="s">
        <v>15525</v>
      </c>
      <c r="Z807" t="s">
        <v>15526</v>
      </c>
      <c r="AA807" t="s">
        <v>15527</v>
      </c>
      <c r="AB807" t="s">
        <v>15528</v>
      </c>
      <c r="AC807" t="s">
        <v>15529</v>
      </c>
      <c r="AD807" t="s">
        <v>15530</v>
      </c>
      <c r="AE807" t="s">
        <v>15531</v>
      </c>
      <c r="AF807" t="s">
        <v>74</v>
      </c>
      <c r="AG807">
        <v>84</v>
      </c>
      <c r="AH807">
        <v>28</v>
      </c>
      <c r="AI807">
        <v>29</v>
      </c>
      <c r="AJ807">
        <v>1</v>
      </c>
      <c r="AK807">
        <v>7</v>
      </c>
      <c r="AL807" t="s">
        <v>1393</v>
      </c>
      <c r="AM807" t="s">
        <v>1371</v>
      </c>
      <c r="AN807" t="s">
        <v>1372</v>
      </c>
      <c r="AO807" t="s">
        <v>1731</v>
      </c>
      <c r="AP807" t="s">
        <v>74</v>
      </c>
      <c r="AQ807" t="s">
        <v>74</v>
      </c>
      <c r="AR807" t="s">
        <v>1732</v>
      </c>
      <c r="AS807" t="s">
        <v>1733</v>
      </c>
      <c r="AT807" t="s">
        <v>15477</v>
      </c>
      <c r="AU807">
        <v>2019</v>
      </c>
      <c r="AV807">
        <v>9</v>
      </c>
      <c r="AW807" t="s">
        <v>74</v>
      </c>
      <c r="AX807" t="s">
        <v>74</v>
      </c>
      <c r="AY807" t="s">
        <v>74</v>
      </c>
      <c r="AZ807" t="s">
        <v>74</v>
      </c>
      <c r="BA807" t="s">
        <v>74</v>
      </c>
      <c r="BB807" t="s">
        <v>74</v>
      </c>
      <c r="BC807" t="s">
        <v>74</v>
      </c>
      <c r="BD807">
        <v>373</v>
      </c>
      <c r="BE807" t="s">
        <v>15532</v>
      </c>
      <c r="BF807" t="str">
        <f>HYPERLINK("http://dx.doi.org/10.1038/s41598-018-36188-4","http://dx.doi.org/10.1038/s41598-018-36188-4")</f>
        <v>http://dx.doi.org/10.1038/s41598-018-36188-4</v>
      </c>
      <c r="BG807" t="s">
        <v>74</v>
      </c>
      <c r="BH807" t="s">
        <v>74</v>
      </c>
      <c r="BI807">
        <v>14</v>
      </c>
      <c r="BJ807" t="s">
        <v>460</v>
      </c>
      <c r="BK807" t="s">
        <v>102</v>
      </c>
      <c r="BL807" t="s">
        <v>461</v>
      </c>
      <c r="BM807" t="s">
        <v>15516</v>
      </c>
      <c r="BN807">
        <v>30674998</v>
      </c>
      <c r="BO807" t="s">
        <v>2020</v>
      </c>
      <c r="BP807" t="s">
        <v>74</v>
      </c>
      <c r="BQ807" t="s">
        <v>74</v>
      </c>
      <c r="BR807" t="s">
        <v>107</v>
      </c>
      <c r="BS807" t="s">
        <v>15533</v>
      </c>
      <c r="BT807" t="str">
        <f>HYPERLINK("https%3A%2F%2Fwww.webofscience.com%2Fwos%2Fwoscc%2Ffull-record%2FWOS:000456392400054","View Full Record in Web of Science")</f>
        <v>View Full Record in Web of Science</v>
      </c>
    </row>
    <row r="808" spans="1:72" x14ac:dyDescent="0.15">
      <c r="A808" t="s">
        <v>72</v>
      </c>
      <c r="B808" t="s">
        <v>15534</v>
      </c>
      <c r="C808" t="s">
        <v>74</v>
      </c>
      <c r="D808" t="s">
        <v>74</v>
      </c>
      <c r="E808" t="s">
        <v>74</v>
      </c>
      <c r="F808" t="s">
        <v>15535</v>
      </c>
      <c r="G808" t="s">
        <v>74</v>
      </c>
      <c r="H808" t="s">
        <v>74</v>
      </c>
      <c r="I808" t="s">
        <v>15536</v>
      </c>
      <c r="J808" t="s">
        <v>15537</v>
      </c>
      <c r="K808" t="s">
        <v>74</v>
      </c>
      <c r="L808" t="s">
        <v>74</v>
      </c>
      <c r="M808" t="s">
        <v>78</v>
      </c>
      <c r="N808" t="s">
        <v>79</v>
      </c>
      <c r="O808" t="s">
        <v>74</v>
      </c>
      <c r="P808" t="s">
        <v>74</v>
      </c>
      <c r="Q808" t="s">
        <v>74</v>
      </c>
      <c r="R808" t="s">
        <v>74</v>
      </c>
      <c r="S808" t="s">
        <v>74</v>
      </c>
      <c r="T808" t="s">
        <v>15538</v>
      </c>
      <c r="U808" t="s">
        <v>15539</v>
      </c>
      <c r="V808" t="s">
        <v>15540</v>
      </c>
      <c r="W808" t="s">
        <v>15541</v>
      </c>
      <c r="X808" t="s">
        <v>15542</v>
      </c>
      <c r="Y808" t="s">
        <v>15543</v>
      </c>
      <c r="Z808" t="s">
        <v>15544</v>
      </c>
      <c r="AA808" t="s">
        <v>15545</v>
      </c>
      <c r="AB808" t="s">
        <v>15546</v>
      </c>
      <c r="AC808" t="s">
        <v>15547</v>
      </c>
      <c r="AD808" t="s">
        <v>15548</v>
      </c>
      <c r="AE808" t="s">
        <v>15549</v>
      </c>
      <c r="AF808" t="s">
        <v>74</v>
      </c>
      <c r="AG808">
        <v>42</v>
      </c>
      <c r="AH808">
        <v>9</v>
      </c>
      <c r="AI808">
        <v>9</v>
      </c>
      <c r="AJ808">
        <v>0</v>
      </c>
      <c r="AK808">
        <v>11</v>
      </c>
      <c r="AL808" t="s">
        <v>1514</v>
      </c>
      <c r="AM808" t="s">
        <v>329</v>
      </c>
      <c r="AN808" t="s">
        <v>1515</v>
      </c>
      <c r="AO808" t="s">
        <v>15550</v>
      </c>
      <c r="AP808" t="s">
        <v>74</v>
      </c>
      <c r="AQ808" t="s">
        <v>74</v>
      </c>
      <c r="AR808" t="s">
        <v>15551</v>
      </c>
      <c r="AS808" t="s">
        <v>15552</v>
      </c>
      <c r="AT808" t="s">
        <v>15553</v>
      </c>
      <c r="AU808">
        <v>2019</v>
      </c>
      <c r="AV808">
        <v>7</v>
      </c>
      <c r="AW808" t="s">
        <v>74</v>
      </c>
      <c r="AX808" t="s">
        <v>74</v>
      </c>
      <c r="AY808" t="s">
        <v>74</v>
      </c>
      <c r="AZ808" t="s">
        <v>74</v>
      </c>
      <c r="BA808" t="s">
        <v>74</v>
      </c>
      <c r="BB808" t="s">
        <v>74</v>
      </c>
      <c r="BC808" t="s">
        <v>74</v>
      </c>
      <c r="BD808">
        <v>1</v>
      </c>
      <c r="BE808" t="s">
        <v>15554</v>
      </c>
      <c r="BF808" t="str">
        <f>HYPERLINK("http://dx.doi.org/10.1186/s40462-019-0147-7","http://dx.doi.org/10.1186/s40462-019-0147-7")</f>
        <v>http://dx.doi.org/10.1186/s40462-019-0147-7</v>
      </c>
      <c r="BG808" t="s">
        <v>74</v>
      </c>
      <c r="BH808" t="s">
        <v>74</v>
      </c>
      <c r="BI808">
        <v>12</v>
      </c>
      <c r="BJ808" t="s">
        <v>5763</v>
      </c>
      <c r="BK808" t="s">
        <v>102</v>
      </c>
      <c r="BL808" t="s">
        <v>2297</v>
      </c>
      <c r="BM808" t="s">
        <v>15555</v>
      </c>
      <c r="BN808">
        <v>30693085</v>
      </c>
      <c r="BO808" t="s">
        <v>6876</v>
      </c>
      <c r="BP808" t="s">
        <v>74</v>
      </c>
      <c r="BQ808" t="s">
        <v>74</v>
      </c>
      <c r="BR808" t="s">
        <v>107</v>
      </c>
      <c r="BS808" t="s">
        <v>15556</v>
      </c>
      <c r="BT808" t="str">
        <f>HYPERLINK("https%3A%2F%2Fwww.webofscience.com%2Fwos%2Fwoscc%2Ffull-record%2FWOS:000462388100001","View Full Record in Web of Science")</f>
        <v>View Full Record in Web of Science</v>
      </c>
    </row>
    <row r="809" spans="1:72" x14ac:dyDescent="0.15">
      <c r="A809" t="s">
        <v>72</v>
      </c>
      <c r="B809" t="s">
        <v>15557</v>
      </c>
      <c r="C809" t="s">
        <v>74</v>
      </c>
      <c r="D809" t="s">
        <v>74</v>
      </c>
      <c r="E809" t="s">
        <v>74</v>
      </c>
      <c r="F809" t="s">
        <v>15558</v>
      </c>
      <c r="G809" t="s">
        <v>74</v>
      </c>
      <c r="H809" t="s">
        <v>74</v>
      </c>
      <c r="I809" t="s">
        <v>15559</v>
      </c>
      <c r="J809" t="s">
        <v>15560</v>
      </c>
      <c r="K809" t="s">
        <v>74</v>
      </c>
      <c r="L809" t="s">
        <v>74</v>
      </c>
      <c r="M809" t="s">
        <v>78</v>
      </c>
      <c r="N809" t="s">
        <v>79</v>
      </c>
      <c r="O809" t="s">
        <v>74</v>
      </c>
      <c r="P809" t="s">
        <v>74</v>
      </c>
      <c r="Q809" t="s">
        <v>74</v>
      </c>
      <c r="R809" t="s">
        <v>74</v>
      </c>
      <c r="S809" t="s">
        <v>74</v>
      </c>
      <c r="T809" t="s">
        <v>15561</v>
      </c>
      <c r="U809" t="s">
        <v>15562</v>
      </c>
      <c r="V809" t="s">
        <v>15563</v>
      </c>
      <c r="W809" t="s">
        <v>15564</v>
      </c>
      <c r="X809" t="s">
        <v>15565</v>
      </c>
      <c r="Y809" t="s">
        <v>15566</v>
      </c>
      <c r="Z809" t="s">
        <v>10480</v>
      </c>
      <c r="AA809" t="s">
        <v>15567</v>
      </c>
      <c r="AB809" t="s">
        <v>15568</v>
      </c>
      <c r="AC809" t="s">
        <v>15569</v>
      </c>
      <c r="AD809" t="s">
        <v>15570</v>
      </c>
      <c r="AE809" t="s">
        <v>15571</v>
      </c>
      <c r="AF809" t="s">
        <v>74</v>
      </c>
      <c r="AG809">
        <v>40</v>
      </c>
      <c r="AH809">
        <v>4</v>
      </c>
      <c r="AI809">
        <v>4</v>
      </c>
      <c r="AJ809">
        <v>0</v>
      </c>
      <c r="AK809">
        <v>4</v>
      </c>
      <c r="AL809" t="s">
        <v>1514</v>
      </c>
      <c r="AM809" t="s">
        <v>329</v>
      </c>
      <c r="AN809" t="s">
        <v>1515</v>
      </c>
      <c r="AO809" t="s">
        <v>15572</v>
      </c>
      <c r="AP809" t="s">
        <v>74</v>
      </c>
      <c r="AQ809" t="s">
        <v>74</v>
      </c>
      <c r="AR809" t="s">
        <v>15560</v>
      </c>
      <c r="AS809" t="s">
        <v>15573</v>
      </c>
      <c r="AT809" t="s">
        <v>15553</v>
      </c>
      <c r="AU809">
        <v>2019</v>
      </c>
      <c r="AV809">
        <v>20</v>
      </c>
      <c r="AW809" t="s">
        <v>74</v>
      </c>
      <c r="AX809" t="s">
        <v>74</v>
      </c>
      <c r="AY809" t="s">
        <v>74</v>
      </c>
      <c r="AZ809" t="s">
        <v>74</v>
      </c>
      <c r="BA809" t="s">
        <v>74</v>
      </c>
      <c r="BB809" t="s">
        <v>74</v>
      </c>
      <c r="BC809" t="s">
        <v>74</v>
      </c>
      <c r="BD809">
        <v>72</v>
      </c>
      <c r="BE809" t="s">
        <v>15574</v>
      </c>
      <c r="BF809" t="str">
        <f>HYPERLINK("http://dx.doi.org/10.1186/s12864-019-5440-8","http://dx.doi.org/10.1186/s12864-019-5440-8")</f>
        <v>http://dx.doi.org/10.1186/s12864-019-5440-8</v>
      </c>
      <c r="BG809" t="s">
        <v>74</v>
      </c>
      <c r="BH809" t="s">
        <v>74</v>
      </c>
      <c r="BI809">
        <v>12</v>
      </c>
      <c r="BJ809" t="s">
        <v>15575</v>
      </c>
      <c r="BK809" t="s">
        <v>102</v>
      </c>
      <c r="BL809" t="s">
        <v>15575</v>
      </c>
      <c r="BM809" t="s">
        <v>15576</v>
      </c>
      <c r="BN809">
        <v>30669975</v>
      </c>
      <c r="BO809" t="s">
        <v>851</v>
      </c>
      <c r="BP809" t="s">
        <v>74</v>
      </c>
      <c r="BQ809" t="s">
        <v>74</v>
      </c>
      <c r="BR809" t="s">
        <v>107</v>
      </c>
      <c r="BS809" t="s">
        <v>15577</v>
      </c>
      <c r="BT809" t="str">
        <f>HYPERLINK("https%3A%2F%2Fwww.webofscience.com%2Fwos%2Fwoscc%2Ffull-record%2FWOS:000456396300003","View Full Record in Web of Science")</f>
        <v>View Full Record in Web of Science</v>
      </c>
    </row>
    <row r="810" spans="1:72" x14ac:dyDescent="0.15">
      <c r="A810" t="s">
        <v>72</v>
      </c>
      <c r="B810" t="s">
        <v>15578</v>
      </c>
      <c r="C810" t="s">
        <v>74</v>
      </c>
      <c r="D810" t="s">
        <v>74</v>
      </c>
      <c r="E810" t="s">
        <v>74</v>
      </c>
      <c r="F810" t="s">
        <v>15579</v>
      </c>
      <c r="G810" t="s">
        <v>74</v>
      </c>
      <c r="H810" t="s">
        <v>74</v>
      </c>
      <c r="I810" t="s">
        <v>15580</v>
      </c>
      <c r="J810" t="s">
        <v>1125</v>
      </c>
      <c r="K810" t="s">
        <v>74</v>
      </c>
      <c r="L810" t="s">
        <v>74</v>
      </c>
      <c r="M810" t="s">
        <v>78</v>
      </c>
      <c r="N810" t="s">
        <v>79</v>
      </c>
      <c r="O810" t="s">
        <v>74</v>
      </c>
      <c r="P810" t="s">
        <v>74</v>
      </c>
      <c r="Q810" t="s">
        <v>74</v>
      </c>
      <c r="R810" t="s">
        <v>74</v>
      </c>
      <c r="S810" t="s">
        <v>74</v>
      </c>
      <c r="T810" t="s">
        <v>74</v>
      </c>
      <c r="U810" t="s">
        <v>15581</v>
      </c>
      <c r="V810" t="s">
        <v>15582</v>
      </c>
      <c r="W810" t="s">
        <v>15583</v>
      </c>
      <c r="X810" t="s">
        <v>15584</v>
      </c>
      <c r="Y810" t="s">
        <v>15585</v>
      </c>
      <c r="Z810" t="s">
        <v>15586</v>
      </c>
      <c r="AA810" t="s">
        <v>15587</v>
      </c>
      <c r="AB810" t="s">
        <v>15588</v>
      </c>
      <c r="AC810" t="s">
        <v>15589</v>
      </c>
      <c r="AD810" t="s">
        <v>15590</v>
      </c>
      <c r="AE810" t="s">
        <v>15591</v>
      </c>
      <c r="AF810" t="s">
        <v>74</v>
      </c>
      <c r="AG810">
        <v>62</v>
      </c>
      <c r="AH810">
        <v>55</v>
      </c>
      <c r="AI810">
        <v>59</v>
      </c>
      <c r="AJ810">
        <v>0</v>
      </c>
      <c r="AK810">
        <v>2</v>
      </c>
      <c r="AL810" t="s">
        <v>868</v>
      </c>
      <c r="AM810" t="s">
        <v>869</v>
      </c>
      <c r="AN810" t="s">
        <v>870</v>
      </c>
      <c r="AO810" t="s">
        <v>1137</v>
      </c>
      <c r="AP810" t="s">
        <v>1138</v>
      </c>
      <c r="AQ810" t="s">
        <v>74</v>
      </c>
      <c r="AR810" t="s">
        <v>1125</v>
      </c>
      <c r="AS810" t="s">
        <v>1139</v>
      </c>
      <c r="AT810" t="s">
        <v>15553</v>
      </c>
      <c r="AU810">
        <v>2019</v>
      </c>
      <c r="AV810">
        <v>13</v>
      </c>
      <c r="AW810">
        <v>1</v>
      </c>
      <c r="AX810" t="s">
        <v>74</v>
      </c>
      <c r="AY810" t="s">
        <v>74</v>
      </c>
      <c r="AZ810" t="s">
        <v>74</v>
      </c>
      <c r="BA810" t="s">
        <v>74</v>
      </c>
      <c r="BB810">
        <v>177</v>
      </c>
      <c r="BC810">
        <v>195</v>
      </c>
      <c r="BD810" t="s">
        <v>74</v>
      </c>
      <c r="BE810" t="s">
        <v>15592</v>
      </c>
      <c r="BF810" t="str">
        <f>HYPERLINK("http://dx.doi.org/10.5194/tc-13-177-2019","http://dx.doi.org/10.5194/tc-13-177-2019")</f>
        <v>http://dx.doi.org/10.5194/tc-13-177-2019</v>
      </c>
      <c r="BG810" t="s">
        <v>74</v>
      </c>
      <c r="BH810" t="s">
        <v>74</v>
      </c>
      <c r="BI810">
        <v>19</v>
      </c>
      <c r="BJ810" t="s">
        <v>1142</v>
      </c>
      <c r="BK810" t="s">
        <v>102</v>
      </c>
      <c r="BL810" t="s">
        <v>1143</v>
      </c>
      <c r="BM810" t="s">
        <v>15593</v>
      </c>
      <c r="BN810" t="s">
        <v>74</v>
      </c>
      <c r="BO810" t="s">
        <v>135</v>
      </c>
      <c r="BP810" t="s">
        <v>74</v>
      </c>
      <c r="BQ810" t="s">
        <v>74</v>
      </c>
      <c r="BR810" t="s">
        <v>107</v>
      </c>
      <c r="BS810" t="s">
        <v>15594</v>
      </c>
      <c r="BT810" t="str">
        <f>HYPERLINK("https%3A%2F%2Fwww.webofscience.com%2Fwos%2Fwoscc%2Ffull-record%2FWOS:000456322100002","View Full Record in Web of Science")</f>
        <v>View Full Record in Web of Science</v>
      </c>
    </row>
    <row r="811" spans="1:72" x14ac:dyDescent="0.15">
      <c r="A811" t="s">
        <v>72</v>
      </c>
      <c r="B811" t="s">
        <v>15595</v>
      </c>
      <c r="C811" t="s">
        <v>74</v>
      </c>
      <c r="D811" t="s">
        <v>74</v>
      </c>
      <c r="E811" t="s">
        <v>74</v>
      </c>
      <c r="F811" t="s">
        <v>15596</v>
      </c>
      <c r="G811" t="s">
        <v>74</v>
      </c>
      <c r="H811" t="s">
        <v>74</v>
      </c>
      <c r="I811" t="s">
        <v>15597</v>
      </c>
      <c r="J811" t="s">
        <v>7763</v>
      </c>
      <c r="K811" t="s">
        <v>74</v>
      </c>
      <c r="L811" t="s">
        <v>74</v>
      </c>
      <c r="M811" t="s">
        <v>78</v>
      </c>
      <c r="N811" t="s">
        <v>79</v>
      </c>
      <c r="O811" t="s">
        <v>74</v>
      </c>
      <c r="P811" t="s">
        <v>74</v>
      </c>
      <c r="Q811" t="s">
        <v>74</v>
      </c>
      <c r="R811" t="s">
        <v>74</v>
      </c>
      <c r="S811" t="s">
        <v>74</v>
      </c>
      <c r="T811" t="s">
        <v>15598</v>
      </c>
      <c r="U811" t="s">
        <v>15599</v>
      </c>
      <c r="V811" t="s">
        <v>15600</v>
      </c>
      <c r="W811" t="s">
        <v>15601</v>
      </c>
      <c r="X811" t="s">
        <v>15602</v>
      </c>
      <c r="Y811" t="s">
        <v>15603</v>
      </c>
      <c r="Z811" t="s">
        <v>15604</v>
      </c>
      <c r="AA811" t="s">
        <v>15605</v>
      </c>
      <c r="AB811" t="s">
        <v>15606</v>
      </c>
      <c r="AC811" t="s">
        <v>15607</v>
      </c>
      <c r="AD811" t="s">
        <v>15608</v>
      </c>
      <c r="AE811" t="s">
        <v>15609</v>
      </c>
      <c r="AF811" t="s">
        <v>74</v>
      </c>
      <c r="AG811">
        <v>56</v>
      </c>
      <c r="AH811">
        <v>620</v>
      </c>
      <c r="AI811">
        <v>703</v>
      </c>
      <c r="AJ811">
        <v>12</v>
      </c>
      <c r="AK811">
        <v>194</v>
      </c>
      <c r="AL811" t="s">
        <v>7776</v>
      </c>
      <c r="AM811" t="s">
        <v>126</v>
      </c>
      <c r="AN811" t="s">
        <v>7777</v>
      </c>
      <c r="AO811" t="s">
        <v>7778</v>
      </c>
      <c r="AP811" t="s">
        <v>74</v>
      </c>
      <c r="AQ811" t="s">
        <v>74</v>
      </c>
      <c r="AR811" t="s">
        <v>7779</v>
      </c>
      <c r="AS811" t="s">
        <v>7780</v>
      </c>
      <c r="AT811" t="s">
        <v>15553</v>
      </c>
      <c r="AU811">
        <v>2019</v>
      </c>
      <c r="AV811">
        <v>116</v>
      </c>
      <c r="AW811">
        <v>4</v>
      </c>
      <c r="AX811" t="s">
        <v>74</v>
      </c>
      <c r="AY811" t="s">
        <v>74</v>
      </c>
      <c r="AZ811" t="s">
        <v>74</v>
      </c>
      <c r="BA811" t="s">
        <v>74</v>
      </c>
      <c r="BB811">
        <v>1095</v>
      </c>
      <c r="BC811">
        <v>1103</v>
      </c>
      <c r="BD811" t="s">
        <v>74</v>
      </c>
      <c r="BE811" t="s">
        <v>15610</v>
      </c>
      <c r="BF811" t="str">
        <f>HYPERLINK("http://dx.doi.org/10.1073/pnas.1812883116","http://dx.doi.org/10.1073/pnas.1812883116")</f>
        <v>http://dx.doi.org/10.1073/pnas.1812883116</v>
      </c>
      <c r="BG811" t="s">
        <v>74</v>
      </c>
      <c r="BH811" t="s">
        <v>74</v>
      </c>
      <c r="BI811">
        <v>9</v>
      </c>
      <c r="BJ811" t="s">
        <v>460</v>
      </c>
      <c r="BK811" t="s">
        <v>102</v>
      </c>
      <c r="BL811" t="s">
        <v>461</v>
      </c>
      <c r="BM811" t="s">
        <v>15611</v>
      </c>
      <c r="BN811">
        <v>30642972</v>
      </c>
      <c r="BO811" t="s">
        <v>645</v>
      </c>
      <c r="BP811" t="s">
        <v>105</v>
      </c>
      <c r="BQ811" t="s">
        <v>106</v>
      </c>
      <c r="BR811" t="s">
        <v>107</v>
      </c>
      <c r="BS811" t="s">
        <v>15612</v>
      </c>
      <c r="BT811" t="str">
        <f>HYPERLINK("https%3A%2F%2Fwww.webofscience.com%2Fwos%2Fwoscc%2Ffull-record%2FWOS:000456336100007","View Full Record in Web of Science")</f>
        <v>View Full Record in Web of Science</v>
      </c>
    </row>
    <row r="812" spans="1:72" x14ac:dyDescent="0.15">
      <c r="A812" t="s">
        <v>72</v>
      </c>
      <c r="B812" t="s">
        <v>15613</v>
      </c>
      <c r="C812" t="s">
        <v>74</v>
      </c>
      <c r="D812" t="s">
        <v>74</v>
      </c>
      <c r="E812" t="s">
        <v>74</v>
      </c>
      <c r="F812" t="s">
        <v>15614</v>
      </c>
      <c r="G812" t="s">
        <v>74</v>
      </c>
      <c r="H812" t="s">
        <v>74</v>
      </c>
      <c r="I812" t="s">
        <v>15615</v>
      </c>
      <c r="J812" t="s">
        <v>1339</v>
      </c>
      <c r="K812" t="s">
        <v>74</v>
      </c>
      <c r="L812" t="s">
        <v>74</v>
      </c>
      <c r="M812" t="s">
        <v>78</v>
      </c>
      <c r="N812" t="s">
        <v>79</v>
      </c>
      <c r="O812" t="s">
        <v>74</v>
      </c>
      <c r="P812" t="s">
        <v>74</v>
      </c>
      <c r="Q812" t="s">
        <v>74</v>
      </c>
      <c r="R812" t="s">
        <v>74</v>
      </c>
      <c r="S812" t="s">
        <v>74</v>
      </c>
      <c r="T812" t="s">
        <v>74</v>
      </c>
      <c r="U812" t="s">
        <v>15616</v>
      </c>
      <c r="V812" t="s">
        <v>15617</v>
      </c>
      <c r="W812" t="s">
        <v>15618</v>
      </c>
      <c r="X812" t="s">
        <v>15619</v>
      </c>
      <c r="Y812" t="s">
        <v>15620</v>
      </c>
      <c r="Z812" t="s">
        <v>15621</v>
      </c>
      <c r="AA812" t="s">
        <v>15622</v>
      </c>
      <c r="AB812" t="s">
        <v>15623</v>
      </c>
      <c r="AC812" t="s">
        <v>15624</v>
      </c>
      <c r="AD812" t="s">
        <v>15625</v>
      </c>
      <c r="AE812" t="s">
        <v>15626</v>
      </c>
      <c r="AF812" t="s">
        <v>74</v>
      </c>
      <c r="AG812">
        <v>44</v>
      </c>
      <c r="AH812">
        <v>6</v>
      </c>
      <c r="AI812">
        <v>6</v>
      </c>
      <c r="AJ812">
        <v>2</v>
      </c>
      <c r="AK812">
        <v>8</v>
      </c>
      <c r="AL812" t="s">
        <v>868</v>
      </c>
      <c r="AM812" t="s">
        <v>869</v>
      </c>
      <c r="AN812" t="s">
        <v>870</v>
      </c>
      <c r="AO812" t="s">
        <v>1348</v>
      </c>
      <c r="AP812" t="s">
        <v>1349</v>
      </c>
      <c r="AQ812" t="s">
        <v>74</v>
      </c>
      <c r="AR812" t="s">
        <v>1350</v>
      </c>
      <c r="AS812" t="s">
        <v>1351</v>
      </c>
      <c r="AT812" t="s">
        <v>15627</v>
      </c>
      <c r="AU812">
        <v>2019</v>
      </c>
      <c r="AV812">
        <v>12</v>
      </c>
      <c r="AW812">
        <v>1</v>
      </c>
      <c r="AX812" t="s">
        <v>74</v>
      </c>
      <c r="AY812" t="s">
        <v>74</v>
      </c>
      <c r="AZ812" t="s">
        <v>74</v>
      </c>
      <c r="BA812" t="s">
        <v>74</v>
      </c>
      <c r="BB812">
        <v>321</v>
      </c>
      <c r="BC812">
        <v>342</v>
      </c>
      <c r="BD812" t="s">
        <v>74</v>
      </c>
      <c r="BE812" t="s">
        <v>15628</v>
      </c>
      <c r="BF812" t="str">
        <f>HYPERLINK("http://dx.doi.org/10.5194/gmd-12-321-2019","http://dx.doi.org/10.5194/gmd-12-321-2019")</f>
        <v>http://dx.doi.org/10.5194/gmd-12-321-2019</v>
      </c>
      <c r="BG812" t="s">
        <v>74</v>
      </c>
      <c r="BH812" t="s">
        <v>74</v>
      </c>
      <c r="BI812">
        <v>22</v>
      </c>
      <c r="BJ812" t="s">
        <v>922</v>
      </c>
      <c r="BK812" t="s">
        <v>102</v>
      </c>
      <c r="BL812" t="s">
        <v>923</v>
      </c>
      <c r="BM812" t="s">
        <v>15629</v>
      </c>
      <c r="BN812" t="s">
        <v>74</v>
      </c>
      <c r="BO812" t="s">
        <v>135</v>
      </c>
      <c r="BP812" t="s">
        <v>74</v>
      </c>
      <c r="BQ812" t="s">
        <v>74</v>
      </c>
      <c r="BR812" t="s">
        <v>107</v>
      </c>
      <c r="BS812" t="s">
        <v>15630</v>
      </c>
      <c r="BT812" t="str">
        <f>HYPERLINK("https%3A%2F%2Fwww.webofscience.com%2Fwos%2Fwoscc%2Ffull-record%2FWOS:000456302000001","View Full Record in Web of Science")</f>
        <v>View Full Record in Web of Science</v>
      </c>
    </row>
    <row r="813" spans="1:72" x14ac:dyDescent="0.15">
      <c r="A813" t="s">
        <v>72</v>
      </c>
      <c r="B813" t="s">
        <v>15631</v>
      </c>
      <c r="C813" t="s">
        <v>74</v>
      </c>
      <c r="D813" t="s">
        <v>74</v>
      </c>
      <c r="E813" t="s">
        <v>74</v>
      </c>
      <c r="F813" t="s">
        <v>15632</v>
      </c>
      <c r="G813" t="s">
        <v>74</v>
      </c>
      <c r="H813" t="s">
        <v>74</v>
      </c>
      <c r="I813" t="s">
        <v>15633</v>
      </c>
      <c r="J813" t="s">
        <v>15634</v>
      </c>
      <c r="K813" t="s">
        <v>74</v>
      </c>
      <c r="L813" t="s">
        <v>74</v>
      </c>
      <c r="M813" t="s">
        <v>78</v>
      </c>
      <c r="N813" t="s">
        <v>79</v>
      </c>
      <c r="O813" t="s">
        <v>74</v>
      </c>
      <c r="P813" t="s">
        <v>74</v>
      </c>
      <c r="Q813" t="s">
        <v>74</v>
      </c>
      <c r="R813" t="s">
        <v>74</v>
      </c>
      <c r="S813" t="s">
        <v>74</v>
      </c>
      <c r="T813" t="s">
        <v>15635</v>
      </c>
      <c r="U813" t="s">
        <v>15636</v>
      </c>
      <c r="V813" t="s">
        <v>15637</v>
      </c>
      <c r="W813" t="s">
        <v>15638</v>
      </c>
      <c r="X813" t="s">
        <v>15639</v>
      </c>
      <c r="Y813" t="s">
        <v>15640</v>
      </c>
      <c r="Z813" t="s">
        <v>15641</v>
      </c>
      <c r="AA813" t="s">
        <v>15642</v>
      </c>
      <c r="AB813" t="s">
        <v>15643</v>
      </c>
      <c r="AC813" t="s">
        <v>74</v>
      </c>
      <c r="AD813" t="s">
        <v>74</v>
      </c>
      <c r="AE813" t="s">
        <v>74</v>
      </c>
      <c r="AF813" t="s">
        <v>74</v>
      </c>
      <c r="AG813">
        <v>37</v>
      </c>
      <c r="AH813">
        <v>16</v>
      </c>
      <c r="AI813">
        <v>19</v>
      </c>
      <c r="AJ813">
        <v>2</v>
      </c>
      <c r="AK813">
        <v>66</v>
      </c>
      <c r="AL813" t="s">
        <v>15644</v>
      </c>
      <c r="AM813" t="s">
        <v>15645</v>
      </c>
      <c r="AN813" t="s">
        <v>15646</v>
      </c>
      <c r="AO813" t="s">
        <v>15647</v>
      </c>
      <c r="AP813" t="s">
        <v>15648</v>
      </c>
      <c r="AQ813" t="s">
        <v>74</v>
      </c>
      <c r="AR813" t="s">
        <v>15649</v>
      </c>
      <c r="AS813" t="s">
        <v>15650</v>
      </c>
      <c r="AT813" t="s">
        <v>15627</v>
      </c>
      <c r="AU813">
        <v>2019</v>
      </c>
      <c r="AV813">
        <v>58</v>
      </c>
      <c r="AW813">
        <v>4</v>
      </c>
      <c r="AX813" t="s">
        <v>74</v>
      </c>
      <c r="AY813" t="s">
        <v>74</v>
      </c>
      <c r="AZ813" t="s">
        <v>74</v>
      </c>
      <c r="BA813" t="s">
        <v>74</v>
      </c>
      <c r="BB813">
        <v>1120</v>
      </c>
      <c r="BC813">
        <v>1122</v>
      </c>
      <c r="BD813" t="s">
        <v>74</v>
      </c>
      <c r="BE813" t="s">
        <v>15651</v>
      </c>
      <c r="BF813" t="str">
        <f>HYPERLINK("http://dx.doi.org/10.1002/anie.201813142","http://dx.doi.org/10.1002/anie.201813142")</f>
        <v>http://dx.doi.org/10.1002/anie.201813142</v>
      </c>
      <c r="BG813" t="s">
        <v>74</v>
      </c>
      <c r="BH813" t="s">
        <v>74</v>
      </c>
      <c r="BI813">
        <v>3</v>
      </c>
      <c r="BJ813" t="s">
        <v>6033</v>
      </c>
      <c r="BK813" t="s">
        <v>15652</v>
      </c>
      <c r="BL813" t="s">
        <v>1494</v>
      </c>
      <c r="BM813" t="s">
        <v>15653</v>
      </c>
      <c r="BN813">
        <v>30451352</v>
      </c>
      <c r="BO813" t="s">
        <v>74</v>
      </c>
      <c r="BP813" t="s">
        <v>74</v>
      </c>
      <c r="BQ813" t="s">
        <v>74</v>
      </c>
      <c r="BR813" t="s">
        <v>107</v>
      </c>
      <c r="BS813" t="s">
        <v>15654</v>
      </c>
      <c r="BT813" t="str">
        <f>HYPERLINK("https%3A%2F%2Fwww.webofscience.com%2Fwos%2Fwoscc%2Ffull-record%2FWOS:000456260200028","View Full Record in Web of Science")</f>
        <v>View Full Record in Web of Science</v>
      </c>
    </row>
    <row r="814" spans="1:72" x14ac:dyDescent="0.15">
      <c r="A814" t="s">
        <v>72</v>
      </c>
      <c r="B814" t="s">
        <v>15655</v>
      </c>
      <c r="C814" t="s">
        <v>74</v>
      </c>
      <c r="D814" t="s">
        <v>74</v>
      </c>
      <c r="E814" t="s">
        <v>74</v>
      </c>
      <c r="F814" t="s">
        <v>15656</v>
      </c>
      <c r="G814" t="s">
        <v>74</v>
      </c>
      <c r="H814" t="s">
        <v>74</v>
      </c>
      <c r="I814" t="s">
        <v>15657</v>
      </c>
      <c r="J814" t="s">
        <v>1300</v>
      </c>
      <c r="K814" t="s">
        <v>74</v>
      </c>
      <c r="L814" t="s">
        <v>74</v>
      </c>
      <c r="M814" t="s">
        <v>78</v>
      </c>
      <c r="N814" t="s">
        <v>1301</v>
      </c>
      <c r="O814" t="s">
        <v>74</v>
      </c>
      <c r="P814" t="s">
        <v>74</v>
      </c>
      <c r="Q814" t="s">
        <v>74</v>
      </c>
      <c r="R814" t="s">
        <v>74</v>
      </c>
      <c r="S814" t="s">
        <v>74</v>
      </c>
      <c r="T814" t="s">
        <v>74</v>
      </c>
      <c r="U814" t="s">
        <v>74</v>
      </c>
      <c r="V814" t="s">
        <v>74</v>
      </c>
      <c r="W814" t="s">
        <v>74</v>
      </c>
      <c r="X814" t="s">
        <v>74</v>
      </c>
      <c r="Y814" t="s">
        <v>74</v>
      </c>
      <c r="Z814" t="s">
        <v>74</v>
      </c>
      <c r="AA814" t="s">
        <v>74</v>
      </c>
      <c r="AB814" t="s">
        <v>74</v>
      </c>
      <c r="AC814" t="s">
        <v>74</v>
      </c>
      <c r="AD814" t="s">
        <v>74</v>
      </c>
      <c r="AE814" t="s">
        <v>74</v>
      </c>
      <c r="AF814" t="s">
        <v>74</v>
      </c>
      <c r="AG814">
        <v>0</v>
      </c>
      <c r="AH814">
        <v>1</v>
      </c>
      <c r="AI814">
        <v>1</v>
      </c>
      <c r="AJ814">
        <v>0</v>
      </c>
      <c r="AK814">
        <v>10</v>
      </c>
      <c r="AL814" t="s">
        <v>453</v>
      </c>
      <c r="AM814" t="s">
        <v>126</v>
      </c>
      <c r="AN814" t="s">
        <v>454</v>
      </c>
      <c r="AO814" t="s">
        <v>1302</v>
      </c>
      <c r="AP814" t="s">
        <v>1303</v>
      </c>
      <c r="AQ814" t="s">
        <v>74</v>
      </c>
      <c r="AR814" t="s">
        <v>1300</v>
      </c>
      <c r="AS814" t="s">
        <v>1304</v>
      </c>
      <c r="AT814" t="s">
        <v>15658</v>
      </c>
      <c r="AU814">
        <v>2019</v>
      </c>
      <c r="AV814">
        <v>363</v>
      </c>
      <c r="AW814">
        <v>6424</v>
      </c>
      <c r="AX814" t="s">
        <v>74</v>
      </c>
      <c r="AY814" t="s">
        <v>74</v>
      </c>
      <c r="AZ814" t="s">
        <v>74</v>
      </c>
      <c r="BA814" t="s">
        <v>74</v>
      </c>
      <c r="BB814">
        <v>217</v>
      </c>
      <c r="BC814">
        <v>217</v>
      </c>
      <c r="BD814" t="s">
        <v>74</v>
      </c>
      <c r="BE814" t="s">
        <v>15659</v>
      </c>
      <c r="BF814" t="str">
        <f>HYPERLINK("http://dx.doi.org/10.1126/science.363.6424.217","http://dx.doi.org/10.1126/science.363.6424.217")</f>
        <v>http://dx.doi.org/10.1126/science.363.6424.217</v>
      </c>
      <c r="BG814" t="s">
        <v>74</v>
      </c>
      <c r="BH814" t="s">
        <v>74</v>
      </c>
      <c r="BI814">
        <v>1</v>
      </c>
      <c r="BJ814" t="s">
        <v>460</v>
      </c>
      <c r="BK814" t="s">
        <v>102</v>
      </c>
      <c r="BL814" t="s">
        <v>461</v>
      </c>
      <c r="BM814" t="s">
        <v>15660</v>
      </c>
      <c r="BN814">
        <v>30655423</v>
      </c>
      <c r="BO814" t="s">
        <v>74</v>
      </c>
      <c r="BP814" t="s">
        <v>74</v>
      </c>
      <c r="BQ814" t="s">
        <v>74</v>
      </c>
      <c r="BR814" t="s">
        <v>107</v>
      </c>
      <c r="BS814" t="s">
        <v>15661</v>
      </c>
      <c r="BT814" t="str">
        <f>HYPERLINK("https%3A%2F%2Fwww.webofscience.com%2Fwos%2Fwoscc%2Ffull-record%2FWOS:000456140700008","View Full Record in Web of Science")</f>
        <v>View Full Record in Web of Science</v>
      </c>
    </row>
    <row r="815" spans="1:72" x14ac:dyDescent="0.15">
      <c r="A815" t="s">
        <v>72</v>
      </c>
      <c r="B815" t="s">
        <v>15662</v>
      </c>
      <c r="C815" t="s">
        <v>74</v>
      </c>
      <c r="D815" t="s">
        <v>74</v>
      </c>
      <c r="E815" t="s">
        <v>74</v>
      </c>
      <c r="F815" t="s">
        <v>15663</v>
      </c>
      <c r="G815" t="s">
        <v>74</v>
      </c>
      <c r="H815" t="s">
        <v>74</v>
      </c>
      <c r="I815" t="s">
        <v>15664</v>
      </c>
      <c r="J815" t="s">
        <v>1938</v>
      </c>
      <c r="K815" t="s">
        <v>74</v>
      </c>
      <c r="L815" t="s">
        <v>74</v>
      </c>
      <c r="M815" t="s">
        <v>78</v>
      </c>
      <c r="N815" t="s">
        <v>79</v>
      </c>
      <c r="O815" t="s">
        <v>74</v>
      </c>
      <c r="P815" t="s">
        <v>74</v>
      </c>
      <c r="Q815" t="s">
        <v>74</v>
      </c>
      <c r="R815" t="s">
        <v>74</v>
      </c>
      <c r="S815" t="s">
        <v>74</v>
      </c>
      <c r="T815" t="s">
        <v>74</v>
      </c>
      <c r="U815" t="s">
        <v>15665</v>
      </c>
      <c r="V815" t="s">
        <v>15666</v>
      </c>
      <c r="W815" t="s">
        <v>15667</v>
      </c>
      <c r="X815" t="s">
        <v>15668</v>
      </c>
      <c r="Y815" t="s">
        <v>15669</v>
      </c>
      <c r="Z815" t="s">
        <v>15670</v>
      </c>
      <c r="AA815" t="s">
        <v>15671</v>
      </c>
      <c r="AB815" t="s">
        <v>15672</v>
      </c>
      <c r="AC815" t="s">
        <v>15673</v>
      </c>
      <c r="AD815" t="s">
        <v>15674</v>
      </c>
      <c r="AE815" t="s">
        <v>15675</v>
      </c>
      <c r="AF815" t="s">
        <v>74</v>
      </c>
      <c r="AG815">
        <v>61</v>
      </c>
      <c r="AH815">
        <v>37</v>
      </c>
      <c r="AI815">
        <v>44</v>
      </c>
      <c r="AJ815">
        <v>2</v>
      </c>
      <c r="AK815">
        <v>28</v>
      </c>
      <c r="AL815" t="s">
        <v>1393</v>
      </c>
      <c r="AM815" t="s">
        <v>1371</v>
      </c>
      <c r="AN815" t="s">
        <v>1372</v>
      </c>
      <c r="AO815" t="s">
        <v>74</v>
      </c>
      <c r="AP815" t="s">
        <v>1950</v>
      </c>
      <c r="AQ815" t="s">
        <v>74</v>
      </c>
      <c r="AR815" t="s">
        <v>1951</v>
      </c>
      <c r="AS815" t="s">
        <v>1952</v>
      </c>
      <c r="AT815" t="s">
        <v>15658</v>
      </c>
      <c r="AU815">
        <v>2019</v>
      </c>
      <c r="AV815">
        <v>10</v>
      </c>
      <c r="AW815" t="s">
        <v>74</v>
      </c>
      <c r="AX815" t="s">
        <v>74</v>
      </c>
      <c r="AY815" t="s">
        <v>74</v>
      </c>
      <c r="AZ815" t="s">
        <v>74</v>
      </c>
      <c r="BA815" t="s">
        <v>74</v>
      </c>
      <c r="BB815" t="s">
        <v>74</v>
      </c>
      <c r="BC815" t="s">
        <v>74</v>
      </c>
      <c r="BD815">
        <v>304</v>
      </c>
      <c r="BE815" t="s">
        <v>15676</v>
      </c>
      <c r="BF815" t="str">
        <f>HYPERLINK("http://dx.doi.org/10.1038/s41467-018-08195-6","http://dx.doi.org/10.1038/s41467-018-08195-6")</f>
        <v>http://dx.doi.org/10.1038/s41467-018-08195-6</v>
      </c>
      <c r="BG815" t="s">
        <v>74</v>
      </c>
      <c r="BH815" t="s">
        <v>74</v>
      </c>
      <c r="BI815">
        <v>8</v>
      </c>
      <c r="BJ815" t="s">
        <v>460</v>
      </c>
      <c r="BK815" t="s">
        <v>102</v>
      </c>
      <c r="BL815" t="s">
        <v>461</v>
      </c>
      <c r="BM815" t="s">
        <v>15677</v>
      </c>
      <c r="BN815">
        <v>30659177</v>
      </c>
      <c r="BO815" t="s">
        <v>851</v>
      </c>
      <c r="BP815" t="s">
        <v>74</v>
      </c>
      <c r="BQ815" t="s">
        <v>74</v>
      </c>
      <c r="BR815" t="s">
        <v>107</v>
      </c>
      <c r="BS815" t="s">
        <v>15678</v>
      </c>
      <c r="BT815" t="str">
        <f>HYPERLINK("https%3A%2F%2Fwww.webofscience.com%2Fwos%2Fwoscc%2Ffull-record%2FWOS:000456010800001","View Full Record in Web of Science")</f>
        <v>View Full Record in Web of Science</v>
      </c>
    </row>
    <row r="816" spans="1:72" x14ac:dyDescent="0.15">
      <c r="A816" t="s">
        <v>72</v>
      </c>
      <c r="B816" t="s">
        <v>15679</v>
      </c>
      <c r="C816" t="s">
        <v>74</v>
      </c>
      <c r="D816" t="s">
        <v>74</v>
      </c>
      <c r="E816" t="s">
        <v>74</v>
      </c>
      <c r="F816" t="s">
        <v>15680</v>
      </c>
      <c r="G816" t="s">
        <v>74</v>
      </c>
      <c r="H816" t="s">
        <v>74</v>
      </c>
      <c r="I816" t="s">
        <v>15681</v>
      </c>
      <c r="J816" t="s">
        <v>1311</v>
      </c>
      <c r="K816" t="s">
        <v>74</v>
      </c>
      <c r="L816" t="s">
        <v>74</v>
      </c>
      <c r="M816" t="s">
        <v>78</v>
      </c>
      <c r="N816" t="s">
        <v>79</v>
      </c>
      <c r="O816" t="s">
        <v>74</v>
      </c>
      <c r="P816" t="s">
        <v>74</v>
      </c>
      <c r="Q816" t="s">
        <v>74</v>
      </c>
      <c r="R816" t="s">
        <v>74</v>
      </c>
      <c r="S816" t="s">
        <v>74</v>
      </c>
      <c r="T816" t="s">
        <v>15682</v>
      </c>
      <c r="U816" t="s">
        <v>15683</v>
      </c>
      <c r="V816" t="s">
        <v>15684</v>
      </c>
      <c r="W816" t="s">
        <v>15685</v>
      </c>
      <c r="X816" t="s">
        <v>15686</v>
      </c>
      <c r="Y816" t="s">
        <v>15687</v>
      </c>
      <c r="Z816" t="s">
        <v>15688</v>
      </c>
      <c r="AA816" t="s">
        <v>15689</v>
      </c>
      <c r="AB816" t="s">
        <v>15690</v>
      </c>
      <c r="AC816" t="s">
        <v>15691</v>
      </c>
      <c r="AD816" t="s">
        <v>15692</v>
      </c>
      <c r="AE816" t="s">
        <v>15693</v>
      </c>
      <c r="AF816" t="s">
        <v>74</v>
      </c>
      <c r="AG816">
        <v>95</v>
      </c>
      <c r="AH816">
        <v>12</v>
      </c>
      <c r="AI816">
        <v>12</v>
      </c>
      <c r="AJ816">
        <v>1</v>
      </c>
      <c r="AK816">
        <v>31</v>
      </c>
      <c r="AL816" t="s">
        <v>1323</v>
      </c>
      <c r="AM816" t="s">
        <v>1324</v>
      </c>
      <c r="AN816" t="s">
        <v>1325</v>
      </c>
      <c r="AO816" t="s">
        <v>1326</v>
      </c>
      <c r="AP816" t="s">
        <v>1327</v>
      </c>
      <c r="AQ816" t="s">
        <v>74</v>
      </c>
      <c r="AR816" t="s">
        <v>1328</v>
      </c>
      <c r="AS816" t="s">
        <v>1329</v>
      </c>
      <c r="AT816" t="s">
        <v>15694</v>
      </c>
      <c r="AU816">
        <v>2019</v>
      </c>
      <c r="AV816">
        <v>609</v>
      </c>
      <c r="AW816" t="s">
        <v>74</v>
      </c>
      <c r="AX816" t="s">
        <v>74</v>
      </c>
      <c r="AY816" t="s">
        <v>74</v>
      </c>
      <c r="AZ816" t="s">
        <v>74</v>
      </c>
      <c r="BA816" t="s">
        <v>74</v>
      </c>
      <c r="BB816">
        <v>1</v>
      </c>
      <c r="BC816">
        <v>16</v>
      </c>
      <c r="BD816" t="s">
        <v>74</v>
      </c>
      <c r="BE816" t="s">
        <v>15695</v>
      </c>
      <c r="BF816" t="str">
        <f>HYPERLINK("http://dx.doi.org/10.3354/meps12831","http://dx.doi.org/10.3354/meps12831")</f>
        <v>http://dx.doi.org/10.3354/meps12831</v>
      </c>
      <c r="BG816" t="s">
        <v>74</v>
      </c>
      <c r="BH816" t="s">
        <v>74</v>
      </c>
      <c r="BI816">
        <v>16</v>
      </c>
      <c r="BJ816" t="s">
        <v>1332</v>
      </c>
      <c r="BK816" t="s">
        <v>102</v>
      </c>
      <c r="BL816" t="s">
        <v>1333</v>
      </c>
      <c r="BM816" t="s">
        <v>15696</v>
      </c>
      <c r="BN816" t="s">
        <v>74</v>
      </c>
      <c r="BO816" t="s">
        <v>2228</v>
      </c>
      <c r="BP816" t="s">
        <v>74</v>
      </c>
      <c r="BQ816" t="s">
        <v>74</v>
      </c>
      <c r="BR816" t="s">
        <v>107</v>
      </c>
      <c r="BS816" t="s">
        <v>15697</v>
      </c>
      <c r="BT816" t="str">
        <f>HYPERLINK("https%3A%2F%2Fwww.webofscience.com%2Fwos%2Fwoscc%2Ffull-record%2FWOS:000456207300001","View Full Record in Web of Science")</f>
        <v>View Full Record in Web of Science</v>
      </c>
    </row>
    <row r="817" spans="1:72" x14ac:dyDescent="0.15">
      <c r="A817" t="s">
        <v>72</v>
      </c>
      <c r="B817" t="s">
        <v>15698</v>
      </c>
      <c r="C817" t="s">
        <v>74</v>
      </c>
      <c r="D817" t="s">
        <v>74</v>
      </c>
      <c r="E817" t="s">
        <v>74</v>
      </c>
      <c r="F817" t="s">
        <v>15699</v>
      </c>
      <c r="G817" t="s">
        <v>74</v>
      </c>
      <c r="H817" t="s">
        <v>74</v>
      </c>
      <c r="I817" t="s">
        <v>15700</v>
      </c>
      <c r="J817" t="s">
        <v>1311</v>
      </c>
      <c r="K817" t="s">
        <v>74</v>
      </c>
      <c r="L817" t="s">
        <v>74</v>
      </c>
      <c r="M817" t="s">
        <v>78</v>
      </c>
      <c r="N817" t="s">
        <v>79</v>
      </c>
      <c r="O817" t="s">
        <v>74</v>
      </c>
      <c r="P817" t="s">
        <v>74</v>
      </c>
      <c r="Q817" t="s">
        <v>74</v>
      </c>
      <c r="R817" t="s">
        <v>74</v>
      </c>
      <c r="S817" t="s">
        <v>74</v>
      </c>
      <c r="T817" t="s">
        <v>15701</v>
      </c>
      <c r="U817" t="s">
        <v>15702</v>
      </c>
      <c r="V817" t="s">
        <v>15703</v>
      </c>
      <c r="W817" t="s">
        <v>15704</v>
      </c>
      <c r="X817" t="s">
        <v>15705</v>
      </c>
      <c r="Y817" t="s">
        <v>15706</v>
      </c>
      <c r="Z817" t="s">
        <v>15707</v>
      </c>
      <c r="AA817" t="s">
        <v>15708</v>
      </c>
      <c r="AB817" t="s">
        <v>15709</v>
      </c>
      <c r="AC817" t="s">
        <v>15710</v>
      </c>
      <c r="AD817" t="s">
        <v>15711</v>
      </c>
      <c r="AE817" t="s">
        <v>15712</v>
      </c>
      <c r="AF817" t="s">
        <v>74</v>
      </c>
      <c r="AG817">
        <v>69</v>
      </c>
      <c r="AH817">
        <v>7</v>
      </c>
      <c r="AI817">
        <v>7</v>
      </c>
      <c r="AJ817">
        <v>2</v>
      </c>
      <c r="AK817">
        <v>31</v>
      </c>
      <c r="AL817" t="s">
        <v>1323</v>
      </c>
      <c r="AM817" t="s">
        <v>1324</v>
      </c>
      <c r="AN817" t="s">
        <v>1325</v>
      </c>
      <c r="AO817" t="s">
        <v>1326</v>
      </c>
      <c r="AP817" t="s">
        <v>1327</v>
      </c>
      <c r="AQ817" t="s">
        <v>74</v>
      </c>
      <c r="AR817" t="s">
        <v>1328</v>
      </c>
      <c r="AS817" t="s">
        <v>1329</v>
      </c>
      <c r="AT817" t="s">
        <v>15694</v>
      </c>
      <c r="AU817">
        <v>2019</v>
      </c>
      <c r="AV817">
        <v>609</v>
      </c>
      <c r="AW817" t="s">
        <v>74</v>
      </c>
      <c r="AX817" t="s">
        <v>74</v>
      </c>
      <c r="AY817" t="s">
        <v>74</v>
      </c>
      <c r="AZ817" t="s">
        <v>74</v>
      </c>
      <c r="BA817" t="s">
        <v>74</v>
      </c>
      <c r="BB817">
        <v>209</v>
      </c>
      <c r="BC817">
        <v>219</v>
      </c>
      <c r="BD817" t="s">
        <v>74</v>
      </c>
      <c r="BE817" t="s">
        <v>15713</v>
      </c>
      <c r="BF817" t="str">
        <f>HYPERLINK("http://dx.doi.org/10.3354/meps12819","http://dx.doi.org/10.3354/meps12819")</f>
        <v>http://dx.doi.org/10.3354/meps12819</v>
      </c>
      <c r="BG817" t="s">
        <v>74</v>
      </c>
      <c r="BH817" t="s">
        <v>74</v>
      </c>
      <c r="BI817">
        <v>11</v>
      </c>
      <c r="BJ817" t="s">
        <v>1332</v>
      </c>
      <c r="BK817" t="s">
        <v>102</v>
      </c>
      <c r="BL817" t="s">
        <v>1333</v>
      </c>
      <c r="BM817" t="s">
        <v>15696</v>
      </c>
      <c r="BN817" t="s">
        <v>74</v>
      </c>
      <c r="BO817" t="s">
        <v>1014</v>
      </c>
      <c r="BP817" t="s">
        <v>74</v>
      </c>
      <c r="BQ817" t="s">
        <v>74</v>
      </c>
      <c r="BR817" t="s">
        <v>107</v>
      </c>
      <c r="BS817" t="s">
        <v>15714</v>
      </c>
      <c r="BT817" t="str">
        <f>HYPERLINK("https%3A%2F%2Fwww.webofscience.com%2Fwos%2Fwoscc%2Ffull-record%2FWOS:000456207300015","View Full Record in Web of Science")</f>
        <v>View Full Record in Web of Science</v>
      </c>
    </row>
    <row r="818" spans="1:72" x14ac:dyDescent="0.15">
      <c r="A818" t="s">
        <v>72</v>
      </c>
      <c r="B818" t="s">
        <v>15715</v>
      </c>
      <c r="C818" t="s">
        <v>74</v>
      </c>
      <c r="D818" t="s">
        <v>74</v>
      </c>
      <c r="E818" t="s">
        <v>74</v>
      </c>
      <c r="F818" t="s">
        <v>15716</v>
      </c>
      <c r="G818" t="s">
        <v>74</v>
      </c>
      <c r="H818" t="s">
        <v>74</v>
      </c>
      <c r="I818" t="s">
        <v>15717</v>
      </c>
      <c r="J818" t="s">
        <v>1311</v>
      </c>
      <c r="K818" t="s">
        <v>74</v>
      </c>
      <c r="L818" t="s">
        <v>74</v>
      </c>
      <c r="M818" t="s">
        <v>78</v>
      </c>
      <c r="N818" t="s">
        <v>79</v>
      </c>
      <c r="O818" t="s">
        <v>74</v>
      </c>
      <c r="P818" t="s">
        <v>74</v>
      </c>
      <c r="Q818" t="s">
        <v>74</v>
      </c>
      <c r="R818" t="s">
        <v>74</v>
      </c>
      <c r="S818" t="s">
        <v>74</v>
      </c>
      <c r="T818" t="s">
        <v>15718</v>
      </c>
      <c r="U818" t="s">
        <v>15719</v>
      </c>
      <c r="V818" t="s">
        <v>15720</v>
      </c>
      <c r="W818" t="s">
        <v>15721</v>
      </c>
      <c r="X818" t="s">
        <v>15722</v>
      </c>
      <c r="Y818" t="s">
        <v>15723</v>
      </c>
      <c r="Z818" t="s">
        <v>15724</v>
      </c>
      <c r="AA818" t="s">
        <v>15725</v>
      </c>
      <c r="AB818" t="s">
        <v>15726</v>
      </c>
      <c r="AC818" t="s">
        <v>15727</v>
      </c>
      <c r="AD818" t="s">
        <v>3239</v>
      </c>
      <c r="AE818" t="s">
        <v>74</v>
      </c>
      <c r="AF818" t="s">
        <v>74</v>
      </c>
      <c r="AG818">
        <v>111</v>
      </c>
      <c r="AH818">
        <v>9</v>
      </c>
      <c r="AI818">
        <v>10</v>
      </c>
      <c r="AJ818">
        <v>4</v>
      </c>
      <c r="AK818">
        <v>33</v>
      </c>
      <c r="AL818" t="s">
        <v>1323</v>
      </c>
      <c r="AM818" t="s">
        <v>1324</v>
      </c>
      <c r="AN818" t="s">
        <v>1325</v>
      </c>
      <c r="AO818" t="s">
        <v>1326</v>
      </c>
      <c r="AP818" t="s">
        <v>1327</v>
      </c>
      <c r="AQ818" t="s">
        <v>74</v>
      </c>
      <c r="AR818" t="s">
        <v>1328</v>
      </c>
      <c r="AS818" t="s">
        <v>1329</v>
      </c>
      <c r="AT818" t="s">
        <v>15694</v>
      </c>
      <c r="AU818">
        <v>2019</v>
      </c>
      <c r="AV818">
        <v>609</v>
      </c>
      <c r="AW818" t="s">
        <v>74</v>
      </c>
      <c r="AX818" t="s">
        <v>74</v>
      </c>
      <c r="AY818" t="s">
        <v>74</v>
      </c>
      <c r="AZ818" t="s">
        <v>74</v>
      </c>
      <c r="BA818" t="s">
        <v>74</v>
      </c>
      <c r="BB818">
        <v>221</v>
      </c>
      <c r="BC818">
        <v>237</v>
      </c>
      <c r="BD818" t="s">
        <v>74</v>
      </c>
      <c r="BE818" t="s">
        <v>15728</v>
      </c>
      <c r="BF818" t="str">
        <f>HYPERLINK("http://dx.doi.org/10.3354/meps12811","http://dx.doi.org/10.3354/meps12811")</f>
        <v>http://dx.doi.org/10.3354/meps12811</v>
      </c>
      <c r="BG818" t="s">
        <v>74</v>
      </c>
      <c r="BH818" t="s">
        <v>74</v>
      </c>
      <c r="BI818">
        <v>17</v>
      </c>
      <c r="BJ818" t="s">
        <v>1332</v>
      </c>
      <c r="BK818" t="s">
        <v>102</v>
      </c>
      <c r="BL818" t="s">
        <v>1333</v>
      </c>
      <c r="BM818" t="s">
        <v>15696</v>
      </c>
      <c r="BN818" t="s">
        <v>74</v>
      </c>
      <c r="BO818" t="s">
        <v>5573</v>
      </c>
      <c r="BP818" t="s">
        <v>74</v>
      </c>
      <c r="BQ818" t="s">
        <v>74</v>
      </c>
      <c r="BR818" t="s">
        <v>107</v>
      </c>
      <c r="BS818" t="s">
        <v>15729</v>
      </c>
      <c r="BT818" t="str">
        <f>HYPERLINK("https%3A%2F%2Fwww.webofscience.com%2Fwos%2Fwoscc%2Ffull-record%2FWOS:000456207300016","View Full Record in Web of Science")</f>
        <v>View Full Record in Web of Science</v>
      </c>
    </row>
    <row r="819" spans="1:72" x14ac:dyDescent="0.15">
      <c r="A819" t="s">
        <v>72</v>
      </c>
      <c r="B819" t="s">
        <v>15730</v>
      </c>
      <c r="C819" t="s">
        <v>74</v>
      </c>
      <c r="D819" t="s">
        <v>74</v>
      </c>
      <c r="E819" t="s">
        <v>74</v>
      </c>
      <c r="F819" t="s">
        <v>15731</v>
      </c>
      <c r="G819" t="s">
        <v>74</v>
      </c>
      <c r="H819" t="s">
        <v>74</v>
      </c>
      <c r="I819" t="s">
        <v>15732</v>
      </c>
      <c r="J819" t="s">
        <v>856</v>
      </c>
      <c r="K819" t="s">
        <v>74</v>
      </c>
      <c r="L819" t="s">
        <v>74</v>
      </c>
      <c r="M819" t="s">
        <v>78</v>
      </c>
      <c r="N819" t="s">
        <v>79</v>
      </c>
      <c r="O819" t="s">
        <v>74</v>
      </c>
      <c r="P819" t="s">
        <v>74</v>
      </c>
      <c r="Q819" t="s">
        <v>74</v>
      </c>
      <c r="R819" t="s">
        <v>74</v>
      </c>
      <c r="S819" t="s">
        <v>74</v>
      </c>
      <c r="T819" t="s">
        <v>74</v>
      </c>
      <c r="U819" t="s">
        <v>15733</v>
      </c>
      <c r="V819" t="s">
        <v>15734</v>
      </c>
      <c r="W819" t="s">
        <v>15735</v>
      </c>
      <c r="X819" t="s">
        <v>15736</v>
      </c>
      <c r="Y819" t="s">
        <v>15737</v>
      </c>
      <c r="Z819" t="s">
        <v>15738</v>
      </c>
      <c r="AA819" t="s">
        <v>15739</v>
      </c>
      <c r="AB819" t="s">
        <v>15740</v>
      </c>
      <c r="AC819" t="s">
        <v>15741</v>
      </c>
      <c r="AD819" t="s">
        <v>15742</v>
      </c>
      <c r="AE819" t="s">
        <v>15743</v>
      </c>
      <c r="AF819" t="s">
        <v>74</v>
      </c>
      <c r="AG819">
        <v>82</v>
      </c>
      <c r="AH819">
        <v>7</v>
      </c>
      <c r="AI819">
        <v>10</v>
      </c>
      <c r="AJ819">
        <v>1</v>
      </c>
      <c r="AK819">
        <v>26</v>
      </c>
      <c r="AL819" t="s">
        <v>868</v>
      </c>
      <c r="AM819" t="s">
        <v>869</v>
      </c>
      <c r="AN819" t="s">
        <v>870</v>
      </c>
      <c r="AO819" t="s">
        <v>871</v>
      </c>
      <c r="AP819" t="s">
        <v>872</v>
      </c>
      <c r="AQ819" t="s">
        <v>74</v>
      </c>
      <c r="AR819" t="s">
        <v>873</v>
      </c>
      <c r="AS819" t="s">
        <v>874</v>
      </c>
      <c r="AT819" t="s">
        <v>15694</v>
      </c>
      <c r="AU819">
        <v>2019</v>
      </c>
      <c r="AV819">
        <v>15</v>
      </c>
      <c r="AW819">
        <v>1</v>
      </c>
      <c r="AX819" t="s">
        <v>74</v>
      </c>
      <c r="AY819" t="s">
        <v>74</v>
      </c>
      <c r="AZ819" t="s">
        <v>74</v>
      </c>
      <c r="BA819" t="s">
        <v>74</v>
      </c>
      <c r="BB819">
        <v>121</v>
      </c>
      <c r="BC819">
        <v>133</v>
      </c>
      <c r="BD819" t="s">
        <v>74</v>
      </c>
      <c r="BE819" t="s">
        <v>15744</v>
      </c>
      <c r="BF819" t="str">
        <f>HYPERLINK("http://dx.doi.org/10.5194/cp-15-121-2019","http://dx.doi.org/10.5194/cp-15-121-2019")</f>
        <v>http://dx.doi.org/10.5194/cp-15-121-2019</v>
      </c>
      <c r="BG819" t="s">
        <v>74</v>
      </c>
      <c r="BH819" t="s">
        <v>74</v>
      </c>
      <c r="BI819">
        <v>13</v>
      </c>
      <c r="BJ819" t="s">
        <v>876</v>
      </c>
      <c r="BK819" t="s">
        <v>102</v>
      </c>
      <c r="BL819" t="s">
        <v>877</v>
      </c>
      <c r="BM819" t="s">
        <v>15745</v>
      </c>
      <c r="BN819" t="s">
        <v>74</v>
      </c>
      <c r="BO819" t="s">
        <v>135</v>
      </c>
      <c r="BP819" t="s">
        <v>74</v>
      </c>
      <c r="BQ819" t="s">
        <v>74</v>
      </c>
      <c r="BR819" t="s">
        <v>107</v>
      </c>
      <c r="BS819" t="s">
        <v>15746</v>
      </c>
      <c r="BT819" t="str">
        <f>HYPERLINK("https%3A%2F%2Fwww.webofscience.com%2Fwos%2Fwoscc%2Ffull-record%2FWOS:000456059300001","View Full Record in Web of Science")</f>
        <v>View Full Record in Web of Science</v>
      </c>
    </row>
    <row r="820" spans="1:72" x14ac:dyDescent="0.15">
      <c r="A820" t="s">
        <v>72</v>
      </c>
      <c r="B820" t="s">
        <v>15747</v>
      </c>
      <c r="C820" t="s">
        <v>74</v>
      </c>
      <c r="D820" t="s">
        <v>74</v>
      </c>
      <c r="E820" t="s">
        <v>74</v>
      </c>
      <c r="F820" t="s">
        <v>15748</v>
      </c>
      <c r="G820" t="s">
        <v>74</v>
      </c>
      <c r="H820" t="s">
        <v>74</v>
      </c>
      <c r="I820" t="s">
        <v>15749</v>
      </c>
      <c r="J820" t="s">
        <v>1720</v>
      </c>
      <c r="K820" t="s">
        <v>74</v>
      </c>
      <c r="L820" t="s">
        <v>74</v>
      </c>
      <c r="M820" t="s">
        <v>78</v>
      </c>
      <c r="N820" t="s">
        <v>79</v>
      </c>
      <c r="O820" t="s">
        <v>74</v>
      </c>
      <c r="P820" t="s">
        <v>74</v>
      </c>
      <c r="Q820" t="s">
        <v>74</v>
      </c>
      <c r="R820" t="s">
        <v>74</v>
      </c>
      <c r="S820" t="s">
        <v>74</v>
      </c>
      <c r="T820" t="s">
        <v>74</v>
      </c>
      <c r="U820" t="s">
        <v>15750</v>
      </c>
      <c r="V820" t="s">
        <v>15751</v>
      </c>
      <c r="W820" t="s">
        <v>15752</v>
      </c>
      <c r="X820" t="s">
        <v>15753</v>
      </c>
      <c r="Y820" t="s">
        <v>15754</v>
      </c>
      <c r="Z820" t="s">
        <v>15755</v>
      </c>
      <c r="AA820" t="s">
        <v>15756</v>
      </c>
      <c r="AB820" t="s">
        <v>15757</v>
      </c>
      <c r="AC820" t="s">
        <v>15758</v>
      </c>
      <c r="AD820" t="s">
        <v>15759</v>
      </c>
      <c r="AE820" t="s">
        <v>15760</v>
      </c>
      <c r="AF820" t="s">
        <v>74</v>
      </c>
      <c r="AG820">
        <v>54</v>
      </c>
      <c r="AH820">
        <v>19</v>
      </c>
      <c r="AI820">
        <v>25</v>
      </c>
      <c r="AJ820">
        <v>1</v>
      </c>
      <c r="AK820">
        <v>10</v>
      </c>
      <c r="AL820" t="s">
        <v>328</v>
      </c>
      <c r="AM820" t="s">
        <v>329</v>
      </c>
      <c r="AN820" t="s">
        <v>330</v>
      </c>
      <c r="AO820" t="s">
        <v>1731</v>
      </c>
      <c r="AP820" t="s">
        <v>74</v>
      </c>
      <c r="AQ820" t="s">
        <v>74</v>
      </c>
      <c r="AR820" t="s">
        <v>1732</v>
      </c>
      <c r="AS820" t="s">
        <v>1733</v>
      </c>
      <c r="AT820" t="s">
        <v>15694</v>
      </c>
      <c r="AU820">
        <v>2019</v>
      </c>
      <c r="AV820">
        <v>9</v>
      </c>
      <c r="AW820" t="s">
        <v>74</v>
      </c>
      <c r="AX820" t="s">
        <v>74</v>
      </c>
      <c r="AY820" t="s">
        <v>74</v>
      </c>
      <c r="AZ820" t="s">
        <v>74</v>
      </c>
      <c r="BA820" t="s">
        <v>74</v>
      </c>
      <c r="BB820" t="s">
        <v>74</v>
      </c>
      <c r="BC820" t="s">
        <v>74</v>
      </c>
      <c r="BD820">
        <v>157</v>
      </c>
      <c r="BE820" t="s">
        <v>15761</v>
      </c>
      <c r="BF820" t="str">
        <f>HYPERLINK("http://dx.doi.org/10.1038/s41598-018-35901-7","http://dx.doi.org/10.1038/s41598-018-35901-7")</f>
        <v>http://dx.doi.org/10.1038/s41598-018-35901-7</v>
      </c>
      <c r="BG820" t="s">
        <v>74</v>
      </c>
      <c r="BH820" t="s">
        <v>74</v>
      </c>
      <c r="BI820">
        <v>10</v>
      </c>
      <c r="BJ820" t="s">
        <v>460</v>
      </c>
      <c r="BK820" t="s">
        <v>102</v>
      </c>
      <c r="BL820" t="s">
        <v>461</v>
      </c>
      <c r="BM820" t="s">
        <v>15762</v>
      </c>
      <c r="BN820">
        <v>30655549</v>
      </c>
      <c r="BO820" t="s">
        <v>1100</v>
      </c>
      <c r="BP820" t="s">
        <v>74</v>
      </c>
      <c r="BQ820" t="s">
        <v>74</v>
      </c>
      <c r="BR820" t="s">
        <v>107</v>
      </c>
      <c r="BS820" t="s">
        <v>15763</v>
      </c>
      <c r="BT820" t="str">
        <f>HYPERLINK("https%3A%2F%2Fwww.webofscience.com%2Fwos%2Fwoscc%2Ffull-record%2FWOS:000455951300005","View Full Record in Web of Science")</f>
        <v>View Full Record in Web of Science</v>
      </c>
    </row>
    <row r="821" spans="1:72" x14ac:dyDescent="0.15">
      <c r="A821" t="s">
        <v>72</v>
      </c>
      <c r="B821" t="s">
        <v>15764</v>
      </c>
      <c r="C821" t="s">
        <v>74</v>
      </c>
      <c r="D821" t="s">
        <v>74</v>
      </c>
      <c r="E821" t="s">
        <v>74</v>
      </c>
      <c r="F821" t="s">
        <v>15765</v>
      </c>
      <c r="G821" t="s">
        <v>74</v>
      </c>
      <c r="H821" t="s">
        <v>74</v>
      </c>
      <c r="I821" t="s">
        <v>15766</v>
      </c>
      <c r="J821" t="s">
        <v>808</v>
      </c>
      <c r="K821" t="s">
        <v>74</v>
      </c>
      <c r="L821" t="s">
        <v>74</v>
      </c>
      <c r="M821" t="s">
        <v>78</v>
      </c>
      <c r="N821" t="s">
        <v>79</v>
      </c>
      <c r="O821" t="s">
        <v>74</v>
      </c>
      <c r="P821" t="s">
        <v>74</v>
      </c>
      <c r="Q821" t="s">
        <v>74</v>
      </c>
      <c r="R821" t="s">
        <v>74</v>
      </c>
      <c r="S821" t="s">
        <v>74</v>
      </c>
      <c r="T821" t="s">
        <v>15767</v>
      </c>
      <c r="U821" t="s">
        <v>15768</v>
      </c>
      <c r="V821" t="s">
        <v>15769</v>
      </c>
      <c r="W821" t="s">
        <v>15770</v>
      </c>
      <c r="X821" t="s">
        <v>933</v>
      </c>
      <c r="Y821" t="s">
        <v>15771</v>
      </c>
      <c r="Z821" t="s">
        <v>15772</v>
      </c>
      <c r="AA821" t="s">
        <v>74</v>
      </c>
      <c r="AB821" t="s">
        <v>15773</v>
      </c>
      <c r="AC821" t="s">
        <v>15774</v>
      </c>
      <c r="AD821" t="s">
        <v>3782</v>
      </c>
      <c r="AE821" t="s">
        <v>15775</v>
      </c>
      <c r="AF821" t="s">
        <v>74</v>
      </c>
      <c r="AG821">
        <v>108</v>
      </c>
      <c r="AH821">
        <v>28</v>
      </c>
      <c r="AI821">
        <v>29</v>
      </c>
      <c r="AJ821">
        <v>1</v>
      </c>
      <c r="AK821">
        <v>13</v>
      </c>
      <c r="AL821" t="s">
        <v>821</v>
      </c>
      <c r="AM821" t="s">
        <v>822</v>
      </c>
      <c r="AN821" t="s">
        <v>823</v>
      </c>
      <c r="AO821" t="s">
        <v>74</v>
      </c>
      <c r="AP821" t="s">
        <v>824</v>
      </c>
      <c r="AQ821" t="s">
        <v>74</v>
      </c>
      <c r="AR821" t="s">
        <v>825</v>
      </c>
      <c r="AS821" t="s">
        <v>826</v>
      </c>
      <c r="AT821" t="s">
        <v>15694</v>
      </c>
      <c r="AU821">
        <v>2019</v>
      </c>
      <c r="AV821">
        <v>5</v>
      </c>
      <c r="AW821" t="s">
        <v>74</v>
      </c>
      <c r="AX821" t="s">
        <v>74</v>
      </c>
      <c r="AY821" t="s">
        <v>74</v>
      </c>
      <c r="AZ821" t="s">
        <v>74</v>
      </c>
      <c r="BA821" t="s">
        <v>74</v>
      </c>
      <c r="BB821" t="s">
        <v>74</v>
      </c>
      <c r="BC821" t="s">
        <v>74</v>
      </c>
      <c r="BD821">
        <v>507</v>
      </c>
      <c r="BE821" t="s">
        <v>15776</v>
      </c>
      <c r="BF821" t="str">
        <f>HYPERLINK("http://dx.doi.org/10.3389/fmars.2018.00507","http://dx.doi.org/10.3389/fmars.2018.00507")</f>
        <v>http://dx.doi.org/10.3389/fmars.2018.00507</v>
      </c>
      <c r="BG821" t="s">
        <v>74</v>
      </c>
      <c r="BH821" t="s">
        <v>74</v>
      </c>
      <c r="BI821">
        <v>13</v>
      </c>
      <c r="BJ821" t="s">
        <v>829</v>
      </c>
      <c r="BK821" t="s">
        <v>102</v>
      </c>
      <c r="BL821" t="s">
        <v>830</v>
      </c>
      <c r="BM821" t="s">
        <v>15777</v>
      </c>
      <c r="BN821" t="s">
        <v>74</v>
      </c>
      <c r="BO821" t="s">
        <v>2038</v>
      </c>
      <c r="BP821" t="s">
        <v>74</v>
      </c>
      <c r="BQ821" t="s">
        <v>74</v>
      </c>
      <c r="BR821" t="s">
        <v>107</v>
      </c>
      <c r="BS821" t="s">
        <v>15778</v>
      </c>
      <c r="BT821" t="str">
        <f>HYPERLINK("https%3A%2F%2Fwww.webofscience.com%2Fwos%2Fwoscc%2Ffull-record%2FWOS:000544270100001","View Full Record in Web of Science")</f>
        <v>View Full Record in Web of Science</v>
      </c>
    </row>
    <row r="822" spans="1:72" x14ac:dyDescent="0.15">
      <c r="A822" t="s">
        <v>72</v>
      </c>
      <c r="B822" t="s">
        <v>15779</v>
      </c>
      <c r="C822" t="s">
        <v>74</v>
      </c>
      <c r="D822" t="s">
        <v>74</v>
      </c>
      <c r="E822" t="s">
        <v>74</v>
      </c>
      <c r="F822" t="s">
        <v>15780</v>
      </c>
      <c r="G822" t="s">
        <v>74</v>
      </c>
      <c r="H822" t="s">
        <v>74</v>
      </c>
      <c r="I822" t="s">
        <v>15781</v>
      </c>
      <c r="J822" t="s">
        <v>907</v>
      </c>
      <c r="K822" t="s">
        <v>74</v>
      </c>
      <c r="L822" t="s">
        <v>74</v>
      </c>
      <c r="M822" t="s">
        <v>78</v>
      </c>
      <c r="N822" t="s">
        <v>79</v>
      </c>
      <c r="O822" t="s">
        <v>74</v>
      </c>
      <c r="P822" t="s">
        <v>74</v>
      </c>
      <c r="Q822" t="s">
        <v>74</v>
      </c>
      <c r="R822" t="s">
        <v>74</v>
      </c>
      <c r="S822" t="s">
        <v>74</v>
      </c>
      <c r="T822" t="s">
        <v>15782</v>
      </c>
      <c r="U822" t="s">
        <v>15783</v>
      </c>
      <c r="V822" t="s">
        <v>15784</v>
      </c>
      <c r="W822" t="s">
        <v>15785</v>
      </c>
      <c r="X822" t="s">
        <v>15786</v>
      </c>
      <c r="Y822" t="s">
        <v>15787</v>
      </c>
      <c r="Z822" t="s">
        <v>15788</v>
      </c>
      <c r="AA822" t="s">
        <v>15789</v>
      </c>
      <c r="AB822" t="s">
        <v>15790</v>
      </c>
      <c r="AC822" t="s">
        <v>15791</v>
      </c>
      <c r="AD822" t="s">
        <v>15792</v>
      </c>
      <c r="AE822" t="s">
        <v>15793</v>
      </c>
      <c r="AF822" t="s">
        <v>74</v>
      </c>
      <c r="AG822">
        <v>55</v>
      </c>
      <c r="AH822">
        <v>7</v>
      </c>
      <c r="AI822">
        <v>9</v>
      </c>
      <c r="AJ822">
        <v>1</v>
      </c>
      <c r="AK822">
        <v>23</v>
      </c>
      <c r="AL822" t="s">
        <v>125</v>
      </c>
      <c r="AM822" t="s">
        <v>126</v>
      </c>
      <c r="AN822" t="s">
        <v>127</v>
      </c>
      <c r="AO822" t="s">
        <v>916</v>
      </c>
      <c r="AP822" t="s">
        <v>917</v>
      </c>
      <c r="AQ822" t="s">
        <v>74</v>
      </c>
      <c r="AR822" t="s">
        <v>918</v>
      </c>
      <c r="AS822" t="s">
        <v>919</v>
      </c>
      <c r="AT822" t="s">
        <v>15794</v>
      </c>
      <c r="AU822">
        <v>2019</v>
      </c>
      <c r="AV822">
        <v>46</v>
      </c>
      <c r="AW822">
        <v>1</v>
      </c>
      <c r="AX822" t="s">
        <v>74</v>
      </c>
      <c r="AY822" t="s">
        <v>74</v>
      </c>
      <c r="AZ822" t="s">
        <v>74</v>
      </c>
      <c r="BA822" t="s">
        <v>74</v>
      </c>
      <c r="BB822">
        <v>158</v>
      </c>
      <c r="BC822">
        <v>168</v>
      </c>
      <c r="BD822" t="s">
        <v>74</v>
      </c>
      <c r="BE822" t="s">
        <v>15795</v>
      </c>
      <c r="BF822" t="str">
        <f>HYPERLINK("http://dx.doi.org/10.1029/2018GL080607","http://dx.doi.org/10.1029/2018GL080607")</f>
        <v>http://dx.doi.org/10.1029/2018GL080607</v>
      </c>
      <c r="BG822" t="s">
        <v>74</v>
      </c>
      <c r="BH822" t="s">
        <v>74</v>
      </c>
      <c r="BI822">
        <v>11</v>
      </c>
      <c r="BJ822" t="s">
        <v>922</v>
      </c>
      <c r="BK822" t="s">
        <v>102</v>
      </c>
      <c r="BL822" t="s">
        <v>923</v>
      </c>
      <c r="BM822" t="s">
        <v>15796</v>
      </c>
      <c r="BN822" t="s">
        <v>74</v>
      </c>
      <c r="BO822" t="s">
        <v>2808</v>
      </c>
      <c r="BP822" t="s">
        <v>74</v>
      </c>
      <c r="BQ822" t="s">
        <v>74</v>
      </c>
      <c r="BR822" t="s">
        <v>107</v>
      </c>
      <c r="BS822" t="s">
        <v>15797</v>
      </c>
      <c r="BT822" t="str">
        <f>HYPERLINK("https%3A%2F%2Fwww.webofscience.com%2Fwos%2Fwoscc%2Ffull-record%2FWOS:000456938600018","View Full Record in Web of Science")</f>
        <v>View Full Record in Web of Science</v>
      </c>
    </row>
    <row r="823" spans="1:72" x14ac:dyDescent="0.15">
      <c r="A823" t="s">
        <v>72</v>
      </c>
      <c r="B823" t="s">
        <v>15798</v>
      </c>
      <c r="C823" t="s">
        <v>74</v>
      </c>
      <c r="D823" t="s">
        <v>74</v>
      </c>
      <c r="E823" t="s">
        <v>74</v>
      </c>
      <c r="F823" t="s">
        <v>15799</v>
      </c>
      <c r="G823" t="s">
        <v>74</v>
      </c>
      <c r="H823" t="s">
        <v>74</v>
      </c>
      <c r="I823" t="s">
        <v>15800</v>
      </c>
      <c r="J823" t="s">
        <v>907</v>
      </c>
      <c r="K823" t="s">
        <v>74</v>
      </c>
      <c r="L823" t="s">
        <v>74</v>
      </c>
      <c r="M823" t="s">
        <v>78</v>
      </c>
      <c r="N823" t="s">
        <v>79</v>
      </c>
      <c r="O823" t="s">
        <v>74</v>
      </c>
      <c r="P823" t="s">
        <v>74</v>
      </c>
      <c r="Q823" t="s">
        <v>74</v>
      </c>
      <c r="R823" t="s">
        <v>74</v>
      </c>
      <c r="S823" t="s">
        <v>74</v>
      </c>
      <c r="T823" t="s">
        <v>74</v>
      </c>
      <c r="U823" t="s">
        <v>15801</v>
      </c>
      <c r="V823" t="s">
        <v>15802</v>
      </c>
      <c r="W823" t="s">
        <v>15803</v>
      </c>
      <c r="X823" t="s">
        <v>15804</v>
      </c>
      <c r="Y823" t="s">
        <v>15805</v>
      </c>
      <c r="Z823" t="s">
        <v>15806</v>
      </c>
      <c r="AA823" t="s">
        <v>15807</v>
      </c>
      <c r="AB823" t="s">
        <v>15808</v>
      </c>
      <c r="AC823" t="s">
        <v>15809</v>
      </c>
      <c r="AD823" t="s">
        <v>15810</v>
      </c>
      <c r="AE823" t="s">
        <v>15811</v>
      </c>
      <c r="AF823" t="s">
        <v>74</v>
      </c>
      <c r="AG823">
        <v>68</v>
      </c>
      <c r="AH823">
        <v>44</v>
      </c>
      <c r="AI823">
        <v>47</v>
      </c>
      <c r="AJ823">
        <v>0</v>
      </c>
      <c r="AK823">
        <v>19</v>
      </c>
      <c r="AL823" t="s">
        <v>125</v>
      </c>
      <c r="AM823" t="s">
        <v>126</v>
      </c>
      <c r="AN823" t="s">
        <v>127</v>
      </c>
      <c r="AO823" t="s">
        <v>916</v>
      </c>
      <c r="AP823" t="s">
        <v>917</v>
      </c>
      <c r="AQ823" t="s">
        <v>74</v>
      </c>
      <c r="AR823" t="s">
        <v>918</v>
      </c>
      <c r="AS823" t="s">
        <v>919</v>
      </c>
      <c r="AT823" t="s">
        <v>15794</v>
      </c>
      <c r="AU823">
        <v>2019</v>
      </c>
      <c r="AV823">
        <v>46</v>
      </c>
      <c r="AW823">
        <v>1</v>
      </c>
      <c r="AX823" t="s">
        <v>74</v>
      </c>
      <c r="AY823" t="s">
        <v>74</v>
      </c>
      <c r="AZ823" t="s">
        <v>74</v>
      </c>
      <c r="BA823" t="s">
        <v>74</v>
      </c>
      <c r="BB823">
        <v>189</v>
      </c>
      <c r="BC823">
        <v>199</v>
      </c>
      <c r="BD823" t="s">
        <v>74</v>
      </c>
      <c r="BE823" t="s">
        <v>15812</v>
      </c>
      <c r="BF823" t="str">
        <f>HYPERLINK("http://dx.doi.org/10.1029/2018GL080383","http://dx.doi.org/10.1029/2018GL080383")</f>
        <v>http://dx.doi.org/10.1029/2018GL080383</v>
      </c>
      <c r="BG823" t="s">
        <v>74</v>
      </c>
      <c r="BH823" t="s">
        <v>74</v>
      </c>
      <c r="BI823">
        <v>11</v>
      </c>
      <c r="BJ823" t="s">
        <v>922</v>
      </c>
      <c r="BK823" t="s">
        <v>102</v>
      </c>
      <c r="BL823" t="s">
        <v>923</v>
      </c>
      <c r="BM823" t="s">
        <v>15796</v>
      </c>
      <c r="BN823" t="s">
        <v>74</v>
      </c>
      <c r="BO823" t="s">
        <v>2783</v>
      </c>
      <c r="BP823" t="s">
        <v>74</v>
      </c>
      <c r="BQ823" t="s">
        <v>74</v>
      </c>
      <c r="BR823" t="s">
        <v>107</v>
      </c>
      <c r="BS823" t="s">
        <v>15813</v>
      </c>
      <c r="BT823" t="str">
        <f>HYPERLINK("https%3A%2F%2Fwww.webofscience.com%2Fwos%2Fwoscc%2Ffull-record%2FWOS:000456938600021","View Full Record in Web of Science")</f>
        <v>View Full Record in Web of Science</v>
      </c>
    </row>
    <row r="824" spans="1:72" x14ac:dyDescent="0.15">
      <c r="A824" t="s">
        <v>72</v>
      </c>
      <c r="B824" t="s">
        <v>15814</v>
      </c>
      <c r="C824" t="s">
        <v>74</v>
      </c>
      <c r="D824" t="s">
        <v>74</v>
      </c>
      <c r="E824" t="s">
        <v>74</v>
      </c>
      <c r="F824" t="s">
        <v>15815</v>
      </c>
      <c r="G824" t="s">
        <v>74</v>
      </c>
      <c r="H824" t="s">
        <v>74</v>
      </c>
      <c r="I824" t="s">
        <v>15816</v>
      </c>
      <c r="J824" t="s">
        <v>907</v>
      </c>
      <c r="K824" t="s">
        <v>74</v>
      </c>
      <c r="L824" t="s">
        <v>74</v>
      </c>
      <c r="M824" t="s">
        <v>78</v>
      </c>
      <c r="N824" t="s">
        <v>79</v>
      </c>
      <c r="O824" t="s">
        <v>74</v>
      </c>
      <c r="P824" t="s">
        <v>74</v>
      </c>
      <c r="Q824" t="s">
        <v>74</v>
      </c>
      <c r="R824" t="s">
        <v>74</v>
      </c>
      <c r="S824" t="s">
        <v>74</v>
      </c>
      <c r="T824" t="s">
        <v>15817</v>
      </c>
      <c r="U824" t="s">
        <v>15818</v>
      </c>
      <c r="V824" t="s">
        <v>15819</v>
      </c>
      <c r="W824" t="s">
        <v>15820</v>
      </c>
      <c r="X824" t="s">
        <v>15821</v>
      </c>
      <c r="Y824" t="s">
        <v>15822</v>
      </c>
      <c r="Z824" t="s">
        <v>15823</v>
      </c>
      <c r="AA824" t="s">
        <v>15824</v>
      </c>
      <c r="AB824" t="s">
        <v>15825</v>
      </c>
      <c r="AC824" t="s">
        <v>15826</v>
      </c>
      <c r="AD824" t="s">
        <v>1225</v>
      </c>
      <c r="AE824" t="s">
        <v>15827</v>
      </c>
      <c r="AF824" t="s">
        <v>74</v>
      </c>
      <c r="AG824">
        <v>61</v>
      </c>
      <c r="AH824">
        <v>18</v>
      </c>
      <c r="AI824">
        <v>19</v>
      </c>
      <c r="AJ824">
        <v>3</v>
      </c>
      <c r="AK824">
        <v>22</v>
      </c>
      <c r="AL824" t="s">
        <v>125</v>
      </c>
      <c r="AM824" t="s">
        <v>126</v>
      </c>
      <c r="AN824" t="s">
        <v>127</v>
      </c>
      <c r="AO824" t="s">
        <v>916</v>
      </c>
      <c r="AP824" t="s">
        <v>917</v>
      </c>
      <c r="AQ824" t="s">
        <v>74</v>
      </c>
      <c r="AR824" t="s">
        <v>918</v>
      </c>
      <c r="AS824" t="s">
        <v>919</v>
      </c>
      <c r="AT824" t="s">
        <v>15794</v>
      </c>
      <c r="AU824">
        <v>2019</v>
      </c>
      <c r="AV824">
        <v>46</v>
      </c>
      <c r="AW824">
        <v>1</v>
      </c>
      <c r="AX824" t="s">
        <v>74</v>
      </c>
      <c r="AY824" t="s">
        <v>74</v>
      </c>
      <c r="AZ824" t="s">
        <v>74</v>
      </c>
      <c r="BA824" t="s">
        <v>74</v>
      </c>
      <c r="BB824">
        <v>281</v>
      </c>
      <c r="BC824">
        <v>292</v>
      </c>
      <c r="BD824" t="s">
        <v>74</v>
      </c>
      <c r="BE824" t="s">
        <v>15828</v>
      </c>
      <c r="BF824" t="str">
        <f>HYPERLINK("http://dx.doi.org/10.1029/2018GL080634","http://dx.doi.org/10.1029/2018GL080634")</f>
        <v>http://dx.doi.org/10.1029/2018GL080634</v>
      </c>
      <c r="BG824" t="s">
        <v>74</v>
      </c>
      <c r="BH824" t="s">
        <v>74</v>
      </c>
      <c r="BI824">
        <v>12</v>
      </c>
      <c r="BJ824" t="s">
        <v>922</v>
      </c>
      <c r="BK824" t="s">
        <v>102</v>
      </c>
      <c r="BL824" t="s">
        <v>923</v>
      </c>
      <c r="BM824" t="s">
        <v>15796</v>
      </c>
      <c r="BN824" t="s">
        <v>74</v>
      </c>
      <c r="BO824" t="s">
        <v>279</v>
      </c>
      <c r="BP824" t="s">
        <v>74</v>
      </c>
      <c r="BQ824" t="s">
        <v>74</v>
      </c>
      <c r="BR824" t="s">
        <v>107</v>
      </c>
      <c r="BS824" t="s">
        <v>15829</v>
      </c>
      <c r="BT824" t="str">
        <f>HYPERLINK("https%3A%2F%2Fwww.webofscience.com%2Fwos%2Fwoscc%2Ffull-record%2FWOS:000456938600031","View Full Record in Web of Science")</f>
        <v>View Full Record in Web of Science</v>
      </c>
    </row>
    <row r="825" spans="1:72" x14ac:dyDescent="0.15">
      <c r="A825" t="s">
        <v>72</v>
      </c>
      <c r="B825" t="s">
        <v>15830</v>
      </c>
      <c r="C825" t="s">
        <v>74</v>
      </c>
      <c r="D825" t="s">
        <v>74</v>
      </c>
      <c r="E825" t="s">
        <v>74</v>
      </c>
      <c r="F825" t="s">
        <v>15831</v>
      </c>
      <c r="G825" t="s">
        <v>74</v>
      </c>
      <c r="H825" t="s">
        <v>74</v>
      </c>
      <c r="I825" t="s">
        <v>15832</v>
      </c>
      <c r="J825" t="s">
        <v>2511</v>
      </c>
      <c r="K825" t="s">
        <v>74</v>
      </c>
      <c r="L825" t="s">
        <v>74</v>
      </c>
      <c r="M825" t="s">
        <v>78</v>
      </c>
      <c r="N825" t="s">
        <v>79</v>
      </c>
      <c r="O825" t="s">
        <v>74</v>
      </c>
      <c r="P825" t="s">
        <v>74</v>
      </c>
      <c r="Q825" t="s">
        <v>74</v>
      </c>
      <c r="R825" t="s">
        <v>74</v>
      </c>
      <c r="S825" t="s">
        <v>74</v>
      </c>
      <c r="T825" t="s">
        <v>74</v>
      </c>
      <c r="U825" t="s">
        <v>15833</v>
      </c>
      <c r="V825" t="s">
        <v>15834</v>
      </c>
      <c r="W825" t="s">
        <v>15835</v>
      </c>
      <c r="X825" t="s">
        <v>15836</v>
      </c>
      <c r="Y825" t="s">
        <v>15837</v>
      </c>
      <c r="Z825" t="s">
        <v>15838</v>
      </c>
      <c r="AA825" t="s">
        <v>15839</v>
      </c>
      <c r="AB825" t="s">
        <v>15840</v>
      </c>
      <c r="AC825" t="s">
        <v>15841</v>
      </c>
      <c r="AD825" t="s">
        <v>15841</v>
      </c>
      <c r="AE825" t="s">
        <v>15842</v>
      </c>
      <c r="AF825" t="s">
        <v>74</v>
      </c>
      <c r="AG825">
        <v>66</v>
      </c>
      <c r="AH825">
        <v>30</v>
      </c>
      <c r="AI825">
        <v>33</v>
      </c>
      <c r="AJ825">
        <v>1</v>
      </c>
      <c r="AK825">
        <v>13</v>
      </c>
      <c r="AL825" t="s">
        <v>2523</v>
      </c>
      <c r="AM825" t="s">
        <v>2524</v>
      </c>
      <c r="AN825" t="s">
        <v>2525</v>
      </c>
      <c r="AO825" t="s">
        <v>2526</v>
      </c>
      <c r="AP825" t="s">
        <v>74</v>
      </c>
      <c r="AQ825" t="s">
        <v>74</v>
      </c>
      <c r="AR825" t="s">
        <v>2511</v>
      </c>
      <c r="AS825" t="s">
        <v>2527</v>
      </c>
      <c r="AT825" t="s">
        <v>15794</v>
      </c>
      <c r="AU825">
        <v>2019</v>
      </c>
      <c r="AV825">
        <v>14</v>
      </c>
      <c r="AW825">
        <v>1</v>
      </c>
      <c r="AX825" t="s">
        <v>74</v>
      </c>
      <c r="AY825" t="s">
        <v>74</v>
      </c>
      <c r="AZ825" t="s">
        <v>74</v>
      </c>
      <c r="BA825" t="s">
        <v>74</v>
      </c>
      <c r="BB825" t="s">
        <v>74</v>
      </c>
      <c r="BC825" t="s">
        <v>74</v>
      </c>
      <c r="BD825" t="s">
        <v>15843</v>
      </c>
      <c r="BE825" t="s">
        <v>15844</v>
      </c>
      <c r="BF825" t="str">
        <f>HYPERLINK("http://dx.doi.org/10.1371/journal.pone.0209983","http://dx.doi.org/10.1371/journal.pone.0209983")</f>
        <v>http://dx.doi.org/10.1371/journal.pone.0209983</v>
      </c>
      <c r="BG825" t="s">
        <v>74</v>
      </c>
      <c r="BH825" t="s">
        <v>74</v>
      </c>
      <c r="BI825">
        <v>22</v>
      </c>
      <c r="BJ825" t="s">
        <v>460</v>
      </c>
      <c r="BK825" t="s">
        <v>337</v>
      </c>
      <c r="BL825" t="s">
        <v>461</v>
      </c>
      <c r="BM825" t="s">
        <v>15845</v>
      </c>
      <c r="BN825">
        <v>30650104</v>
      </c>
      <c r="BO825" t="s">
        <v>10732</v>
      </c>
      <c r="BP825" t="s">
        <v>74</v>
      </c>
      <c r="BQ825" t="s">
        <v>74</v>
      </c>
      <c r="BR825" t="s">
        <v>107</v>
      </c>
      <c r="BS825" t="s">
        <v>15846</v>
      </c>
      <c r="BT825" t="str">
        <f>HYPERLINK("https%3A%2F%2Fwww.webofscience.com%2Fwos%2Fwoscc%2Ffull-record%2FWOS:000455813300037","View Full Record in Web of Science")</f>
        <v>View Full Record in Web of Science</v>
      </c>
    </row>
    <row r="826" spans="1:72" x14ac:dyDescent="0.15">
      <c r="A826" t="s">
        <v>72</v>
      </c>
      <c r="B826" t="s">
        <v>15847</v>
      </c>
      <c r="C826" t="s">
        <v>74</v>
      </c>
      <c r="D826" t="s">
        <v>74</v>
      </c>
      <c r="E826" t="s">
        <v>74</v>
      </c>
      <c r="F826" t="s">
        <v>15848</v>
      </c>
      <c r="G826" t="s">
        <v>74</v>
      </c>
      <c r="H826" t="s">
        <v>74</v>
      </c>
      <c r="I826" t="s">
        <v>15849</v>
      </c>
      <c r="J826" t="s">
        <v>907</v>
      </c>
      <c r="K826" t="s">
        <v>74</v>
      </c>
      <c r="L826" t="s">
        <v>74</v>
      </c>
      <c r="M826" t="s">
        <v>78</v>
      </c>
      <c r="N826" t="s">
        <v>79</v>
      </c>
      <c r="O826" t="s">
        <v>74</v>
      </c>
      <c r="P826" t="s">
        <v>74</v>
      </c>
      <c r="Q826" t="s">
        <v>74</v>
      </c>
      <c r="R826" t="s">
        <v>74</v>
      </c>
      <c r="S826" t="s">
        <v>74</v>
      </c>
      <c r="T826" t="s">
        <v>15850</v>
      </c>
      <c r="U826" t="s">
        <v>15851</v>
      </c>
      <c r="V826" t="s">
        <v>15852</v>
      </c>
      <c r="W826" t="s">
        <v>15853</v>
      </c>
      <c r="X826" t="s">
        <v>15854</v>
      </c>
      <c r="Y826" t="s">
        <v>15855</v>
      </c>
      <c r="Z826" t="s">
        <v>15856</v>
      </c>
      <c r="AA826" t="s">
        <v>15857</v>
      </c>
      <c r="AB826" t="s">
        <v>15858</v>
      </c>
      <c r="AC826" t="s">
        <v>15859</v>
      </c>
      <c r="AD826" t="s">
        <v>7005</v>
      </c>
      <c r="AE826" t="s">
        <v>15860</v>
      </c>
      <c r="AF826" t="s">
        <v>74</v>
      </c>
      <c r="AG826">
        <v>35</v>
      </c>
      <c r="AH826">
        <v>16</v>
      </c>
      <c r="AI826">
        <v>16</v>
      </c>
      <c r="AJ826">
        <v>2</v>
      </c>
      <c r="AK826">
        <v>16</v>
      </c>
      <c r="AL826" t="s">
        <v>125</v>
      </c>
      <c r="AM826" t="s">
        <v>126</v>
      </c>
      <c r="AN826" t="s">
        <v>127</v>
      </c>
      <c r="AO826" t="s">
        <v>916</v>
      </c>
      <c r="AP826" t="s">
        <v>917</v>
      </c>
      <c r="AQ826" t="s">
        <v>74</v>
      </c>
      <c r="AR826" t="s">
        <v>918</v>
      </c>
      <c r="AS826" t="s">
        <v>919</v>
      </c>
      <c r="AT826" t="s">
        <v>15794</v>
      </c>
      <c r="AU826">
        <v>2019</v>
      </c>
      <c r="AV826">
        <v>46</v>
      </c>
      <c r="AW826">
        <v>1</v>
      </c>
      <c r="AX826" t="s">
        <v>74</v>
      </c>
      <c r="AY826" t="s">
        <v>74</v>
      </c>
      <c r="AZ826" t="s">
        <v>74</v>
      </c>
      <c r="BA826" t="s">
        <v>74</v>
      </c>
      <c r="BB826">
        <v>11</v>
      </c>
      <c r="BC826">
        <v>18</v>
      </c>
      <c r="BD826" t="s">
        <v>74</v>
      </c>
      <c r="BE826" t="s">
        <v>15861</v>
      </c>
      <c r="BF826" t="str">
        <f>HYPERLINK("http://dx.doi.org/10.1029/2018GL080475","http://dx.doi.org/10.1029/2018GL080475")</f>
        <v>http://dx.doi.org/10.1029/2018GL080475</v>
      </c>
      <c r="BG826" t="s">
        <v>74</v>
      </c>
      <c r="BH826" t="s">
        <v>74</v>
      </c>
      <c r="BI826">
        <v>8</v>
      </c>
      <c r="BJ826" t="s">
        <v>922</v>
      </c>
      <c r="BK826" t="s">
        <v>102</v>
      </c>
      <c r="BL826" t="s">
        <v>923</v>
      </c>
      <c r="BM826" t="s">
        <v>15796</v>
      </c>
      <c r="BN826" t="s">
        <v>74</v>
      </c>
      <c r="BO826" t="s">
        <v>279</v>
      </c>
      <c r="BP826" t="s">
        <v>74</v>
      </c>
      <c r="BQ826" t="s">
        <v>74</v>
      </c>
      <c r="BR826" t="s">
        <v>107</v>
      </c>
      <c r="BS826" t="s">
        <v>15862</v>
      </c>
      <c r="BT826" t="str">
        <f>HYPERLINK("https%3A%2F%2Fwww.webofscience.com%2Fwos%2Fwoscc%2Ffull-record%2FWOS:000456938600002","View Full Record in Web of Science")</f>
        <v>View Full Record in Web of Science</v>
      </c>
    </row>
    <row r="827" spans="1:72" x14ac:dyDescent="0.15">
      <c r="A827" t="s">
        <v>72</v>
      </c>
      <c r="B827" t="s">
        <v>15863</v>
      </c>
      <c r="C827" t="s">
        <v>74</v>
      </c>
      <c r="D827" t="s">
        <v>74</v>
      </c>
      <c r="E827" t="s">
        <v>74</v>
      </c>
      <c r="F827" t="s">
        <v>15864</v>
      </c>
      <c r="G827" t="s">
        <v>74</v>
      </c>
      <c r="H827" t="s">
        <v>74</v>
      </c>
      <c r="I827" t="s">
        <v>15865</v>
      </c>
      <c r="J827" t="s">
        <v>1938</v>
      </c>
      <c r="K827" t="s">
        <v>74</v>
      </c>
      <c r="L827" t="s">
        <v>74</v>
      </c>
      <c r="M827" t="s">
        <v>78</v>
      </c>
      <c r="N827" t="s">
        <v>79</v>
      </c>
      <c r="O827" t="s">
        <v>74</v>
      </c>
      <c r="P827" t="s">
        <v>74</v>
      </c>
      <c r="Q827" t="s">
        <v>74</v>
      </c>
      <c r="R827" t="s">
        <v>74</v>
      </c>
      <c r="S827" t="s">
        <v>74</v>
      </c>
      <c r="T827" t="s">
        <v>74</v>
      </c>
      <c r="U827" t="s">
        <v>15866</v>
      </c>
      <c r="V827" t="s">
        <v>15867</v>
      </c>
      <c r="W827" t="s">
        <v>15868</v>
      </c>
      <c r="X827" t="s">
        <v>15869</v>
      </c>
      <c r="Y827" t="s">
        <v>15870</v>
      </c>
      <c r="Z827" t="s">
        <v>15871</v>
      </c>
      <c r="AA827" t="s">
        <v>15872</v>
      </c>
      <c r="AB827" t="s">
        <v>15873</v>
      </c>
      <c r="AC827" t="s">
        <v>15874</v>
      </c>
      <c r="AD827" t="s">
        <v>15875</v>
      </c>
      <c r="AE827" t="s">
        <v>15876</v>
      </c>
      <c r="AF827" t="s">
        <v>74</v>
      </c>
      <c r="AG827">
        <v>53</v>
      </c>
      <c r="AH827">
        <v>941</v>
      </c>
      <c r="AI827">
        <v>1013</v>
      </c>
      <c r="AJ827">
        <v>107</v>
      </c>
      <c r="AK827">
        <v>638</v>
      </c>
      <c r="AL827" t="s">
        <v>1393</v>
      </c>
      <c r="AM827" t="s">
        <v>1371</v>
      </c>
      <c r="AN827" t="s">
        <v>1372</v>
      </c>
      <c r="AO827" t="s">
        <v>74</v>
      </c>
      <c r="AP827" t="s">
        <v>1950</v>
      </c>
      <c r="AQ827" t="s">
        <v>74</v>
      </c>
      <c r="AR827" t="s">
        <v>1951</v>
      </c>
      <c r="AS827" t="s">
        <v>1952</v>
      </c>
      <c r="AT827" t="s">
        <v>15794</v>
      </c>
      <c r="AU827">
        <v>2019</v>
      </c>
      <c r="AV827">
        <v>10</v>
      </c>
      <c r="AW827" t="s">
        <v>74</v>
      </c>
      <c r="AX827" t="s">
        <v>74</v>
      </c>
      <c r="AY827" t="s">
        <v>74</v>
      </c>
      <c r="AZ827" t="s">
        <v>74</v>
      </c>
      <c r="BA827" t="s">
        <v>74</v>
      </c>
      <c r="BB827" t="s">
        <v>74</v>
      </c>
      <c r="BC827" t="s">
        <v>74</v>
      </c>
      <c r="BD827">
        <v>264</v>
      </c>
      <c r="BE827" t="s">
        <v>15877</v>
      </c>
      <c r="BF827" t="str">
        <f>HYPERLINK("http://dx.doi.org/10.1038/s41467-018-08240-4","http://dx.doi.org/10.1038/s41467-018-08240-4")</f>
        <v>http://dx.doi.org/10.1038/s41467-018-08240-4</v>
      </c>
      <c r="BG827" t="s">
        <v>74</v>
      </c>
      <c r="BH827" t="s">
        <v>74</v>
      </c>
      <c r="BI827">
        <v>11</v>
      </c>
      <c r="BJ827" t="s">
        <v>460</v>
      </c>
      <c r="BK827" t="s">
        <v>102</v>
      </c>
      <c r="BL827" t="s">
        <v>461</v>
      </c>
      <c r="BM827" t="s">
        <v>15878</v>
      </c>
      <c r="BN827">
        <v>30651568</v>
      </c>
      <c r="BO827" t="s">
        <v>851</v>
      </c>
      <c r="BP827" t="s">
        <v>105</v>
      </c>
      <c r="BQ827" t="s">
        <v>106</v>
      </c>
      <c r="BR827" t="s">
        <v>107</v>
      </c>
      <c r="BS827" t="s">
        <v>15879</v>
      </c>
      <c r="BT827" t="str">
        <f>HYPERLINK("https%3A%2F%2Fwww.webofscience.com%2Fwos%2Fwoscc%2Ffull-record%2FWOS:000455762900008","View Full Record in Web of Science")</f>
        <v>View Full Record in Web of Science</v>
      </c>
    </row>
    <row r="828" spans="1:72" x14ac:dyDescent="0.15">
      <c r="A828" t="s">
        <v>72</v>
      </c>
      <c r="B828" t="s">
        <v>15880</v>
      </c>
      <c r="C828" t="s">
        <v>74</v>
      </c>
      <c r="D828" t="s">
        <v>74</v>
      </c>
      <c r="E828" t="s">
        <v>74</v>
      </c>
      <c r="F828" t="s">
        <v>15881</v>
      </c>
      <c r="G828" t="s">
        <v>74</v>
      </c>
      <c r="H828" t="s">
        <v>74</v>
      </c>
      <c r="I828" t="s">
        <v>15882</v>
      </c>
      <c r="J828" t="s">
        <v>15883</v>
      </c>
      <c r="K828" t="s">
        <v>74</v>
      </c>
      <c r="L828" t="s">
        <v>74</v>
      </c>
      <c r="M828" t="s">
        <v>78</v>
      </c>
      <c r="N828" t="s">
        <v>79</v>
      </c>
      <c r="O828" t="s">
        <v>74</v>
      </c>
      <c r="P828" t="s">
        <v>74</v>
      </c>
      <c r="Q828" t="s">
        <v>74</v>
      </c>
      <c r="R828" t="s">
        <v>74</v>
      </c>
      <c r="S828" t="s">
        <v>74</v>
      </c>
      <c r="T828" t="s">
        <v>15884</v>
      </c>
      <c r="U828" t="s">
        <v>15885</v>
      </c>
      <c r="V828" t="s">
        <v>15886</v>
      </c>
      <c r="W828" t="s">
        <v>15887</v>
      </c>
      <c r="X828" t="s">
        <v>15888</v>
      </c>
      <c r="Y828" t="s">
        <v>15889</v>
      </c>
      <c r="Z828" t="s">
        <v>15890</v>
      </c>
      <c r="AA828" t="s">
        <v>74</v>
      </c>
      <c r="AB828" t="s">
        <v>15891</v>
      </c>
      <c r="AC828" t="s">
        <v>15892</v>
      </c>
      <c r="AD828" t="s">
        <v>15893</v>
      </c>
      <c r="AE828" t="s">
        <v>15894</v>
      </c>
      <c r="AF828" t="s">
        <v>74</v>
      </c>
      <c r="AG828">
        <v>61</v>
      </c>
      <c r="AH828">
        <v>13</v>
      </c>
      <c r="AI828">
        <v>13</v>
      </c>
      <c r="AJ828">
        <v>0</v>
      </c>
      <c r="AK828">
        <v>12</v>
      </c>
      <c r="AL828" t="s">
        <v>306</v>
      </c>
      <c r="AM828" t="s">
        <v>93</v>
      </c>
      <c r="AN828" t="s">
        <v>307</v>
      </c>
      <c r="AO828" t="s">
        <v>15895</v>
      </c>
      <c r="AP828" t="s">
        <v>15896</v>
      </c>
      <c r="AQ828" t="s">
        <v>74</v>
      </c>
      <c r="AR828" t="s">
        <v>15897</v>
      </c>
      <c r="AS828" t="s">
        <v>15898</v>
      </c>
      <c r="AT828" t="s">
        <v>15899</v>
      </c>
      <c r="AU828">
        <v>2019</v>
      </c>
      <c r="AV828">
        <v>84</v>
      </c>
      <c r="AW828" t="s">
        <v>74</v>
      </c>
      <c r="AX828" t="s">
        <v>74</v>
      </c>
      <c r="AY828" t="s">
        <v>74</v>
      </c>
      <c r="AZ828" t="s">
        <v>74</v>
      </c>
      <c r="BA828" t="s">
        <v>74</v>
      </c>
      <c r="BB828">
        <v>424</v>
      </c>
      <c r="BC828">
        <v>436</v>
      </c>
      <c r="BD828" t="s">
        <v>74</v>
      </c>
      <c r="BE828" t="s">
        <v>15900</v>
      </c>
      <c r="BF828" t="str">
        <f>HYPERLINK("http://dx.doi.org/10.1016/j.actbio.2018.11.047","http://dx.doi.org/10.1016/j.actbio.2018.11.047")</f>
        <v>http://dx.doi.org/10.1016/j.actbio.2018.11.047</v>
      </c>
      <c r="BG828" t="s">
        <v>74</v>
      </c>
      <c r="BH828" t="s">
        <v>74</v>
      </c>
      <c r="BI828">
        <v>13</v>
      </c>
      <c r="BJ828" t="s">
        <v>15901</v>
      </c>
      <c r="BK828" t="s">
        <v>102</v>
      </c>
      <c r="BL828" t="s">
        <v>15902</v>
      </c>
      <c r="BM828" t="s">
        <v>15903</v>
      </c>
      <c r="BN828">
        <v>30500446</v>
      </c>
      <c r="BO828" t="s">
        <v>74</v>
      </c>
      <c r="BP828" t="s">
        <v>74</v>
      </c>
      <c r="BQ828" t="s">
        <v>74</v>
      </c>
      <c r="BR828" t="s">
        <v>107</v>
      </c>
      <c r="BS828" t="s">
        <v>15904</v>
      </c>
      <c r="BT828" t="str">
        <f>HYPERLINK("https%3A%2F%2Fwww.webofscience.com%2Fwos%2Fwoscc%2Ffull-record%2FWOS:000456902700034","View Full Record in Web of Science")</f>
        <v>View Full Record in Web of Science</v>
      </c>
    </row>
    <row r="829" spans="1:72" x14ac:dyDescent="0.15">
      <c r="A829" t="s">
        <v>72</v>
      </c>
      <c r="B829" t="s">
        <v>15905</v>
      </c>
      <c r="C829" t="s">
        <v>74</v>
      </c>
      <c r="D829" t="s">
        <v>74</v>
      </c>
      <c r="E829" t="s">
        <v>74</v>
      </c>
      <c r="F829" t="s">
        <v>15906</v>
      </c>
      <c r="G829" t="s">
        <v>74</v>
      </c>
      <c r="H829" t="s">
        <v>74</v>
      </c>
      <c r="I829" t="s">
        <v>15907</v>
      </c>
      <c r="J829" t="s">
        <v>1740</v>
      </c>
      <c r="K829" t="s">
        <v>74</v>
      </c>
      <c r="L829" t="s">
        <v>74</v>
      </c>
      <c r="M829" t="s">
        <v>78</v>
      </c>
      <c r="N829" t="s">
        <v>79</v>
      </c>
      <c r="O829" t="s">
        <v>74</v>
      </c>
      <c r="P829" t="s">
        <v>74</v>
      </c>
      <c r="Q829" t="s">
        <v>74</v>
      </c>
      <c r="R829" t="s">
        <v>74</v>
      </c>
      <c r="S829" t="s">
        <v>74</v>
      </c>
      <c r="T829" t="s">
        <v>15908</v>
      </c>
      <c r="U829" t="s">
        <v>15909</v>
      </c>
      <c r="V829" t="s">
        <v>15910</v>
      </c>
      <c r="W829" t="s">
        <v>15911</v>
      </c>
      <c r="X829" t="s">
        <v>7988</v>
      </c>
      <c r="Y829" t="s">
        <v>15912</v>
      </c>
      <c r="Z829" t="s">
        <v>15913</v>
      </c>
      <c r="AA829" t="s">
        <v>15914</v>
      </c>
      <c r="AB829" t="s">
        <v>15915</v>
      </c>
      <c r="AC829" t="s">
        <v>15916</v>
      </c>
      <c r="AD829" t="s">
        <v>8160</v>
      </c>
      <c r="AE829" t="s">
        <v>15917</v>
      </c>
      <c r="AF829" t="s">
        <v>74</v>
      </c>
      <c r="AG829">
        <v>46</v>
      </c>
      <c r="AH829">
        <v>7</v>
      </c>
      <c r="AI829">
        <v>7</v>
      </c>
      <c r="AJ829">
        <v>2</v>
      </c>
      <c r="AK829">
        <v>12</v>
      </c>
      <c r="AL829" t="s">
        <v>634</v>
      </c>
      <c r="AM829" t="s">
        <v>635</v>
      </c>
      <c r="AN829" t="s">
        <v>636</v>
      </c>
      <c r="AO829" t="s">
        <v>1751</v>
      </c>
      <c r="AP829" t="s">
        <v>1752</v>
      </c>
      <c r="AQ829" t="s">
        <v>74</v>
      </c>
      <c r="AR829" t="s">
        <v>1753</v>
      </c>
      <c r="AS829" t="s">
        <v>1754</v>
      </c>
      <c r="AT829" t="s">
        <v>15899</v>
      </c>
      <c r="AU829">
        <v>2019</v>
      </c>
      <c r="AV829">
        <v>514</v>
      </c>
      <c r="AW829" t="s">
        <v>74</v>
      </c>
      <c r="AX829" t="s">
        <v>74</v>
      </c>
      <c r="AY829" t="s">
        <v>74</v>
      </c>
      <c r="AZ829" t="s">
        <v>74</v>
      </c>
      <c r="BA829" t="s">
        <v>74</v>
      </c>
      <c r="BB829">
        <v>349</v>
      </c>
      <c r="BC829">
        <v>360</v>
      </c>
      <c r="BD829" t="s">
        <v>74</v>
      </c>
      <c r="BE829" t="s">
        <v>15918</v>
      </c>
      <c r="BF829" t="str">
        <f>HYPERLINK("http://dx.doi.org/10.1016/j.palaeo.2018.10.031","http://dx.doi.org/10.1016/j.palaeo.2018.10.031")</f>
        <v>http://dx.doi.org/10.1016/j.palaeo.2018.10.031</v>
      </c>
      <c r="BG829" t="s">
        <v>74</v>
      </c>
      <c r="BH829" t="s">
        <v>74</v>
      </c>
      <c r="BI829">
        <v>12</v>
      </c>
      <c r="BJ829" t="s">
        <v>1756</v>
      </c>
      <c r="BK829" t="s">
        <v>102</v>
      </c>
      <c r="BL829" t="s">
        <v>1757</v>
      </c>
      <c r="BM829" t="s">
        <v>15919</v>
      </c>
      <c r="BN829" t="s">
        <v>74</v>
      </c>
      <c r="BO829" t="s">
        <v>74</v>
      </c>
      <c r="BP829" t="s">
        <v>74</v>
      </c>
      <c r="BQ829" t="s">
        <v>74</v>
      </c>
      <c r="BR829" t="s">
        <v>107</v>
      </c>
      <c r="BS829" t="s">
        <v>15920</v>
      </c>
      <c r="BT829" t="str">
        <f>HYPERLINK("https%3A%2F%2Fwww.webofscience.com%2Fwos%2Fwoscc%2Ffull-record%2FWOS:000456355800026","View Full Record in Web of Science")</f>
        <v>View Full Record in Web of Science</v>
      </c>
    </row>
    <row r="830" spans="1:72" x14ac:dyDescent="0.15">
      <c r="A830" t="s">
        <v>72</v>
      </c>
      <c r="B830" t="s">
        <v>15921</v>
      </c>
      <c r="C830" t="s">
        <v>74</v>
      </c>
      <c r="D830" t="s">
        <v>74</v>
      </c>
      <c r="E830" t="s">
        <v>74</v>
      </c>
      <c r="F830" t="s">
        <v>15922</v>
      </c>
      <c r="G830" t="s">
        <v>74</v>
      </c>
      <c r="H830" t="s">
        <v>74</v>
      </c>
      <c r="I830" t="s">
        <v>15923</v>
      </c>
      <c r="J830" t="s">
        <v>1740</v>
      </c>
      <c r="K830" t="s">
        <v>74</v>
      </c>
      <c r="L830" t="s">
        <v>74</v>
      </c>
      <c r="M830" t="s">
        <v>78</v>
      </c>
      <c r="N830" t="s">
        <v>79</v>
      </c>
      <c r="O830" t="s">
        <v>74</v>
      </c>
      <c r="P830" t="s">
        <v>74</v>
      </c>
      <c r="Q830" t="s">
        <v>74</v>
      </c>
      <c r="R830" t="s">
        <v>74</v>
      </c>
      <c r="S830" t="s">
        <v>74</v>
      </c>
      <c r="T830" t="s">
        <v>15924</v>
      </c>
      <c r="U830" t="s">
        <v>15925</v>
      </c>
      <c r="V830" t="s">
        <v>15926</v>
      </c>
      <c r="W830" t="s">
        <v>15927</v>
      </c>
      <c r="X830" t="s">
        <v>15928</v>
      </c>
      <c r="Y830" t="s">
        <v>15929</v>
      </c>
      <c r="Z830" t="s">
        <v>15930</v>
      </c>
      <c r="AA830" t="s">
        <v>15931</v>
      </c>
      <c r="AB830" t="s">
        <v>15932</v>
      </c>
      <c r="AC830" t="s">
        <v>74</v>
      </c>
      <c r="AD830" t="s">
        <v>74</v>
      </c>
      <c r="AE830" t="s">
        <v>74</v>
      </c>
      <c r="AF830" t="s">
        <v>74</v>
      </c>
      <c r="AG830">
        <v>79</v>
      </c>
      <c r="AH830">
        <v>10</v>
      </c>
      <c r="AI830">
        <v>11</v>
      </c>
      <c r="AJ830">
        <v>2</v>
      </c>
      <c r="AK830">
        <v>16</v>
      </c>
      <c r="AL830" t="s">
        <v>662</v>
      </c>
      <c r="AM830" t="s">
        <v>635</v>
      </c>
      <c r="AN830" t="s">
        <v>663</v>
      </c>
      <c r="AO830" t="s">
        <v>1751</v>
      </c>
      <c r="AP830" t="s">
        <v>1752</v>
      </c>
      <c r="AQ830" t="s">
        <v>74</v>
      </c>
      <c r="AR830" t="s">
        <v>1753</v>
      </c>
      <c r="AS830" t="s">
        <v>1754</v>
      </c>
      <c r="AT830" t="s">
        <v>15899</v>
      </c>
      <c r="AU830">
        <v>2019</v>
      </c>
      <c r="AV830">
        <v>514</v>
      </c>
      <c r="AW830" t="s">
        <v>74</v>
      </c>
      <c r="AX830" t="s">
        <v>74</v>
      </c>
      <c r="AY830" t="s">
        <v>74</v>
      </c>
      <c r="AZ830" t="s">
        <v>74</v>
      </c>
      <c r="BA830" t="s">
        <v>74</v>
      </c>
      <c r="BB830">
        <v>398</v>
      </c>
      <c r="BC830">
        <v>406</v>
      </c>
      <c r="BD830" t="s">
        <v>74</v>
      </c>
      <c r="BE830" t="s">
        <v>15933</v>
      </c>
      <c r="BF830" t="str">
        <f>HYPERLINK("http://dx.doi.org/10.1016/j.palaeo.2018.10.029","http://dx.doi.org/10.1016/j.palaeo.2018.10.029")</f>
        <v>http://dx.doi.org/10.1016/j.palaeo.2018.10.029</v>
      </c>
      <c r="BG830" t="s">
        <v>74</v>
      </c>
      <c r="BH830" t="s">
        <v>74</v>
      </c>
      <c r="BI830">
        <v>9</v>
      </c>
      <c r="BJ830" t="s">
        <v>1756</v>
      </c>
      <c r="BK830" t="s">
        <v>102</v>
      </c>
      <c r="BL830" t="s">
        <v>1757</v>
      </c>
      <c r="BM830" t="s">
        <v>15919</v>
      </c>
      <c r="BN830" t="s">
        <v>74</v>
      </c>
      <c r="BO830" t="s">
        <v>74</v>
      </c>
      <c r="BP830" t="s">
        <v>74</v>
      </c>
      <c r="BQ830" t="s">
        <v>74</v>
      </c>
      <c r="BR830" t="s">
        <v>107</v>
      </c>
      <c r="BS830" t="s">
        <v>15934</v>
      </c>
      <c r="BT830" t="str">
        <f>HYPERLINK("https%3A%2F%2Fwww.webofscience.com%2Fwos%2Fwoscc%2Ffull-record%2FWOS:000456355800030","View Full Record in Web of Science")</f>
        <v>View Full Record in Web of Science</v>
      </c>
    </row>
    <row r="831" spans="1:72" x14ac:dyDescent="0.15">
      <c r="A831" t="s">
        <v>72</v>
      </c>
      <c r="B831" t="s">
        <v>15935</v>
      </c>
      <c r="C831" t="s">
        <v>74</v>
      </c>
      <c r="D831" t="s">
        <v>74</v>
      </c>
      <c r="E831" t="s">
        <v>74</v>
      </c>
      <c r="F831" t="s">
        <v>15936</v>
      </c>
      <c r="G831" t="s">
        <v>74</v>
      </c>
      <c r="H831" t="s">
        <v>74</v>
      </c>
      <c r="I831" t="s">
        <v>15937</v>
      </c>
      <c r="J831" t="s">
        <v>1740</v>
      </c>
      <c r="K831" t="s">
        <v>74</v>
      </c>
      <c r="L831" t="s">
        <v>74</v>
      </c>
      <c r="M831" t="s">
        <v>78</v>
      </c>
      <c r="N831" t="s">
        <v>79</v>
      </c>
      <c r="O831" t="s">
        <v>74</v>
      </c>
      <c r="P831" t="s">
        <v>74</v>
      </c>
      <c r="Q831" t="s">
        <v>74</v>
      </c>
      <c r="R831" t="s">
        <v>74</v>
      </c>
      <c r="S831" t="s">
        <v>74</v>
      </c>
      <c r="T831" t="s">
        <v>15938</v>
      </c>
      <c r="U831" t="s">
        <v>15939</v>
      </c>
      <c r="V831" t="s">
        <v>15940</v>
      </c>
      <c r="W831" t="s">
        <v>15941</v>
      </c>
      <c r="X831" t="s">
        <v>15942</v>
      </c>
      <c r="Y831" t="s">
        <v>15943</v>
      </c>
      <c r="Z831" t="s">
        <v>15944</v>
      </c>
      <c r="AA831" t="s">
        <v>15945</v>
      </c>
      <c r="AB831" t="s">
        <v>15946</v>
      </c>
      <c r="AC831" t="s">
        <v>15947</v>
      </c>
      <c r="AD831" t="s">
        <v>15948</v>
      </c>
      <c r="AE831" t="s">
        <v>15949</v>
      </c>
      <c r="AF831" t="s">
        <v>74</v>
      </c>
      <c r="AG831">
        <v>80</v>
      </c>
      <c r="AH831">
        <v>5</v>
      </c>
      <c r="AI831">
        <v>5</v>
      </c>
      <c r="AJ831">
        <v>0</v>
      </c>
      <c r="AK831">
        <v>27</v>
      </c>
      <c r="AL831" t="s">
        <v>634</v>
      </c>
      <c r="AM831" t="s">
        <v>635</v>
      </c>
      <c r="AN831" t="s">
        <v>636</v>
      </c>
      <c r="AO831" t="s">
        <v>1751</v>
      </c>
      <c r="AP831" t="s">
        <v>1752</v>
      </c>
      <c r="AQ831" t="s">
        <v>74</v>
      </c>
      <c r="AR831" t="s">
        <v>1753</v>
      </c>
      <c r="AS831" t="s">
        <v>1754</v>
      </c>
      <c r="AT831" t="s">
        <v>15899</v>
      </c>
      <c r="AU831">
        <v>2019</v>
      </c>
      <c r="AV831">
        <v>514</v>
      </c>
      <c r="AW831" t="s">
        <v>74</v>
      </c>
      <c r="AX831" t="s">
        <v>74</v>
      </c>
      <c r="AY831" t="s">
        <v>74</v>
      </c>
      <c r="AZ831" t="s">
        <v>74</v>
      </c>
      <c r="BA831" t="s">
        <v>74</v>
      </c>
      <c r="BB831">
        <v>423</v>
      </c>
      <c r="BC831">
        <v>440</v>
      </c>
      <c r="BD831" t="s">
        <v>74</v>
      </c>
      <c r="BE831" t="s">
        <v>15950</v>
      </c>
      <c r="BF831" t="str">
        <f>HYPERLINK("http://dx.doi.org/10.1016/j.palaeo.2018.10.034","http://dx.doi.org/10.1016/j.palaeo.2018.10.034")</f>
        <v>http://dx.doi.org/10.1016/j.palaeo.2018.10.034</v>
      </c>
      <c r="BG831" t="s">
        <v>74</v>
      </c>
      <c r="BH831" t="s">
        <v>74</v>
      </c>
      <c r="BI831">
        <v>18</v>
      </c>
      <c r="BJ831" t="s">
        <v>1756</v>
      </c>
      <c r="BK831" t="s">
        <v>102</v>
      </c>
      <c r="BL831" t="s">
        <v>1757</v>
      </c>
      <c r="BM831" t="s">
        <v>15919</v>
      </c>
      <c r="BN831" t="s">
        <v>74</v>
      </c>
      <c r="BO831" t="s">
        <v>5573</v>
      </c>
      <c r="BP831" t="s">
        <v>74</v>
      </c>
      <c r="BQ831" t="s">
        <v>74</v>
      </c>
      <c r="BR831" t="s">
        <v>107</v>
      </c>
      <c r="BS831" t="s">
        <v>15951</v>
      </c>
      <c r="BT831" t="str">
        <f>HYPERLINK("https%3A%2F%2Fwww.webofscience.com%2Fwos%2Fwoscc%2Ffull-record%2FWOS:000456355800032","View Full Record in Web of Science")</f>
        <v>View Full Record in Web of Science</v>
      </c>
    </row>
    <row r="832" spans="1:72" x14ac:dyDescent="0.15">
      <c r="A832" t="s">
        <v>72</v>
      </c>
      <c r="B832" t="s">
        <v>15952</v>
      </c>
      <c r="C832" t="s">
        <v>74</v>
      </c>
      <c r="D832" t="s">
        <v>74</v>
      </c>
      <c r="E832" t="s">
        <v>74</v>
      </c>
      <c r="F832" t="s">
        <v>15953</v>
      </c>
      <c r="G832" t="s">
        <v>74</v>
      </c>
      <c r="H832" t="s">
        <v>74</v>
      </c>
      <c r="I832" t="s">
        <v>15954</v>
      </c>
      <c r="J832" t="s">
        <v>1740</v>
      </c>
      <c r="K832" t="s">
        <v>74</v>
      </c>
      <c r="L832" t="s">
        <v>74</v>
      </c>
      <c r="M832" t="s">
        <v>78</v>
      </c>
      <c r="N832" t="s">
        <v>79</v>
      </c>
      <c r="O832" t="s">
        <v>74</v>
      </c>
      <c r="P832" t="s">
        <v>74</v>
      </c>
      <c r="Q832" t="s">
        <v>74</v>
      </c>
      <c r="R832" t="s">
        <v>74</v>
      </c>
      <c r="S832" t="s">
        <v>74</v>
      </c>
      <c r="T832" t="s">
        <v>15955</v>
      </c>
      <c r="U832" t="s">
        <v>15956</v>
      </c>
      <c r="V832" t="s">
        <v>15957</v>
      </c>
      <c r="W832" t="s">
        <v>15958</v>
      </c>
      <c r="X832" t="s">
        <v>15959</v>
      </c>
      <c r="Y832" t="s">
        <v>15960</v>
      </c>
      <c r="Z832" t="s">
        <v>15961</v>
      </c>
      <c r="AA832" t="s">
        <v>74</v>
      </c>
      <c r="AB832" t="s">
        <v>74</v>
      </c>
      <c r="AC832" t="s">
        <v>15962</v>
      </c>
      <c r="AD832" t="s">
        <v>15963</v>
      </c>
      <c r="AE832" t="s">
        <v>15964</v>
      </c>
      <c r="AF832" t="s">
        <v>74</v>
      </c>
      <c r="AG832">
        <v>96</v>
      </c>
      <c r="AH832">
        <v>2</v>
      </c>
      <c r="AI832">
        <v>2</v>
      </c>
      <c r="AJ832">
        <v>0</v>
      </c>
      <c r="AK832">
        <v>10</v>
      </c>
      <c r="AL832" t="s">
        <v>662</v>
      </c>
      <c r="AM832" t="s">
        <v>635</v>
      </c>
      <c r="AN832" t="s">
        <v>663</v>
      </c>
      <c r="AO832" t="s">
        <v>1751</v>
      </c>
      <c r="AP832" t="s">
        <v>1752</v>
      </c>
      <c r="AQ832" t="s">
        <v>74</v>
      </c>
      <c r="AR832" t="s">
        <v>1753</v>
      </c>
      <c r="AS832" t="s">
        <v>1754</v>
      </c>
      <c r="AT832" t="s">
        <v>15899</v>
      </c>
      <c r="AU832">
        <v>2019</v>
      </c>
      <c r="AV832">
        <v>514</v>
      </c>
      <c r="AW832" t="s">
        <v>74</v>
      </c>
      <c r="AX832" t="s">
        <v>74</v>
      </c>
      <c r="AY832" t="s">
        <v>74</v>
      </c>
      <c r="AZ832" t="s">
        <v>74</v>
      </c>
      <c r="BA832" t="s">
        <v>74</v>
      </c>
      <c r="BB832">
        <v>800</v>
      </c>
      <c r="BC832">
        <v>812</v>
      </c>
      <c r="BD832" t="s">
        <v>74</v>
      </c>
      <c r="BE832" t="s">
        <v>15965</v>
      </c>
      <c r="BF832" t="str">
        <f>HYPERLINK("http://dx.doi.org/10.1016/j.palaeo.2018.09.016","http://dx.doi.org/10.1016/j.palaeo.2018.09.016")</f>
        <v>http://dx.doi.org/10.1016/j.palaeo.2018.09.016</v>
      </c>
      <c r="BG832" t="s">
        <v>74</v>
      </c>
      <c r="BH832" t="s">
        <v>74</v>
      </c>
      <c r="BI832">
        <v>13</v>
      </c>
      <c r="BJ832" t="s">
        <v>1756</v>
      </c>
      <c r="BK832" t="s">
        <v>102</v>
      </c>
      <c r="BL832" t="s">
        <v>1757</v>
      </c>
      <c r="BM832" t="s">
        <v>15919</v>
      </c>
      <c r="BN832" t="s">
        <v>74</v>
      </c>
      <c r="BO832" t="s">
        <v>74</v>
      </c>
      <c r="BP832" t="s">
        <v>74</v>
      </c>
      <c r="BQ832" t="s">
        <v>74</v>
      </c>
      <c r="BR832" t="s">
        <v>107</v>
      </c>
      <c r="BS832" t="s">
        <v>15966</v>
      </c>
      <c r="BT832" t="str">
        <f>HYPERLINK("https%3A%2F%2Fwww.webofscience.com%2Fwos%2Fwoscc%2Ffull-record%2FWOS:000456355800058","View Full Record in Web of Science")</f>
        <v>View Full Record in Web of Science</v>
      </c>
    </row>
    <row r="833" spans="1:72" x14ac:dyDescent="0.15">
      <c r="A833" t="s">
        <v>72</v>
      </c>
      <c r="B833" t="s">
        <v>15967</v>
      </c>
      <c r="C833" t="s">
        <v>74</v>
      </c>
      <c r="D833" t="s">
        <v>74</v>
      </c>
      <c r="E833" t="s">
        <v>74</v>
      </c>
      <c r="F833" t="s">
        <v>15968</v>
      </c>
      <c r="G833" t="s">
        <v>74</v>
      </c>
      <c r="H833" t="s">
        <v>74</v>
      </c>
      <c r="I833" t="s">
        <v>15969</v>
      </c>
      <c r="J833" t="s">
        <v>1632</v>
      </c>
      <c r="K833" t="s">
        <v>74</v>
      </c>
      <c r="L833" t="s">
        <v>74</v>
      </c>
      <c r="M833" t="s">
        <v>78</v>
      </c>
      <c r="N833" t="s">
        <v>79</v>
      </c>
      <c r="O833" t="s">
        <v>74</v>
      </c>
      <c r="P833" t="s">
        <v>74</v>
      </c>
      <c r="Q833" t="s">
        <v>74</v>
      </c>
      <c r="R833" t="s">
        <v>74</v>
      </c>
      <c r="S833" t="s">
        <v>74</v>
      </c>
      <c r="T833" t="s">
        <v>15970</v>
      </c>
      <c r="U833" t="s">
        <v>15971</v>
      </c>
      <c r="V833" t="s">
        <v>15972</v>
      </c>
      <c r="W833" t="s">
        <v>15973</v>
      </c>
      <c r="X833" t="s">
        <v>15974</v>
      </c>
      <c r="Y833" t="s">
        <v>15975</v>
      </c>
      <c r="Z833" t="s">
        <v>15976</v>
      </c>
      <c r="AA833" t="s">
        <v>15977</v>
      </c>
      <c r="AB833" t="s">
        <v>15978</v>
      </c>
      <c r="AC833" t="s">
        <v>74</v>
      </c>
      <c r="AD833" t="s">
        <v>74</v>
      </c>
      <c r="AE833" t="s">
        <v>74</v>
      </c>
      <c r="AF833" t="s">
        <v>74</v>
      </c>
      <c r="AG833">
        <v>141</v>
      </c>
      <c r="AH833">
        <v>25</v>
      </c>
      <c r="AI833">
        <v>25</v>
      </c>
      <c r="AJ833">
        <v>0</v>
      </c>
      <c r="AK833">
        <v>10</v>
      </c>
      <c r="AL833" t="s">
        <v>378</v>
      </c>
      <c r="AM833" t="s">
        <v>93</v>
      </c>
      <c r="AN833" t="s">
        <v>379</v>
      </c>
      <c r="AO833" t="s">
        <v>1645</v>
      </c>
      <c r="AP833" t="s">
        <v>74</v>
      </c>
      <c r="AQ833" t="s">
        <v>74</v>
      </c>
      <c r="AR833" t="s">
        <v>1646</v>
      </c>
      <c r="AS833" t="s">
        <v>1647</v>
      </c>
      <c r="AT833" t="s">
        <v>15899</v>
      </c>
      <c r="AU833">
        <v>2019</v>
      </c>
      <c r="AV833">
        <v>204</v>
      </c>
      <c r="AW833" t="s">
        <v>74</v>
      </c>
      <c r="AX833" t="s">
        <v>74</v>
      </c>
      <c r="AY833" t="s">
        <v>74</v>
      </c>
      <c r="AZ833" t="s">
        <v>74</v>
      </c>
      <c r="BA833" t="s">
        <v>74</v>
      </c>
      <c r="BB833">
        <v>37</v>
      </c>
      <c r="BC833">
        <v>57</v>
      </c>
      <c r="BD833" t="s">
        <v>74</v>
      </c>
      <c r="BE833" t="s">
        <v>15979</v>
      </c>
      <c r="BF833" t="str">
        <f>HYPERLINK("http://dx.doi.org/10.1016/j.quascirev.2018.11.022","http://dx.doi.org/10.1016/j.quascirev.2018.11.022")</f>
        <v>http://dx.doi.org/10.1016/j.quascirev.2018.11.022</v>
      </c>
      <c r="BG833" t="s">
        <v>74</v>
      </c>
      <c r="BH833" t="s">
        <v>74</v>
      </c>
      <c r="BI833">
        <v>21</v>
      </c>
      <c r="BJ833" t="s">
        <v>1142</v>
      </c>
      <c r="BK833" t="s">
        <v>102</v>
      </c>
      <c r="BL833" t="s">
        <v>1143</v>
      </c>
      <c r="BM833" t="s">
        <v>15980</v>
      </c>
      <c r="BN833" t="s">
        <v>74</v>
      </c>
      <c r="BO833" t="s">
        <v>403</v>
      </c>
      <c r="BP833" t="s">
        <v>74</v>
      </c>
      <c r="BQ833" t="s">
        <v>74</v>
      </c>
      <c r="BR833" t="s">
        <v>107</v>
      </c>
      <c r="BS833" t="s">
        <v>15981</v>
      </c>
      <c r="BT833" t="str">
        <f>HYPERLINK("https%3A%2F%2Fwww.webofscience.com%2Fwos%2Fwoscc%2Ffull-record%2FWOS:000456353300003","View Full Record in Web of Science")</f>
        <v>View Full Record in Web of Science</v>
      </c>
    </row>
    <row r="834" spans="1:72" x14ac:dyDescent="0.15">
      <c r="A834" t="s">
        <v>72</v>
      </c>
      <c r="B834" t="s">
        <v>15982</v>
      </c>
      <c r="C834" t="s">
        <v>74</v>
      </c>
      <c r="D834" t="s">
        <v>74</v>
      </c>
      <c r="E834" t="s">
        <v>74</v>
      </c>
      <c r="F834" t="s">
        <v>15983</v>
      </c>
      <c r="G834" t="s">
        <v>74</v>
      </c>
      <c r="H834" t="s">
        <v>74</v>
      </c>
      <c r="I834" t="s">
        <v>15984</v>
      </c>
      <c r="J834" t="s">
        <v>1632</v>
      </c>
      <c r="K834" t="s">
        <v>74</v>
      </c>
      <c r="L834" t="s">
        <v>74</v>
      </c>
      <c r="M834" t="s">
        <v>78</v>
      </c>
      <c r="N834" t="s">
        <v>79</v>
      </c>
      <c r="O834" t="s">
        <v>74</v>
      </c>
      <c r="P834" t="s">
        <v>74</v>
      </c>
      <c r="Q834" t="s">
        <v>74</v>
      </c>
      <c r="R834" t="s">
        <v>74</v>
      </c>
      <c r="S834" t="s">
        <v>74</v>
      </c>
      <c r="T834" t="s">
        <v>15985</v>
      </c>
      <c r="U834" t="s">
        <v>15986</v>
      </c>
      <c r="V834" t="s">
        <v>15987</v>
      </c>
      <c r="W834" t="s">
        <v>15988</v>
      </c>
      <c r="X834" t="s">
        <v>15989</v>
      </c>
      <c r="Y834" t="s">
        <v>15990</v>
      </c>
      <c r="Z834" t="s">
        <v>15991</v>
      </c>
      <c r="AA834" t="s">
        <v>15992</v>
      </c>
      <c r="AB834" t="s">
        <v>15993</v>
      </c>
      <c r="AC834" t="s">
        <v>15994</v>
      </c>
      <c r="AD834" t="s">
        <v>15995</v>
      </c>
      <c r="AE834" t="s">
        <v>15996</v>
      </c>
      <c r="AF834" t="s">
        <v>74</v>
      </c>
      <c r="AG834">
        <v>153</v>
      </c>
      <c r="AH834">
        <v>21</v>
      </c>
      <c r="AI834">
        <v>22</v>
      </c>
      <c r="AJ834">
        <v>0</v>
      </c>
      <c r="AK834">
        <v>23</v>
      </c>
      <c r="AL834" t="s">
        <v>378</v>
      </c>
      <c r="AM834" t="s">
        <v>93</v>
      </c>
      <c r="AN834" t="s">
        <v>379</v>
      </c>
      <c r="AO834" t="s">
        <v>1645</v>
      </c>
      <c r="AP834" t="s">
        <v>74</v>
      </c>
      <c r="AQ834" t="s">
        <v>74</v>
      </c>
      <c r="AR834" t="s">
        <v>1646</v>
      </c>
      <c r="AS834" t="s">
        <v>1647</v>
      </c>
      <c r="AT834" t="s">
        <v>15899</v>
      </c>
      <c r="AU834">
        <v>2019</v>
      </c>
      <c r="AV834">
        <v>204</v>
      </c>
      <c r="AW834" t="s">
        <v>74</v>
      </c>
      <c r="AX834" t="s">
        <v>74</v>
      </c>
      <c r="AY834" t="s">
        <v>74</v>
      </c>
      <c r="AZ834" t="s">
        <v>74</v>
      </c>
      <c r="BA834" t="s">
        <v>74</v>
      </c>
      <c r="BB834">
        <v>172</v>
      </c>
      <c r="BC834">
        <v>186</v>
      </c>
      <c r="BD834" t="s">
        <v>74</v>
      </c>
      <c r="BE834" t="s">
        <v>15997</v>
      </c>
      <c r="BF834" t="str">
        <f>HYPERLINK("http://dx.doi.org/10.1016/j.quascirev.2018.11.030","http://dx.doi.org/10.1016/j.quascirev.2018.11.030")</f>
        <v>http://dx.doi.org/10.1016/j.quascirev.2018.11.030</v>
      </c>
      <c r="BG834" t="s">
        <v>74</v>
      </c>
      <c r="BH834" t="s">
        <v>74</v>
      </c>
      <c r="BI834">
        <v>15</v>
      </c>
      <c r="BJ834" t="s">
        <v>1142</v>
      </c>
      <c r="BK834" t="s">
        <v>102</v>
      </c>
      <c r="BL834" t="s">
        <v>1143</v>
      </c>
      <c r="BM834" t="s">
        <v>15980</v>
      </c>
      <c r="BN834" t="s">
        <v>74</v>
      </c>
      <c r="BO834" t="s">
        <v>1014</v>
      </c>
      <c r="BP834" t="s">
        <v>74</v>
      </c>
      <c r="BQ834" t="s">
        <v>74</v>
      </c>
      <c r="BR834" t="s">
        <v>107</v>
      </c>
      <c r="BS834" t="s">
        <v>15998</v>
      </c>
      <c r="BT834" t="str">
        <f>HYPERLINK("https%3A%2F%2Fwww.webofscience.com%2Fwos%2Fwoscc%2Ffull-record%2FWOS:000456353300011","View Full Record in Web of Science")</f>
        <v>View Full Record in Web of Science</v>
      </c>
    </row>
    <row r="835" spans="1:72" x14ac:dyDescent="0.15">
      <c r="A835" t="s">
        <v>72</v>
      </c>
      <c r="B835" t="s">
        <v>15999</v>
      </c>
      <c r="C835" t="s">
        <v>74</v>
      </c>
      <c r="D835" t="s">
        <v>74</v>
      </c>
      <c r="E835" t="s">
        <v>74</v>
      </c>
      <c r="F835" t="s">
        <v>16000</v>
      </c>
      <c r="G835" t="s">
        <v>74</v>
      </c>
      <c r="H835" t="s">
        <v>74</v>
      </c>
      <c r="I835" t="s">
        <v>16001</v>
      </c>
      <c r="J835" t="s">
        <v>1632</v>
      </c>
      <c r="K835" t="s">
        <v>74</v>
      </c>
      <c r="L835" t="s">
        <v>74</v>
      </c>
      <c r="M835" t="s">
        <v>78</v>
      </c>
      <c r="N835" t="s">
        <v>79</v>
      </c>
      <c r="O835" t="s">
        <v>74</v>
      </c>
      <c r="P835" t="s">
        <v>74</v>
      </c>
      <c r="Q835" t="s">
        <v>74</v>
      </c>
      <c r="R835" t="s">
        <v>74</v>
      </c>
      <c r="S835" t="s">
        <v>74</v>
      </c>
      <c r="T835" t="s">
        <v>74</v>
      </c>
      <c r="U835" t="s">
        <v>74</v>
      </c>
      <c r="V835" t="s">
        <v>16002</v>
      </c>
      <c r="W835" t="s">
        <v>16003</v>
      </c>
      <c r="X835" t="s">
        <v>16004</v>
      </c>
      <c r="Y835" t="s">
        <v>16005</v>
      </c>
      <c r="Z835" t="s">
        <v>16006</v>
      </c>
      <c r="AA835" t="s">
        <v>74</v>
      </c>
      <c r="AB835" t="s">
        <v>74</v>
      </c>
      <c r="AC835" t="s">
        <v>74</v>
      </c>
      <c r="AD835" t="s">
        <v>74</v>
      </c>
      <c r="AE835" t="s">
        <v>74</v>
      </c>
      <c r="AF835" t="s">
        <v>74</v>
      </c>
      <c r="AG835">
        <v>13</v>
      </c>
      <c r="AH835">
        <v>18</v>
      </c>
      <c r="AI835">
        <v>23</v>
      </c>
      <c r="AJ835">
        <v>0</v>
      </c>
      <c r="AK835">
        <v>18</v>
      </c>
      <c r="AL835" t="s">
        <v>378</v>
      </c>
      <c r="AM835" t="s">
        <v>93</v>
      </c>
      <c r="AN835" t="s">
        <v>379</v>
      </c>
      <c r="AO835" t="s">
        <v>1645</v>
      </c>
      <c r="AP835" t="s">
        <v>74</v>
      </c>
      <c r="AQ835" t="s">
        <v>74</v>
      </c>
      <c r="AR835" t="s">
        <v>1646</v>
      </c>
      <c r="AS835" t="s">
        <v>1647</v>
      </c>
      <c r="AT835" t="s">
        <v>15899</v>
      </c>
      <c r="AU835">
        <v>2019</v>
      </c>
      <c r="AV835">
        <v>204</v>
      </c>
      <c r="AW835" t="s">
        <v>74</v>
      </c>
      <c r="AX835" t="s">
        <v>74</v>
      </c>
      <c r="AY835" t="s">
        <v>74</v>
      </c>
      <c r="AZ835" t="s">
        <v>74</v>
      </c>
      <c r="BA835" t="s">
        <v>74</v>
      </c>
      <c r="BB835">
        <v>216</v>
      </c>
      <c r="BC835">
        <v>219</v>
      </c>
      <c r="BD835" t="s">
        <v>74</v>
      </c>
      <c r="BE835" t="s">
        <v>16007</v>
      </c>
      <c r="BF835" t="str">
        <f>HYPERLINK("http://dx.doi.org/10.1016/j.quascirev.2018.11.025","http://dx.doi.org/10.1016/j.quascirev.2018.11.025")</f>
        <v>http://dx.doi.org/10.1016/j.quascirev.2018.11.025</v>
      </c>
      <c r="BG835" t="s">
        <v>74</v>
      </c>
      <c r="BH835" t="s">
        <v>74</v>
      </c>
      <c r="BI835">
        <v>4</v>
      </c>
      <c r="BJ835" t="s">
        <v>1142</v>
      </c>
      <c r="BK835" t="s">
        <v>102</v>
      </c>
      <c r="BL835" t="s">
        <v>1143</v>
      </c>
      <c r="BM835" t="s">
        <v>15980</v>
      </c>
      <c r="BN835" t="s">
        <v>74</v>
      </c>
      <c r="BO835" t="s">
        <v>403</v>
      </c>
      <c r="BP835" t="s">
        <v>74</v>
      </c>
      <c r="BQ835" t="s">
        <v>74</v>
      </c>
      <c r="BR835" t="s">
        <v>107</v>
      </c>
      <c r="BS835" t="s">
        <v>16008</v>
      </c>
      <c r="BT835" t="str">
        <f>HYPERLINK("https%3A%2F%2Fwww.webofscience.com%2Fwos%2Fwoscc%2Ffull-record%2FWOS:000456353300014","View Full Record in Web of Science")</f>
        <v>View Full Record in Web of Science</v>
      </c>
    </row>
    <row r="836" spans="1:72" x14ac:dyDescent="0.15">
      <c r="A836" t="s">
        <v>72</v>
      </c>
      <c r="B836" t="s">
        <v>16009</v>
      </c>
      <c r="C836" t="s">
        <v>74</v>
      </c>
      <c r="D836" t="s">
        <v>74</v>
      </c>
      <c r="E836" t="s">
        <v>74</v>
      </c>
      <c r="F836" t="s">
        <v>16010</v>
      </c>
      <c r="G836" t="s">
        <v>74</v>
      </c>
      <c r="H836" t="s">
        <v>74</v>
      </c>
      <c r="I836" t="s">
        <v>16011</v>
      </c>
      <c r="J836" t="s">
        <v>621</v>
      </c>
      <c r="K836" t="s">
        <v>74</v>
      </c>
      <c r="L836" t="s">
        <v>74</v>
      </c>
      <c r="M836" t="s">
        <v>78</v>
      </c>
      <c r="N836" t="s">
        <v>79</v>
      </c>
      <c r="O836" t="s">
        <v>74</v>
      </c>
      <c r="P836" t="s">
        <v>74</v>
      </c>
      <c r="Q836" t="s">
        <v>74</v>
      </c>
      <c r="R836" t="s">
        <v>74</v>
      </c>
      <c r="S836" t="s">
        <v>74</v>
      </c>
      <c r="T836" t="s">
        <v>16012</v>
      </c>
      <c r="U836" t="s">
        <v>16013</v>
      </c>
      <c r="V836" t="s">
        <v>16014</v>
      </c>
      <c r="W836" t="s">
        <v>16015</v>
      </c>
      <c r="X836" t="s">
        <v>16016</v>
      </c>
      <c r="Y836" t="s">
        <v>16017</v>
      </c>
      <c r="Z836" t="s">
        <v>16018</v>
      </c>
      <c r="AA836" t="s">
        <v>16019</v>
      </c>
      <c r="AB836" t="s">
        <v>16020</v>
      </c>
      <c r="AC836" t="s">
        <v>16021</v>
      </c>
      <c r="AD836" t="s">
        <v>16021</v>
      </c>
      <c r="AE836" t="s">
        <v>16022</v>
      </c>
      <c r="AF836" t="s">
        <v>74</v>
      </c>
      <c r="AG836">
        <v>59</v>
      </c>
      <c r="AH836">
        <v>17</v>
      </c>
      <c r="AI836">
        <v>18</v>
      </c>
      <c r="AJ836">
        <v>0</v>
      </c>
      <c r="AK836">
        <v>7</v>
      </c>
      <c r="AL836" t="s">
        <v>634</v>
      </c>
      <c r="AM836" t="s">
        <v>635</v>
      </c>
      <c r="AN836" t="s">
        <v>636</v>
      </c>
      <c r="AO836" t="s">
        <v>637</v>
      </c>
      <c r="AP836" t="s">
        <v>638</v>
      </c>
      <c r="AQ836" t="s">
        <v>74</v>
      </c>
      <c r="AR836" t="s">
        <v>639</v>
      </c>
      <c r="AS836" t="s">
        <v>640</v>
      </c>
      <c r="AT836" t="s">
        <v>15899</v>
      </c>
      <c r="AU836">
        <v>2019</v>
      </c>
      <c r="AV836">
        <v>506</v>
      </c>
      <c r="AW836" t="s">
        <v>74</v>
      </c>
      <c r="AX836" t="s">
        <v>74</v>
      </c>
      <c r="AY836" t="s">
        <v>74</v>
      </c>
      <c r="AZ836" t="s">
        <v>74</v>
      </c>
      <c r="BA836" t="s">
        <v>74</v>
      </c>
      <c r="BB836">
        <v>123</v>
      </c>
      <c r="BC836">
        <v>133</v>
      </c>
      <c r="BD836" t="s">
        <v>74</v>
      </c>
      <c r="BE836" t="s">
        <v>16023</v>
      </c>
      <c r="BF836" t="str">
        <f>HYPERLINK("http://dx.doi.org/10.1016/j.epsl.2018.10.044","http://dx.doi.org/10.1016/j.epsl.2018.10.044")</f>
        <v>http://dx.doi.org/10.1016/j.epsl.2018.10.044</v>
      </c>
      <c r="BG836" t="s">
        <v>74</v>
      </c>
      <c r="BH836" t="s">
        <v>74</v>
      </c>
      <c r="BI836">
        <v>11</v>
      </c>
      <c r="BJ836" t="s">
        <v>643</v>
      </c>
      <c r="BK836" t="s">
        <v>102</v>
      </c>
      <c r="BL836" t="s">
        <v>643</v>
      </c>
      <c r="BM836" t="s">
        <v>16024</v>
      </c>
      <c r="BN836" t="s">
        <v>74</v>
      </c>
      <c r="BO836" t="s">
        <v>403</v>
      </c>
      <c r="BP836" t="s">
        <v>74</v>
      </c>
      <c r="BQ836" t="s">
        <v>74</v>
      </c>
      <c r="BR836" t="s">
        <v>107</v>
      </c>
      <c r="BS836" t="s">
        <v>16025</v>
      </c>
      <c r="BT836" t="str">
        <f>HYPERLINK("https%3A%2F%2Fwww.webofscience.com%2Fwos%2Fwoscc%2Ffull-record%2FWOS:000455693800013","View Full Record in Web of Science")</f>
        <v>View Full Record in Web of Science</v>
      </c>
    </row>
    <row r="837" spans="1:72" x14ac:dyDescent="0.15">
      <c r="A837" t="s">
        <v>72</v>
      </c>
      <c r="B837" t="s">
        <v>16026</v>
      </c>
      <c r="C837" t="s">
        <v>74</v>
      </c>
      <c r="D837" t="s">
        <v>74</v>
      </c>
      <c r="E837" t="s">
        <v>74</v>
      </c>
      <c r="F837" t="s">
        <v>16027</v>
      </c>
      <c r="G837" t="s">
        <v>74</v>
      </c>
      <c r="H837" t="s">
        <v>74</v>
      </c>
      <c r="I837" t="s">
        <v>16028</v>
      </c>
      <c r="J837" t="s">
        <v>621</v>
      </c>
      <c r="K837" t="s">
        <v>74</v>
      </c>
      <c r="L837" t="s">
        <v>74</v>
      </c>
      <c r="M837" t="s">
        <v>78</v>
      </c>
      <c r="N837" t="s">
        <v>79</v>
      </c>
      <c r="O837" t="s">
        <v>74</v>
      </c>
      <c r="P837" t="s">
        <v>74</v>
      </c>
      <c r="Q837" t="s">
        <v>74</v>
      </c>
      <c r="R837" t="s">
        <v>74</v>
      </c>
      <c r="S837" t="s">
        <v>74</v>
      </c>
      <c r="T837" t="s">
        <v>16029</v>
      </c>
      <c r="U837" t="s">
        <v>16030</v>
      </c>
      <c r="V837" t="s">
        <v>16031</v>
      </c>
      <c r="W837" t="s">
        <v>16032</v>
      </c>
      <c r="X837" t="s">
        <v>16033</v>
      </c>
      <c r="Y837" t="s">
        <v>16034</v>
      </c>
      <c r="Z837" t="s">
        <v>16035</v>
      </c>
      <c r="AA837" t="s">
        <v>74</v>
      </c>
      <c r="AB837" t="s">
        <v>74</v>
      </c>
      <c r="AC837" t="s">
        <v>16036</v>
      </c>
      <c r="AD837" t="s">
        <v>16037</v>
      </c>
      <c r="AE837" t="s">
        <v>16038</v>
      </c>
      <c r="AF837" t="s">
        <v>74</v>
      </c>
      <c r="AG837">
        <v>37</v>
      </c>
      <c r="AH837">
        <v>5</v>
      </c>
      <c r="AI837">
        <v>5</v>
      </c>
      <c r="AJ837">
        <v>1</v>
      </c>
      <c r="AK837">
        <v>11</v>
      </c>
      <c r="AL837" t="s">
        <v>634</v>
      </c>
      <c r="AM837" t="s">
        <v>635</v>
      </c>
      <c r="AN837" t="s">
        <v>636</v>
      </c>
      <c r="AO837" t="s">
        <v>637</v>
      </c>
      <c r="AP837" t="s">
        <v>638</v>
      </c>
      <c r="AQ837" t="s">
        <v>74</v>
      </c>
      <c r="AR837" t="s">
        <v>639</v>
      </c>
      <c r="AS837" t="s">
        <v>640</v>
      </c>
      <c r="AT837" t="s">
        <v>15899</v>
      </c>
      <c r="AU837">
        <v>2019</v>
      </c>
      <c r="AV837">
        <v>506</v>
      </c>
      <c r="AW837" t="s">
        <v>74</v>
      </c>
      <c r="AX837" t="s">
        <v>74</v>
      </c>
      <c r="AY837" t="s">
        <v>74</v>
      </c>
      <c r="AZ837" t="s">
        <v>74</v>
      </c>
      <c r="BA837" t="s">
        <v>74</v>
      </c>
      <c r="BB837">
        <v>168</v>
      </c>
      <c r="BC837">
        <v>174</v>
      </c>
      <c r="BD837" t="s">
        <v>74</v>
      </c>
      <c r="BE837" t="s">
        <v>16039</v>
      </c>
      <c r="BF837" t="str">
        <f>HYPERLINK("http://dx.doi.org/10.1016/j.epsl.2018.10.037","http://dx.doi.org/10.1016/j.epsl.2018.10.037")</f>
        <v>http://dx.doi.org/10.1016/j.epsl.2018.10.037</v>
      </c>
      <c r="BG837" t="s">
        <v>74</v>
      </c>
      <c r="BH837" t="s">
        <v>74</v>
      </c>
      <c r="BI837">
        <v>7</v>
      </c>
      <c r="BJ837" t="s">
        <v>643</v>
      </c>
      <c r="BK837" t="s">
        <v>102</v>
      </c>
      <c r="BL837" t="s">
        <v>643</v>
      </c>
      <c r="BM837" t="s">
        <v>16024</v>
      </c>
      <c r="BN837" t="s">
        <v>74</v>
      </c>
      <c r="BO837" t="s">
        <v>74</v>
      </c>
      <c r="BP837" t="s">
        <v>74</v>
      </c>
      <c r="BQ837" t="s">
        <v>74</v>
      </c>
      <c r="BR837" t="s">
        <v>107</v>
      </c>
      <c r="BS837" t="s">
        <v>16040</v>
      </c>
      <c r="BT837" t="str">
        <f>HYPERLINK("https%3A%2F%2Fwww.webofscience.com%2Fwos%2Fwoscc%2Ffull-record%2FWOS:000455693800017","View Full Record in Web of Science")</f>
        <v>View Full Record in Web of Science</v>
      </c>
    </row>
    <row r="838" spans="1:72" x14ac:dyDescent="0.15">
      <c r="A838" t="s">
        <v>72</v>
      </c>
      <c r="B838" t="s">
        <v>16041</v>
      </c>
      <c r="C838" t="s">
        <v>74</v>
      </c>
      <c r="D838" t="s">
        <v>74</v>
      </c>
      <c r="E838" t="s">
        <v>74</v>
      </c>
      <c r="F838" t="s">
        <v>16042</v>
      </c>
      <c r="G838" t="s">
        <v>74</v>
      </c>
      <c r="H838" t="s">
        <v>16043</v>
      </c>
      <c r="I838" t="s">
        <v>16044</v>
      </c>
      <c r="J838" t="s">
        <v>621</v>
      </c>
      <c r="K838" t="s">
        <v>74</v>
      </c>
      <c r="L838" t="s">
        <v>74</v>
      </c>
      <c r="M838" t="s">
        <v>78</v>
      </c>
      <c r="N838" t="s">
        <v>79</v>
      </c>
      <c r="O838" t="s">
        <v>74</v>
      </c>
      <c r="P838" t="s">
        <v>74</v>
      </c>
      <c r="Q838" t="s">
        <v>74</v>
      </c>
      <c r="R838" t="s">
        <v>74</v>
      </c>
      <c r="S838" t="s">
        <v>74</v>
      </c>
      <c r="T838" t="s">
        <v>16045</v>
      </c>
      <c r="U838" t="s">
        <v>16046</v>
      </c>
      <c r="V838" t="s">
        <v>16047</v>
      </c>
      <c r="W838" t="s">
        <v>16048</v>
      </c>
      <c r="X838" t="s">
        <v>16049</v>
      </c>
      <c r="Y838" t="s">
        <v>16050</v>
      </c>
      <c r="Z838" t="s">
        <v>16051</v>
      </c>
      <c r="AA838" t="s">
        <v>16052</v>
      </c>
      <c r="AB838" t="s">
        <v>16053</v>
      </c>
      <c r="AC838" t="s">
        <v>16054</v>
      </c>
      <c r="AD838" t="s">
        <v>16055</v>
      </c>
      <c r="AE838" t="s">
        <v>16056</v>
      </c>
      <c r="AF838" t="s">
        <v>74</v>
      </c>
      <c r="AG838">
        <v>65</v>
      </c>
      <c r="AH838">
        <v>7</v>
      </c>
      <c r="AI838">
        <v>9</v>
      </c>
      <c r="AJ838">
        <v>0</v>
      </c>
      <c r="AK838">
        <v>13</v>
      </c>
      <c r="AL838" t="s">
        <v>634</v>
      </c>
      <c r="AM838" t="s">
        <v>635</v>
      </c>
      <c r="AN838" t="s">
        <v>636</v>
      </c>
      <c r="AO838" t="s">
        <v>637</v>
      </c>
      <c r="AP838" t="s">
        <v>638</v>
      </c>
      <c r="AQ838" t="s">
        <v>74</v>
      </c>
      <c r="AR838" t="s">
        <v>639</v>
      </c>
      <c r="AS838" t="s">
        <v>640</v>
      </c>
      <c r="AT838" t="s">
        <v>15899</v>
      </c>
      <c r="AU838">
        <v>2019</v>
      </c>
      <c r="AV838">
        <v>506</v>
      </c>
      <c r="AW838" t="s">
        <v>74</v>
      </c>
      <c r="AX838" t="s">
        <v>74</v>
      </c>
      <c r="AY838" t="s">
        <v>74</v>
      </c>
      <c r="AZ838" t="s">
        <v>74</v>
      </c>
      <c r="BA838" t="s">
        <v>74</v>
      </c>
      <c r="BB838">
        <v>530</v>
      </c>
      <c r="BC838">
        <v>539</v>
      </c>
      <c r="BD838" t="s">
        <v>74</v>
      </c>
      <c r="BE838" t="s">
        <v>16057</v>
      </c>
      <c r="BF838" t="str">
        <f>HYPERLINK("http://dx.doi.org/10.1016/j.epsl.2018.11.003","http://dx.doi.org/10.1016/j.epsl.2018.11.003")</f>
        <v>http://dx.doi.org/10.1016/j.epsl.2018.11.003</v>
      </c>
      <c r="BG838" t="s">
        <v>74</v>
      </c>
      <c r="BH838" t="s">
        <v>74</v>
      </c>
      <c r="BI838">
        <v>10</v>
      </c>
      <c r="BJ838" t="s">
        <v>643</v>
      </c>
      <c r="BK838" t="s">
        <v>102</v>
      </c>
      <c r="BL838" t="s">
        <v>643</v>
      </c>
      <c r="BM838" t="s">
        <v>16024</v>
      </c>
      <c r="BN838" t="s">
        <v>74</v>
      </c>
      <c r="BO838" t="s">
        <v>1014</v>
      </c>
      <c r="BP838" t="s">
        <v>74</v>
      </c>
      <c r="BQ838" t="s">
        <v>74</v>
      </c>
      <c r="BR838" t="s">
        <v>107</v>
      </c>
      <c r="BS838" t="s">
        <v>16058</v>
      </c>
      <c r="BT838" t="str">
        <f>HYPERLINK("https%3A%2F%2Fwww.webofscience.com%2Fwos%2Fwoscc%2Ffull-record%2FWOS:000455693800049","View Full Record in Web of Science")</f>
        <v>View Full Record in Web of Science</v>
      </c>
    </row>
    <row r="839" spans="1:72" x14ac:dyDescent="0.15">
      <c r="A839" t="s">
        <v>72</v>
      </c>
      <c r="B839" t="s">
        <v>16059</v>
      </c>
      <c r="C839" t="s">
        <v>74</v>
      </c>
      <c r="D839" t="s">
        <v>74</v>
      </c>
      <c r="E839" t="s">
        <v>74</v>
      </c>
      <c r="F839" t="s">
        <v>16060</v>
      </c>
      <c r="G839" t="s">
        <v>74</v>
      </c>
      <c r="H839" t="s">
        <v>74</v>
      </c>
      <c r="I839" t="s">
        <v>16061</v>
      </c>
      <c r="J839" t="s">
        <v>884</v>
      </c>
      <c r="K839" t="s">
        <v>74</v>
      </c>
      <c r="L839" t="s">
        <v>74</v>
      </c>
      <c r="M839" t="s">
        <v>78</v>
      </c>
      <c r="N839" t="s">
        <v>79</v>
      </c>
      <c r="O839" t="s">
        <v>74</v>
      </c>
      <c r="P839" t="s">
        <v>74</v>
      </c>
      <c r="Q839" t="s">
        <v>74</v>
      </c>
      <c r="R839" t="s">
        <v>74</v>
      </c>
      <c r="S839" t="s">
        <v>74</v>
      </c>
      <c r="T839" t="s">
        <v>16062</v>
      </c>
      <c r="U839" t="s">
        <v>16063</v>
      </c>
      <c r="V839" t="s">
        <v>16064</v>
      </c>
      <c r="W839" t="s">
        <v>16065</v>
      </c>
      <c r="X839" t="s">
        <v>16066</v>
      </c>
      <c r="Y839" t="s">
        <v>16067</v>
      </c>
      <c r="Z839" t="s">
        <v>10543</v>
      </c>
      <c r="AA839" t="s">
        <v>16068</v>
      </c>
      <c r="AB839" t="s">
        <v>16069</v>
      </c>
      <c r="AC839" t="s">
        <v>16070</v>
      </c>
      <c r="AD839" t="s">
        <v>16071</v>
      </c>
      <c r="AE839" t="s">
        <v>16072</v>
      </c>
      <c r="AF839" t="s">
        <v>74</v>
      </c>
      <c r="AG839">
        <v>56</v>
      </c>
      <c r="AH839">
        <v>15</v>
      </c>
      <c r="AI839">
        <v>19</v>
      </c>
      <c r="AJ839">
        <v>5</v>
      </c>
      <c r="AK839">
        <v>29</v>
      </c>
      <c r="AL839" t="s">
        <v>821</v>
      </c>
      <c r="AM839" t="s">
        <v>822</v>
      </c>
      <c r="AN839" t="s">
        <v>823</v>
      </c>
      <c r="AO839" t="s">
        <v>897</v>
      </c>
      <c r="AP839" t="s">
        <v>74</v>
      </c>
      <c r="AQ839" t="s">
        <v>74</v>
      </c>
      <c r="AR839" t="s">
        <v>898</v>
      </c>
      <c r="AS839" t="s">
        <v>899</v>
      </c>
      <c r="AT839" t="s">
        <v>15899</v>
      </c>
      <c r="AU839">
        <v>2019</v>
      </c>
      <c r="AV839">
        <v>9</v>
      </c>
      <c r="AW839" t="s">
        <v>74</v>
      </c>
      <c r="AX839" t="s">
        <v>74</v>
      </c>
      <c r="AY839" t="s">
        <v>74</v>
      </c>
      <c r="AZ839" t="s">
        <v>74</v>
      </c>
      <c r="BA839" t="s">
        <v>74</v>
      </c>
      <c r="BB839" t="s">
        <v>74</v>
      </c>
      <c r="BC839" t="s">
        <v>74</v>
      </c>
      <c r="BD839">
        <v>3226</v>
      </c>
      <c r="BE839" t="s">
        <v>16073</v>
      </c>
      <c r="BF839" t="str">
        <f>HYPERLINK("http://dx.doi.org/10.3389/fmicb.2018.03226","http://dx.doi.org/10.3389/fmicb.2018.03226")</f>
        <v>http://dx.doi.org/10.3389/fmicb.2018.03226</v>
      </c>
      <c r="BG839" t="s">
        <v>74</v>
      </c>
      <c r="BH839" t="s">
        <v>74</v>
      </c>
      <c r="BI839">
        <v>9</v>
      </c>
      <c r="BJ839" t="s">
        <v>901</v>
      </c>
      <c r="BK839" t="s">
        <v>102</v>
      </c>
      <c r="BL839" t="s">
        <v>901</v>
      </c>
      <c r="BM839" t="s">
        <v>16074</v>
      </c>
      <c r="BN839">
        <v>30697197</v>
      </c>
      <c r="BO839" t="s">
        <v>4842</v>
      </c>
      <c r="BP839" t="s">
        <v>74</v>
      </c>
      <c r="BQ839" t="s">
        <v>74</v>
      </c>
      <c r="BR839" t="s">
        <v>107</v>
      </c>
      <c r="BS839" t="s">
        <v>16075</v>
      </c>
      <c r="BT839" t="str">
        <f>HYPERLINK("https%3A%2F%2Fwww.webofscience.com%2Fwos%2Fwoscc%2Ffull-record%2FWOS:000455706900001","View Full Record in Web of Science")</f>
        <v>View Full Record in Web of Science</v>
      </c>
    </row>
    <row r="840" spans="1:72" x14ac:dyDescent="0.15">
      <c r="A840" t="s">
        <v>72</v>
      </c>
      <c r="B840" t="s">
        <v>16076</v>
      </c>
      <c r="C840" t="s">
        <v>74</v>
      </c>
      <c r="D840" t="s">
        <v>74</v>
      </c>
      <c r="E840" t="s">
        <v>74</v>
      </c>
      <c r="F840" t="s">
        <v>16077</v>
      </c>
      <c r="G840" t="s">
        <v>74</v>
      </c>
      <c r="H840" t="s">
        <v>10971</v>
      </c>
      <c r="I840" t="s">
        <v>16078</v>
      </c>
      <c r="J840" t="s">
        <v>5578</v>
      </c>
      <c r="K840" t="s">
        <v>74</v>
      </c>
      <c r="L840" t="s">
        <v>74</v>
      </c>
      <c r="M840" t="s">
        <v>78</v>
      </c>
      <c r="N840" t="s">
        <v>79</v>
      </c>
      <c r="O840" t="s">
        <v>74</v>
      </c>
      <c r="P840" t="s">
        <v>74</v>
      </c>
      <c r="Q840" t="s">
        <v>74</v>
      </c>
      <c r="R840" t="s">
        <v>74</v>
      </c>
      <c r="S840" t="s">
        <v>74</v>
      </c>
      <c r="T840" t="s">
        <v>16079</v>
      </c>
      <c r="U840" t="s">
        <v>16080</v>
      </c>
      <c r="V840" t="s">
        <v>16081</v>
      </c>
      <c r="W840" t="s">
        <v>16082</v>
      </c>
      <c r="X840" t="s">
        <v>16083</v>
      </c>
      <c r="Y840" t="s">
        <v>16084</v>
      </c>
      <c r="Z840" t="s">
        <v>16085</v>
      </c>
      <c r="AA840" t="s">
        <v>16086</v>
      </c>
      <c r="AB840" t="s">
        <v>16087</v>
      </c>
      <c r="AC840" t="s">
        <v>16088</v>
      </c>
      <c r="AD840" t="s">
        <v>16089</v>
      </c>
      <c r="AE840" t="s">
        <v>16090</v>
      </c>
      <c r="AF840" t="s">
        <v>74</v>
      </c>
      <c r="AG840">
        <v>112</v>
      </c>
      <c r="AH840">
        <v>16</v>
      </c>
      <c r="AI840">
        <v>17</v>
      </c>
      <c r="AJ840">
        <v>0</v>
      </c>
      <c r="AK840">
        <v>14</v>
      </c>
      <c r="AL840" t="s">
        <v>634</v>
      </c>
      <c r="AM840" t="s">
        <v>635</v>
      </c>
      <c r="AN840" t="s">
        <v>636</v>
      </c>
      <c r="AO840" t="s">
        <v>5591</v>
      </c>
      <c r="AP840" t="s">
        <v>5592</v>
      </c>
      <c r="AQ840" t="s">
        <v>74</v>
      </c>
      <c r="AR840" t="s">
        <v>5578</v>
      </c>
      <c r="AS840" t="s">
        <v>5593</v>
      </c>
      <c r="AT840" t="s">
        <v>15899</v>
      </c>
      <c r="AU840">
        <v>2019</v>
      </c>
      <c r="AV840">
        <v>325</v>
      </c>
      <c r="AW840" t="s">
        <v>74</v>
      </c>
      <c r="AX840" t="s">
        <v>74</v>
      </c>
      <c r="AY840" t="s">
        <v>74</v>
      </c>
      <c r="AZ840" t="s">
        <v>74</v>
      </c>
      <c r="BA840" t="s">
        <v>74</v>
      </c>
      <c r="BB840">
        <v>103</v>
      </c>
      <c r="BC840">
        <v>118</v>
      </c>
      <c r="BD840" t="s">
        <v>74</v>
      </c>
      <c r="BE840" t="s">
        <v>16091</v>
      </c>
      <c r="BF840" t="str">
        <f>HYPERLINK("http://dx.doi.org/10.1016/j.geomorph.2018.10.006","http://dx.doi.org/10.1016/j.geomorph.2018.10.006")</f>
        <v>http://dx.doi.org/10.1016/j.geomorph.2018.10.006</v>
      </c>
      <c r="BG840" t="s">
        <v>74</v>
      </c>
      <c r="BH840" t="s">
        <v>74</v>
      </c>
      <c r="BI840">
        <v>16</v>
      </c>
      <c r="BJ840" t="s">
        <v>1142</v>
      </c>
      <c r="BK840" t="s">
        <v>102</v>
      </c>
      <c r="BL840" t="s">
        <v>1143</v>
      </c>
      <c r="BM840" t="s">
        <v>16092</v>
      </c>
      <c r="BN840" t="s">
        <v>74</v>
      </c>
      <c r="BO840" t="s">
        <v>403</v>
      </c>
      <c r="BP840" t="s">
        <v>74</v>
      </c>
      <c r="BQ840" t="s">
        <v>74</v>
      </c>
      <c r="BR840" t="s">
        <v>107</v>
      </c>
      <c r="BS840" t="s">
        <v>16093</v>
      </c>
      <c r="BT840" t="str">
        <f>HYPERLINK("https%3A%2F%2Fwww.webofscience.com%2Fwos%2Fwoscc%2Ffull-record%2FWOS:000451353800008","View Full Record in Web of Science")</f>
        <v>View Full Record in Web of Science</v>
      </c>
    </row>
    <row r="841" spans="1:72" x14ac:dyDescent="0.15">
      <c r="A841" t="s">
        <v>72</v>
      </c>
      <c r="B841" t="s">
        <v>16094</v>
      </c>
      <c r="C841" t="s">
        <v>74</v>
      </c>
      <c r="D841" t="s">
        <v>74</v>
      </c>
      <c r="E841" t="s">
        <v>74</v>
      </c>
      <c r="F841" t="s">
        <v>16095</v>
      </c>
      <c r="G841" t="s">
        <v>74</v>
      </c>
      <c r="H841" t="s">
        <v>74</v>
      </c>
      <c r="I841" t="s">
        <v>16096</v>
      </c>
      <c r="J841" t="s">
        <v>1740</v>
      </c>
      <c r="K841" t="s">
        <v>74</v>
      </c>
      <c r="L841" t="s">
        <v>74</v>
      </c>
      <c r="M841" t="s">
        <v>78</v>
      </c>
      <c r="N841" t="s">
        <v>79</v>
      </c>
      <c r="O841" t="s">
        <v>74</v>
      </c>
      <c r="P841" t="s">
        <v>74</v>
      </c>
      <c r="Q841" t="s">
        <v>74</v>
      </c>
      <c r="R841" t="s">
        <v>74</v>
      </c>
      <c r="S841" t="s">
        <v>74</v>
      </c>
      <c r="T841" t="s">
        <v>16097</v>
      </c>
      <c r="U841" t="s">
        <v>16098</v>
      </c>
      <c r="V841" t="s">
        <v>16099</v>
      </c>
      <c r="W841" t="s">
        <v>16100</v>
      </c>
      <c r="X841" t="s">
        <v>16101</v>
      </c>
      <c r="Y841" t="s">
        <v>16102</v>
      </c>
      <c r="Z841" t="s">
        <v>16103</v>
      </c>
      <c r="AA841" t="s">
        <v>16104</v>
      </c>
      <c r="AB841" t="s">
        <v>16105</v>
      </c>
      <c r="AC841" t="s">
        <v>16106</v>
      </c>
      <c r="AD841" t="s">
        <v>16107</v>
      </c>
      <c r="AE841" t="s">
        <v>16108</v>
      </c>
      <c r="AF841" t="s">
        <v>74</v>
      </c>
      <c r="AG841">
        <v>144</v>
      </c>
      <c r="AH841">
        <v>14</v>
      </c>
      <c r="AI841">
        <v>14</v>
      </c>
      <c r="AJ841">
        <v>3</v>
      </c>
      <c r="AK841">
        <v>46</v>
      </c>
      <c r="AL841" t="s">
        <v>634</v>
      </c>
      <c r="AM841" t="s">
        <v>635</v>
      </c>
      <c r="AN841" t="s">
        <v>636</v>
      </c>
      <c r="AO841" t="s">
        <v>1751</v>
      </c>
      <c r="AP841" t="s">
        <v>1752</v>
      </c>
      <c r="AQ841" t="s">
        <v>74</v>
      </c>
      <c r="AR841" t="s">
        <v>1753</v>
      </c>
      <c r="AS841" t="s">
        <v>1754</v>
      </c>
      <c r="AT841" t="s">
        <v>15899</v>
      </c>
      <c r="AU841">
        <v>2019</v>
      </c>
      <c r="AV841">
        <v>514</v>
      </c>
      <c r="AW841" t="s">
        <v>74</v>
      </c>
      <c r="AX841" t="s">
        <v>74</v>
      </c>
      <c r="AY841" t="s">
        <v>74</v>
      </c>
      <c r="AZ841" t="s">
        <v>74</v>
      </c>
      <c r="BA841" t="s">
        <v>74</v>
      </c>
      <c r="BB841">
        <v>156</v>
      </c>
      <c r="BC841">
        <v>167</v>
      </c>
      <c r="BD841" t="s">
        <v>74</v>
      </c>
      <c r="BE841" t="s">
        <v>16109</v>
      </c>
      <c r="BF841" t="str">
        <f>HYPERLINK("http://dx.doi.org/10.1016/j.palaeo.2018.10.022","http://dx.doi.org/10.1016/j.palaeo.2018.10.022")</f>
        <v>http://dx.doi.org/10.1016/j.palaeo.2018.10.022</v>
      </c>
      <c r="BG841" t="s">
        <v>74</v>
      </c>
      <c r="BH841" t="s">
        <v>74</v>
      </c>
      <c r="BI841">
        <v>12</v>
      </c>
      <c r="BJ841" t="s">
        <v>1756</v>
      </c>
      <c r="BK841" t="s">
        <v>102</v>
      </c>
      <c r="BL841" t="s">
        <v>1757</v>
      </c>
      <c r="BM841" t="s">
        <v>15919</v>
      </c>
      <c r="BN841" t="s">
        <v>74</v>
      </c>
      <c r="BO841" t="s">
        <v>74</v>
      </c>
      <c r="BP841" t="s">
        <v>74</v>
      </c>
      <c r="BQ841" t="s">
        <v>74</v>
      </c>
      <c r="BR841" t="s">
        <v>107</v>
      </c>
      <c r="BS841" t="s">
        <v>16110</v>
      </c>
      <c r="BT841" t="str">
        <f>HYPERLINK("https%3A%2F%2Fwww.webofscience.com%2Fwos%2Fwoscc%2Ffull-record%2FWOS:000456355800013","View Full Record in Web of Science")</f>
        <v>View Full Record in Web of Science</v>
      </c>
    </row>
    <row r="842" spans="1:72" x14ac:dyDescent="0.15">
      <c r="A842" t="s">
        <v>72</v>
      </c>
      <c r="B842" t="s">
        <v>16111</v>
      </c>
      <c r="C842" t="s">
        <v>74</v>
      </c>
      <c r="D842" t="s">
        <v>74</v>
      </c>
      <c r="E842" t="s">
        <v>74</v>
      </c>
      <c r="F842" t="s">
        <v>16112</v>
      </c>
      <c r="G842" t="s">
        <v>74</v>
      </c>
      <c r="H842" t="s">
        <v>74</v>
      </c>
      <c r="I842" t="s">
        <v>16113</v>
      </c>
      <c r="J842" t="s">
        <v>1829</v>
      </c>
      <c r="K842" t="s">
        <v>74</v>
      </c>
      <c r="L842" t="s">
        <v>74</v>
      </c>
      <c r="M842" t="s">
        <v>78</v>
      </c>
      <c r="N842" t="s">
        <v>79</v>
      </c>
      <c r="O842" t="s">
        <v>74</v>
      </c>
      <c r="P842" t="s">
        <v>74</v>
      </c>
      <c r="Q842" t="s">
        <v>74</v>
      </c>
      <c r="R842" t="s">
        <v>74</v>
      </c>
      <c r="S842" t="s">
        <v>74</v>
      </c>
      <c r="T842" t="s">
        <v>16114</v>
      </c>
      <c r="U842" t="s">
        <v>16115</v>
      </c>
      <c r="V842" t="s">
        <v>16116</v>
      </c>
      <c r="W842" t="s">
        <v>16117</v>
      </c>
      <c r="X842" t="s">
        <v>16118</v>
      </c>
      <c r="Y842" t="s">
        <v>16119</v>
      </c>
      <c r="Z842" t="s">
        <v>16120</v>
      </c>
      <c r="AA842" t="s">
        <v>74</v>
      </c>
      <c r="AB842" t="s">
        <v>16121</v>
      </c>
      <c r="AC842" t="s">
        <v>16122</v>
      </c>
      <c r="AD842" t="s">
        <v>12100</v>
      </c>
      <c r="AE842" t="s">
        <v>16123</v>
      </c>
      <c r="AF842" t="s">
        <v>74</v>
      </c>
      <c r="AG842">
        <v>47</v>
      </c>
      <c r="AH842">
        <v>36</v>
      </c>
      <c r="AI842">
        <v>37</v>
      </c>
      <c r="AJ842">
        <v>4</v>
      </c>
      <c r="AK842">
        <v>31</v>
      </c>
      <c r="AL842" t="s">
        <v>378</v>
      </c>
      <c r="AM842" t="s">
        <v>93</v>
      </c>
      <c r="AN842" t="s">
        <v>379</v>
      </c>
      <c r="AO842" t="s">
        <v>1842</v>
      </c>
      <c r="AP842" t="s">
        <v>1843</v>
      </c>
      <c r="AQ842" t="s">
        <v>74</v>
      </c>
      <c r="AR842" t="s">
        <v>1844</v>
      </c>
      <c r="AS842" t="s">
        <v>1845</v>
      </c>
      <c r="AT842" t="s">
        <v>15899</v>
      </c>
      <c r="AU842">
        <v>2019</v>
      </c>
      <c r="AV842">
        <v>245</v>
      </c>
      <c r="AW842" t="s">
        <v>74</v>
      </c>
      <c r="AX842" t="s">
        <v>74</v>
      </c>
      <c r="AY842" t="s">
        <v>74</v>
      </c>
      <c r="AZ842" t="s">
        <v>74</v>
      </c>
      <c r="BA842" t="s">
        <v>74</v>
      </c>
      <c r="BB842">
        <v>118</v>
      </c>
      <c r="BC842">
        <v>132</v>
      </c>
      <c r="BD842" t="s">
        <v>74</v>
      </c>
      <c r="BE842" t="s">
        <v>16124</v>
      </c>
      <c r="BF842" t="str">
        <f>HYPERLINK("http://dx.doi.org/10.1016/j.gca.2018.10.027","http://dx.doi.org/10.1016/j.gca.2018.10.027")</f>
        <v>http://dx.doi.org/10.1016/j.gca.2018.10.027</v>
      </c>
      <c r="BG842" t="s">
        <v>74</v>
      </c>
      <c r="BH842" t="s">
        <v>74</v>
      </c>
      <c r="BI842">
        <v>15</v>
      </c>
      <c r="BJ842" t="s">
        <v>643</v>
      </c>
      <c r="BK842" t="s">
        <v>102</v>
      </c>
      <c r="BL842" t="s">
        <v>643</v>
      </c>
      <c r="BM842" t="s">
        <v>16125</v>
      </c>
      <c r="BN842" t="s">
        <v>74</v>
      </c>
      <c r="BO842" t="s">
        <v>403</v>
      </c>
      <c r="BP842" t="s">
        <v>74</v>
      </c>
      <c r="BQ842" t="s">
        <v>74</v>
      </c>
      <c r="BR842" t="s">
        <v>107</v>
      </c>
      <c r="BS842" t="s">
        <v>16126</v>
      </c>
      <c r="BT842" t="str">
        <f>HYPERLINK("https%3A%2F%2Fwww.webofscience.com%2Fwos%2Fwoscc%2Ffull-record%2FWOS:000453771600007","View Full Record in Web of Science")</f>
        <v>View Full Record in Web of Science</v>
      </c>
    </row>
    <row r="843" spans="1:72" x14ac:dyDescent="0.15">
      <c r="A843" t="s">
        <v>72</v>
      </c>
      <c r="B843" t="s">
        <v>16127</v>
      </c>
      <c r="C843" t="s">
        <v>74</v>
      </c>
      <c r="D843" t="s">
        <v>74</v>
      </c>
      <c r="E843" t="s">
        <v>74</v>
      </c>
      <c r="F843" t="s">
        <v>16128</v>
      </c>
      <c r="G843" t="s">
        <v>74</v>
      </c>
      <c r="H843" t="s">
        <v>74</v>
      </c>
      <c r="I843" t="s">
        <v>16129</v>
      </c>
      <c r="J843" t="s">
        <v>1829</v>
      </c>
      <c r="K843" t="s">
        <v>74</v>
      </c>
      <c r="L843" t="s">
        <v>74</v>
      </c>
      <c r="M843" t="s">
        <v>78</v>
      </c>
      <c r="N843" t="s">
        <v>79</v>
      </c>
      <c r="O843" t="s">
        <v>74</v>
      </c>
      <c r="P843" t="s">
        <v>74</v>
      </c>
      <c r="Q843" t="s">
        <v>74</v>
      </c>
      <c r="R843" t="s">
        <v>74</v>
      </c>
      <c r="S843" t="s">
        <v>74</v>
      </c>
      <c r="T843" t="s">
        <v>16130</v>
      </c>
      <c r="U843" t="s">
        <v>16131</v>
      </c>
      <c r="V843" t="s">
        <v>16132</v>
      </c>
      <c r="W843" t="s">
        <v>16133</v>
      </c>
      <c r="X843" t="s">
        <v>16134</v>
      </c>
      <c r="Y843" t="s">
        <v>16135</v>
      </c>
      <c r="Z843" t="s">
        <v>16136</v>
      </c>
      <c r="AA843" t="s">
        <v>16137</v>
      </c>
      <c r="AB843" t="s">
        <v>16138</v>
      </c>
      <c r="AC843" t="s">
        <v>16139</v>
      </c>
      <c r="AD843" t="s">
        <v>16140</v>
      </c>
      <c r="AE843" t="s">
        <v>16141</v>
      </c>
      <c r="AF843" t="s">
        <v>74</v>
      </c>
      <c r="AG843">
        <v>84</v>
      </c>
      <c r="AH843">
        <v>20</v>
      </c>
      <c r="AI843">
        <v>20</v>
      </c>
      <c r="AJ843">
        <v>0</v>
      </c>
      <c r="AK843">
        <v>11</v>
      </c>
      <c r="AL843" t="s">
        <v>378</v>
      </c>
      <c r="AM843" t="s">
        <v>93</v>
      </c>
      <c r="AN843" t="s">
        <v>379</v>
      </c>
      <c r="AO843" t="s">
        <v>1842</v>
      </c>
      <c r="AP843" t="s">
        <v>1843</v>
      </c>
      <c r="AQ843" t="s">
        <v>74</v>
      </c>
      <c r="AR843" t="s">
        <v>1844</v>
      </c>
      <c r="AS843" t="s">
        <v>1845</v>
      </c>
      <c r="AT843" t="s">
        <v>15899</v>
      </c>
      <c r="AU843">
        <v>2019</v>
      </c>
      <c r="AV843">
        <v>245</v>
      </c>
      <c r="AW843" t="s">
        <v>74</v>
      </c>
      <c r="AX843" t="s">
        <v>74</v>
      </c>
      <c r="AY843" t="s">
        <v>74</v>
      </c>
      <c r="AZ843" t="s">
        <v>74</v>
      </c>
      <c r="BA843" t="s">
        <v>74</v>
      </c>
      <c r="BB843">
        <v>352</v>
      </c>
      <c r="BC843">
        <v>373</v>
      </c>
      <c r="BD843" t="s">
        <v>74</v>
      </c>
      <c r="BE843" t="s">
        <v>16142</v>
      </c>
      <c r="BF843" t="str">
        <f>HYPERLINK("http://dx.doi.org/10.1016/j.gca.2018.11.019","http://dx.doi.org/10.1016/j.gca.2018.11.019")</f>
        <v>http://dx.doi.org/10.1016/j.gca.2018.11.019</v>
      </c>
      <c r="BG843" t="s">
        <v>74</v>
      </c>
      <c r="BH843" t="s">
        <v>74</v>
      </c>
      <c r="BI843">
        <v>22</v>
      </c>
      <c r="BJ843" t="s">
        <v>643</v>
      </c>
      <c r="BK843" t="s">
        <v>102</v>
      </c>
      <c r="BL843" t="s">
        <v>643</v>
      </c>
      <c r="BM843" t="s">
        <v>16125</v>
      </c>
      <c r="BN843" t="s">
        <v>74</v>
      </c>
      <c r="BO843" t="s">
        <v>5573</v>
      </c>
      <c r="BP843" t="s">
        <v>74</v>
      </c>
      <c r="BQ843" t="s">
        <v>74</v>
      </c>
      <c r="BR843" t="s">
        <v>107</v>
      </c>
      <c r="BS843" t="s">
        <v>16143</v>
      </c>
      <c r="BT843" t="str">
        <f>HYPERLINK("https%3A%2F%2Fwww.webofscience.com%2Fwos%2Fwoscc%2Ffull-record%2FWOS:000453771600021","View Full Record in Web of Science")</f>
        <v>View Full Record in Web of Science</v>
      </c>
    </row>
    <row r="844" spans="1:72" x14ac:dyDescent="0.15">
      <c r="A844" t="s">
        <v>72</v>
      </c>
      <c r="B844" t="s">
        <v>16144</v>
      </c>
      <c r="C844" t="s">
        <v>74</v>
      </c>
      <c r="D844" t="s">
        <v>74</v>
      </c>
      <c r="E844" t="s">
        <v>74</v>
      </c>
      <c r="F844" t="s">
        <v>16145</v>
      </c>
      <c r="G844" t="s">
        <v>74</v>
      </c>
      <c r="H844" t="s">
        <v>74</v>
      </c>
      <c r="I844" t="s">
        <v>16146</v>
      </c>
      <c r="J844" t="s">
        <v>16147</v>
      </c>
      <c r="K844" t="s">
        <v>74</v>
      </c>
      <c r="L844" t="s">
        <v>74</v>
      </c>
      <c r="M844" t="s">
        <v>78</v>
      </c>
      <c r="N844" t="s">
        <v>79</v>
      </c>
      <c r="O844" t="s">
        <v>74</v>
      </c>
      <c r="P844" t="s">
        <v>74</v>
      </c>
      <c r="Q844" t="s">
        <v>74</v>
      </c>
      <c r="R844" t="s">
        <v>74</v>
      </c>
      <c r="S844" t="s">
        <v>74</v>
      </c>
      <c r="T844" t="s">
        <v>16148</v>
      </c>
      <c r="U844" t="s">
        <v>16149</v>
      </c>
      <c r="V844" t="s">
        <v>16150</v>
      </c>
      <c r="W844" t="s">
        <v>16151</v>
      </c>
      <c r="X844" t="s">
        <v>16152</v>
      </c>
      <c r="Y844" t="s">
        <v>16153</v>
      </c>
      <c r="Z844" t="s">
        <v>16154</v>
      </c>
      <c r="AA844" t="s">
        <v>16155</v>
      </c>
      <c r="AB844" t="s">
        <v>16156</v>
      </c>
      <c r="AC844" t="s">
        <v>16157</v>
      </c>
      <c r="AD844" t="s">
        <v>16158</v>
      </c>
      <c r="AE844" t="s">
        <v>16159</v>
      </c>
      <c r="AF844" t="s">
        <v>74</v>
      </c>
      <c r="AG844">
        <v>87</v>
      </c>
      <c r="AH844">
        <v>18</v>
      </c>
      <c r="AI844">
        <v>18</v>
      </c>
      <c r="AJ844">
        <v>3</v>
      </c>
      <c r="AK844">
        <v>119</v>
      </c>
      <c r="AL844" t="s">
        <v>306</v>
      </c>
      <c r="AM844" t="s">
        <v>93</v>
      </c>
      <c r="AN844" t="s">
        <v>307</v>
      </c>
      <c r="AO844" t="s">
        <v>16160</v>
      </c>
      <c r="AP844" t="s">
        <v>16161</v>
      </c>
      <c r="AQ844" t="s">
        <v>74</v>
      </c>
      <c r="AR844" t="s">
        <v>16162</v>
      </c>
      <c r="AS844" t="s">
        <v>16163</v>
      </c>
      <c r="AT844" t="s">
        <v>15899</v>
      </c>
      <c r="AU844">
        <v>2019</v>
      </c>
      <c r="AV844">
        <v>204</v>
      </c>
      <c r="AW844" t="s">
        <v>74</v>
      </c>
      <c r="AX844" t="s">
        <v>74</v>
      </c>
      <c r="AY844" t="s">
        <v>74</v>
      </c>
      <c r="AZ844" t="s">
        <v>74</v>
      </c>
      <c r="BA844" t="s">
        <v>74</v>
      </c>
      <c r="BB844">
        <v>170</v>
      </c>
      <c r="BC844">
        <v>181</v>
      </c>
      <c r="BD844" t="s">
        <v>74</v>
      </c>
      <c r="BE844" t="s">
        <v>16164</v>
      </c>
      <c r="BF844" t="str">
        <f>HYPERLINK("http://dx.doi.org/10.1016/j.carbpol.2018.10.010","http://dx.doi.org/10.1016/j.carbpol.2018.10.010")</f>
        <v>http://dx.doi.org/10.1016/j.carbpol.2018.10.010</v>
      </c>
      <c r="BG844" t="s">
        <v>74</v>
      </c>
      <c r="BH844" t="s">
        <v>74</v>
      </c>
      <c r="BI844">
        <v>12</v>
      </c>
      <c r="BJ844" t="s">
        <v>16165</v>
      </c>
      <c r="BK844" t="s">
        <v>102</v>
      </c>
      <c r="BL844" t="s">
        <v>16166</v>
      </c>
      <c r="BM844" t="s">
        <v>16167</v>
      </c>
      <c r="BN844">
        <v>30366529</v>
      </c>
      <c r="BO844" t="s">
        <v>74</v>
      </c>
      <c r="BP844" t="s">
        <v>74</v>
      </c>
      <c r="BQ844" t="s">
        <v>74</v>
      </c>
      <c r="BR844" t="s">
        <v>107</v>
      </c>
      <c r="BS844" t="s">
        <v>16168</v>
      </c>
      <c r="BT844" t="str">
        <f>HYPERLINK("https%3A%2F%2Fwww.webofscience.com%2Fwos%2Fwoscc%2Ffull-record%2FWOS:000448147100020","View Full Record in Web of Science")</f>
        <v>View Full Record in Web of Science</v>
      </c>
    </row>
    <row r="845" spans="1:72" x14ac:dyDescent="0.15">
      <c r="A845" t="s">
        <v>72</v>
      </c>
      <c r="B845" t="s">
        <v>16169</v>
      </c>
      <c r="C845" t="s">
        <v>74</v>
      </c>
      <c r="D845" t="s">
        <v>74</v>
      </c>
      <c r="E845" t="s">
        <v>74</v>
      </c>
      <c r="F845" t="s">
        <v>16170</v>
      </c>
      <c r="G845" t="s">
        <v>74</v>
      </c>
      <c r="H845" t="s">
        <v>74</v>
      </c>
      <c r="I845" t="s">
        <v>16171</v>
      </c>
      <c r="J845" t="s">
        <v>11829</v>
      </c>
      <c r="K845" t="s">
        <v>74</v>
      </c>
      <c r="L845" t="s">
        <v>74</v>
      </c>
      <c r="M845" t="s">
        <v>78</v>
      </c>
      <c r="N845" t="s">
        <v>79</v>
      </c>
      <c r="O845" t="s">
        <v>74</v>
      </c>
      <c r="P845" t="s">
        <v>74</v>
      </c>
      <c r="Q845" t="s">
        <v>74</v>
      </c>
      <c r="R845" t="s">
        <v>74</v>
      </c>
      <c r="S845" t="s">
        <v>74</v>
      </c>
      <c r="T845" t="s">
        <v>16172</v>
      </c>
      <c r="U845" t="s">
        <v>16173</v>
      </c>
      <c r="V845" t="s">
        <v>16174</v>
      </c>
      <c r="W845" t="s">
        <v>16175</v>
      </c>
      <c r="X845" t="s">
        <v>16176</v>
      </c>
      <c r="Y845" t="s">
        <v>16177</v>
      </c>
      <c r="Z845" t="s">
        <v>6513</v>
      </c>
      <c r="AA845" t="s">
        <v>16178</v>
      </c>
      <c r="AB845" t="s">
        <v>16179</v>
      </c>
      <c r="AC845" t="s">
        <v>16180</v>
      </c>
      <c r="AD845" t="s">
        <v>16180</v>
      </c>
      <c r="AE845" t="s">
        <v>16181</v>
      </c>
      <c r="AF845" t="s">
        <v>74</v>
      </c>
      <c r="AG845">
        <v>68</v>
      </c>
      <c r="AH845">
        <v>18</v>
      </c>
      <c r="AI845">
        <v>19</v>
      </c>
      <c r="AJ845">
        <v>9</v>
      </c>
      <c r="AK845">
        <v>91</v>
      </c>
      <c r="AL845" t="s">
        <v>7818</v>
      </c>
      <c r="AM845" t="s">
        <v>329</v>
      </c>
      <c r="AN845" t="s">
        <v>7819</v>
      </c>
      <c r="AO845" t="s">
        <v>11842</v>
      </c>
      <c r="AP845" t="s">
        <v>11843</v>
      </c>
      <c r="AQ845" t="s">
        <v>74</v>
      </c>
      <c r="AR845" t="s">
        <v>11844</v>
      </c>
      <c r="AS845" t="s">
        <v>11845</v>
      </c>
      <c r="AT845" t="s">
        <v>15899</v>
      </c>
      <c r="AU845">
        <v>2019</v>
      </c>
      <c r="AV845">
        <v>230</v>
      </c>
      <c r="AW845" t="s">
        <v>74</v>
      </c>
      <c r="AX845" t="s">
        <v>74</v>
      </c>
      <c r="AY845" t="s">
        <v>74</v>
      </c>
      <c r="AZ845" t="s">
        <v>74</v>
      </c>
      <c r="BA845" t="s">
        <v>74</v>
      </c>
      <c r="BB845">
        <v>488</v>
      </c>
      <c r="BC845">
        <v>496</v>
      </c>
      <c r="BD845" t="s">
        <v>74</v>
      </c>
      <c r="BE845" t="s">
        <v>16182</v>
      </c>
      <c r="BF845" t="str">
        <f>HYPERLINK("http://dx.doi.org/10.1016/j.jenvman.2018.09.047","http://dx.doi.org/10.1016/j.jenvman.2018.09.047")</f>
        <v>http://dx.doi.org/10.1016/j.jenvman.2018.09.047</v>
      </c>
      <c r="BG845" t="s">
        <v>74</v>
      </c>
      <c r="BH845" t="s">
        <v>74</v>
      </c>
      <c r="BI845">
        <v>9</v>
      </c>
      <c r="BJ845" t="s">
        <v>2296</v>
      </c>
      <c r="BK845" t="s">
        <v>337</v>
      </c>
      <c r="BL845" t="s">
        <v>2297</v>
      </c>
      <c r="BM845" t="s">
        <v>16183</v>
      </c>
      <c r="BN845">
        <v>30340122</v>
      </c>
      <c r="BO845" t="s">
        <v>198</v>
      </c>
      <c r="BP845" t="s">
        <v>74</v>
      </c>
      <c r="BQ845" t="s">
        <v>74</v>
      </c>
      <c r="BR845" t="s">
        <v>107</v>
      </c>
      <c r="BS845" t="s">
        <v>16184</v>
      </c>
      <c r="BT845" t="str">
        <f>HYPERLINK("https%3A%2F%2Fwww.webofscience.com%2Fwos%2Fwoscc%2Ffull-record%2FWOS:000452582600047","View Full Record in Web of Science")</f>
        <v>View Full Record in Web of Science</v>
      </c>
    </row>
    <row r="846" spans="1:72" x14ac:dyDescent="0.15">
      <c r="A846" t="s">
        <v>72</v>
      </c>
      <c r="B846" t="s">
        <v>16185</v>
      </c>
      <c r="C846" t="s">
        <v>74</v>
      </c>
      <c r="D846" t="s">
        <v>74</v>
      </c>
      <c r="E846" t="s">
        <v>74</v>
      </c>
      <c r="F846" t="s">
        <v>16186</v>
      </c>
      <c r="G846" t="s">
        <v>74</v>
      </c>
      <c r="H846" t="s">
        <v>74</v>
      </c>
      <c r="I846" t="s">
        <v>16187</v>
      </c>
      <c r="J846" t="s">
        <v>16188</v>
      </c>
      <c r="K846" t="s">
        <v>74</v>
      </c>
      <c r="L846" t="s">
        <v>74</v>
      </c>
      <c r="M846" t="s">
        <v>78</v>
      </c>
      <c r="N846" t="s">
        <v>79</v>
      </c>
      <c r="O846" t="s">
        <v>74</v>
      </c>
      <c r="P846" t="s">
        <v>74</v>
      </c>
      <c r="Q846" t="s">
        <v>74</v>
      </c>
      <c r="R846" t="s">
        <v>74</v>
      </c>
      <c r="S846" t="s">
        <v>74</v>
      </c>
      <c r="T846" t="s">
        <v>16189</v>
      </c>
      <c r="U846" t="s">
        <v>74</v>
      </c>
      <c r="V846" t="s">
        <v>16190</v>
      </c>
      <c r="W846" t="s">
        <v>16191</v>
      </c>
      <c r="X846" t="s">
        <v>16192</v>
      </c>
      <c r="Y846" t="s">
        <v>16193</v>
      </c>
      <c r="Z846" t="s">
        <v>16194</v>
      </c>
      <c r="AA846" t="s">
        <v>16195</v>
      </c>
      <c r="AB846" t="s">
        <v>16196</v>
      </c>
      <c r="AC846" t="s">
        <v>16197</v>
      </c>
      <c r="AD846" t="s">
        <v>16198</v>
      </c>
      <c r="AE846" t="s">
        <v>16199</v>
      </c>
      <c r="AF846" t="s">
        <v>74</v>
      </c>
      <c r="AG846">
        <v>74</v>
      </c>
      <c r="AH846">
        <v>11</v>
      </c>
      <c r="AI846">
        <v>11</v>
      </c>
      <c r="AJ846">
        <v>0</v>
      </c>
      <c r="AK846">
        <v>4</v>
      </c>
      <c r="AL846" t="s">
        <v>1514</v>
      </c>
      <c r="AM846" t="s">
        <v>329</v>
      </c>
      <c r="AN846" t="s">
        <v>1515</v>
      </c>
      <c r="AO846" t="s">
        <v>16200</v>
      </c>
      <c r="AP846" t="s">
        <v>74</v>
      </c>
      <c r="AQ846" t="s">
        <v>74</v>
      </c>
      <c r="AR846" t="s">
        <v>16201</v>
      </c>
      <c r="AS846" t="s">
        <v>16202</v>
      </c>
      <c r="AT846" t="s">
        <v>16203</v>
      </c>
      <c r="AU846">
        <v>2019</v>
      </c>
      <c r="AV846">
        <v>5</v>
      </c>
      <c r="AW846" t="s">
        <v>74</v>
      </c>
      <c r="AX846" t="s">
        <v>74</v>
      </c>
      <c r="AY846" t="s">
        <v>74</v>
      </c>
      <c r="AZ846" t="s">
        <v>74</v>
      </c>
      <c r="BA846" t="s">
        <v>74</v>
      </c>
      <c r="BB846" t="s">
        <v>74</v>
      </c>
      <c r="BC846" t="s">
        <v>74</v>
      </c>
      <c r="BD846">
        <v>4</v>
      </c>
      <c r="BE846" t="s">
        <v>16204</v>
      </c>
      <c r="BF846" t="str">
        <f>HYPERLINK("http://dx.doi.org/10.1186/s40851-018-0118-7","http://dx.doi.org/10.1186/s40851-018-0118-7")</f>
        <v>http://dx.doi.org/10.1186/s40851-018-0118-7</v>
      </c>
      <c r="BG846" t="s">
        <v>74</v>
      </c>
      <c r="BH846" t="s">
        <v>74</v>
      </c>
      <c r="BI846">
        <v>24</v>
      </c>
      <c r="BJ846" t="s">
        <v>1674</v>
      </c>
      <c r="BK846" t="s">
        <v>102</v>
      </c>
      <c r="BL846" t="s">
        <v>1674</v>
      </c>
      <c r="BM846" t="s">
        <v>16205</v>
      </c>
      <c r="BN846">
        <v>30656062</v>
      </c>
      <c r="BO846" t="s">
        <v>851</v>
      </c>
      <c r="BP846" t="s">
        <v>74</v>
      </c>
      <c r="BQ846" t="s">
        <v>74</v>
      </c>
      <c r="BR846" t="s">
        <v>107</v>
      </c>
      <c r="BS846" t="s">
        <v>16206</v>
      </c>
      <c r="BT846" t="str">
        <f>HYPERLINK("https%3A%2F%2Fwww.webofscience.com%2Fwos%2Fwoscc%2Ffull-record%2FWOS:000457642500002","View Full Record in Web of Science")</f>
        <v>View Full Record in Web of Science</v>
      </c>
    </row>
    <row r="847" spans="1:72" x14ac:dyDescent="0.15">
      <c r="A847" t="s">
        <v>72</v>
      </c>
      <c r="B847" t="s">
        <v>16207</v>
      </c>
      <c r="C847" t="s">
        <v>74</v>
      </c>
      <c r="D847" t="s">
        <v>74</v>
      </c>
      <c r="E847" t="s">
        <v>74</v>
      </c>
      <c r="F847" t="s">
        <v>16208</v>
      </c>
      <c r="G847" t="s">
        <v>74</v>
      </c>
      <c r="H847" t="s">
        <v>74</v>
      </c>
      <c r="I847" t="s">
        <v>16209</v>
      </c>
      <c r="J847" t="s">
        <v>1042</v>
      </c>
      <c r="K847" t="s">
        <v>74</v>
      </c>
      <c r="L847" t="s">
        <v>74</v>
      </c>
      <c r="M847" t="s">
        <v>78</v>
      </c>
      <c r="N847" t="s">
        <v>79</v>
      </c>
      <c r="O847" t="s">
        <v>74</v>
      </c>
      <c r="P847" t="s">
        <v>74</v>
      </c>
      <c r="Q847" t="s">
        <v>74</v>
      </c>
      <c r="R847" t="s">
        <v>74</v>
      </c>
      <c r="S847" t="s">
        <v>74</v>
      </c>
      <c r="T847" t="s">
        <v>74</v>
      </c>
      <c r="U847" t="s">
        <v>16210</v>
      </c>
      <c r="V847" t="s">
        <v>16211</v>
      </c>
      <c r="W847" t="s">
        <v>16212</v>
      </c>
      <c r="X847" t="s">
        <v>16213</v>
      </c>
      <c r="Y847" t="s">
        <v>16214</v>
      </c>
      <c r="Z847" t="s">
        <v>16215</v>
      </c>
      <c r="AA847" t="s">
        <v>16216</v>
      </c>
      <c r="AB847" t="s">
        <v>16217</v>
      </c>
      <c r="AC847" t="s">
        <v>16218</v>
      </c>
      <c r="AD847" t="s">
        <v>16219</v>
      </c>
      <c r="AE847" t="s">
        <v>16220</v>
      </c>
      <c r="AF847" t="s">
        <v>74</v>
      </c>
      <c r="AG847">
        <v>60</v>
      </c>
      <c r="AH847">
        <v>16</v>
      </c>
      <c r="AI847">
        <v>16</v>
      </c>
      <c r="AJ847">
        <v>0</v>
      </c>
      <c r="AK847">
        <v>7</v>
      </c>
      <c r="AL847" t="s">
        <v>868</v>
      </c>
      <c r="AM847" t="s">
        <v>869</v>
      </c>
      <c r="AN847" t="s">
        <v>870</v>
      </c>
      <c r="AO847" t="s">
        <v>1054</v>
      </c>
      <c r="AP847" t="s">
        <v>1055</v>
      </c>
      <c r="AQ847" t="s">
        <v>74</v>
      </c>
      <c r="AR847" t="s">
        <v>1056</v>
      </c>
      <c r="AS847" t="s">
        <v>1057</v>
      </c>
      <c r="AT847" t="s">
        <v>16203</v>
      </c>
      <c r="AU847">
        <v>2019</v>
      </c>
      <c r="AV847">
        <v>19</v>
      </c>
      <c r="AW847">
        <v>1</v>
      </c>
      <c r="AX847" t="s">
        <v>74</v>
      </c>
      <c r="AY847" t="s">
        <v>74</v>
      </c>
      <c r="AZ847" t="s">
        <v>74</v>
      </c>
      <c r="BA847" t="s">
        <v>74</v>
      </c>
      <c r="BB847">
        <v>473</v>
      </c>
      <c r="BC847">
        <v>497</v>
      </c>
      <c r="BD847" t="s">
        <v>74</v>
      </c>
      <c r="BE847" t="s">
        <v>16221</v>
      </c>
      <c r="BF847" t="str">
        <f>HYPERLINK("http://dx.doi.org/10.5194/acp-19-473-2019","http://dx.doi.org/10.5194/acp-19-473-2019")</f>
        <v>http://dx.doi.org/10.5194/acp-19-473-2019</v>
      </c>
      <c r="BG847" t="s">
        <v>74</v>
      </c>
      <c r="BH847" t="s">
        <v>74</v>
      </c>
      <c r="BI847">
        <v>25</v>
      </c>
      <c r="BJ847" t="s">
        <v>1060</v>
      </c>
      <c r="BK847" t="s">
        <v>102</v>
      </c>
      <c r="BL847" t="s">
        <v>338</v>
      </c>
      <c r="BM847" t="s">
        <v>16222</v>
      </c>
      <c r="BN847" t="s">
        <v>74</v>
      </c>
      <c r="BO847" t="s">
        <v>1715</v>
      </c>
      <c r="BP847" t="s">
        <v>74</v>
      </c>
      <c r="BQ847" t="s">
        <v>74</v>
      </c>
      <c r="BR847" t="s">
        <v>107</v>
      </c>
      <c r="BS847" t="s">
        <v>16223</v>
      </c>
      <c r="BT847" t="str">
        <f>HYPERLINK("https%3A%2F%2Fwww.webofscience.com%2Fwos%2Fwoscc%2Ffull-record%2FWOS:000455904800002","View Full Record in Web of Science")</f>
        <v>View Full Record in Web of Science</v>
      </c>
    </row>
    <row r="848" spans="1:72" x14ac:dyDescent="0.15">
      <c r="A848" t="s">
        <v>72</v>
      </c>
      <c r="B848" t="s">
        <v>16224</v>
      </c>
      <c r="C848" t="s">
        <v>74</v>
      </c>
      <c r="D848" t="s">
        <v>74</v>
      </c>
      <c r="E848" t="s">
        <v>74</v>
      </c>
      <c r="F848" t="s">
        <v>16225</v>
      </c>
      <c r="G848" t="s">
        <v>74</v>
      </c>
      <c r="H848" t="s">
        <v>74</v>
      </c>
      <c r="I848" t="s">
        <v>16226</v>
      </c>
      <c r="J848" t="s">
        <v>1042</v>
      </c>
      <c r="K848" t="s">
        <v>74</v>
      </c>
      <c r="L848" t="s">
        <v>74</v>
      </c>
      <c r="M848" t="s">
        <v>78</v>
      </c>
      <c r="N848" t="s">
        <v>79</v>
      </c>
      <c r="O848" t="s">
        <v>74</v>
      </c>
      <c r="P848" t="s">
        <v>74</v>
      </c>
      <c r="Q848" t="s">
        <v>74</v>
      </c>
      <c r="R848" t="s">
        <v>74</v>
      </c>
      <c r="S848" t="s">
        <v>74</v>
      </c>
      <c r="T848" t="s">
        <v>74</v>
      </c>
      <c r="U848" t="s">
        <v>16227</v>
      </c>
      <c r="V848" t="s">
        <v>16228</v>
      </c>
      <c r="W848" t="s">
        <v>16229</v>
      </c>
      <c r="X848" t="s">
        <v>16230</v>
      </c>
      <c r="Y848" t="s">
        <v>16231</v>
      </c>
      <c r="Z848" t="s">
        <v>16232</v>
      </c>
      <c r="AA848" t="s">
        <v>16233</v>
      </c>
      <c r="AB848" t="s">
        <v>16234</v>
      </c>
      <c r="AC848" t="s">
        <v>16235</v>
      </c>
      <c r="AD848" t="s">
        <v>16236</v>
      </c>
      <c r="AE848" t="s">
        <v>16237</v>
      </c>
      <c r="AF848" t="s">
        <v>74</v>
      </c>
      <c r="AG848">
        <v>92</v>
      </c>
      <c r="AH848">
        <v>13</v>
      </c>
      <c r="AI848">
        <v>13</v>
      </c>
      <c r="AJ848">
        <v>1</v>
      </c>
      <c r="AK848">
        <v>11</v>
      </c>
      <c r="AL848" t="s">
        <v>868</v>
      </c>
      <c r="AM848" t="s">
        <v>869</v>
      </c>
      <c r="AN848" t="s">
        <v>870</v>
      </c>
      <c r="AO848" t="s">
        <v>1054</v>
      </c>
      <c r="AP848" t="s">
        <v>1055</v>
      </c>
      <c r="AQ848" t="s">
        <v>74</v>
      </c>
      <c r="AR848" t="s">
        <v>1056</v>
      </c>
      <c r="AS848" t="s">
        <v>1057</v>
      </c>
      <c r="AT848" t="s">
        <v>16203</v>
      </c>
      <c r="AU848">
        <v>2019</v>
      </c>
      <c r="AV848">
        <v>19</v>
      </c>
      <c r="AW848">
        <v>1</v>
      </c>
      <c r="AX848" t="s">
        <v>74</v>
      </c>
      <c r="AY848" t="s">
        <v>74</v>
      </c>
      <c r="AZ848" t="s">
        <v>74</v>
      </c>
      <c r="BA848" t="s">
        <v>74</v>
      </c>
      <c r="BB848">
        <v>543</v>
      </c>
      <c r="BC848">
        <v>563</v>
      </c>
      <c r="BD848" t="s">
        <v>74</v>
      </c>
      <c r="BE848" t="s">
        <v>16238</v>
      </c>
      <c r="BF848" t="str">
        <f>HYPERLINK("http://dx.doi.org/10.5194/acp-19-543-2019","http://dx.doi.org/10.5194/acp-19-543-2019")</f>
        <v>http://dx.doi.org/10.5194/acp-19-543-2019</v>
      </c>
      <c r="BG848" t="s">
        <v>74</v>
      </c>
      <c r="BH848" t="s">
        <v>74</v>
      </c>
      <c r="BI848">
        <v>21</v>
      </c>
      <c r="BJ848" t="s">
        <v>1060</v>
      </c>
      <c r="BK848" t="s">
        <v>102</v>
      </c>
      <c r="BL848" t="s">
        <v>338</v>
      </c>
      <c r="BM848" t="s">
        <v>16239</v>
      </c>
      <c r="BN848">
        <v>33414817</v>
      </c>
      <c r="BO848" t="s">
        <v>1100</v>
      </c>
      <c r="BP848" t="s">
        <v>74</v>
      </c>
      <c r="BQ848" t="s">
        <v>74</v>
      </c>
      <c r="BR848" t="s">
        <v>107</v>
      </c>
      <c r="BS848" t="s">
        <v>16240</v>
      </c>
      <c r="BT848" t="str">
        <f>HYPERLINK("https%3A%2F%2Fwww.webofscience.com%2Fwos%2Fwoscc%2Ffull-record%2FWOS:000455915800001","View Full Record in Web of Science")</f>
        <v>View Full Record in Web of Science</v>
      </c>
    </row>
    <row r="849" spans="1:72" x14ac:dyDescent="0.15">
      <c r="A849" t="s">
        <v>72</v>
      </c>
      <c r="B849" t="s">
        <v>16241</v>
      </c>
      <c r="C849" t="s">
        <v>74</v>
      </c>
      <c r="D849" t="s">
        <v>74</v>
      </c>
      <c r="E849" t="s">
        <v>74</v>
      </c>
      <c r="F849" t="s">
        <v>16242</v>
      </c>
      <c r="G849" t="s">
        <v>74</v>
      </c>
      <c r="H849" t="s">
        <v>74</v>
      </c>
      <c r="I849" t="s">
        <v>16243</v>
      </c>
      <c r="J849" t="s">
        <v>7720</v>
      </c>
      <c r="K849" t="s">
        <v>74</v>
      </c>
      <c r="L849" t="s">
        <v>74</v>
      </c>
      <c r="M849" t="s">
        <v>78</v>
      </c>
      <c r="N849" t="s">
        <v>79</v>
      </c>
      <c r="O849" t="s">
        <v>74</v>
      </c>
      <c r="P849" t="s">
        <v>74</v>
      </c>
      <c r="Q849" t="s">
        <v>74</v>
      </c>
      <c r="R849" t="s">
        <v>74</v>
      </c>
      <c r="S849" t="s">
        <v>74</v>
      </c>
      <c r="T849" t="s">
        <v>74</v>
      </c>
      <c r="U849" t="s">
        <v>16244</v>
      </c>
      <c r="V849" t="s">
        <v>16245</v>
      </c>
      <c r="W849" t="s">
        <v>16246</v>
      </c>
      <c r="X849" t="s">
        <v>16247</v>
      </c>
      <c r="Y849" t="s">
        <v>16248</v>
      </c>
      <c r="Z849" t="s">
        <v>16249</v>
      </c>
      <c r="AA849" t="s">
        <v>74</v>
      </c>
      <c r="AB849" t="s">
        <v>16250</v>
      </c>
      <c r="AC849" t="s">
        <v>16251</v>
      </c>
      <c r="AD849" t="s">
        <v>16252</v>
      </c>
      <c r="AE849" t="s">
        <v>16253</v>
      </c>
      <c r="AF849" t="s">
        <v>74</v>
      </c>
      <c r="AG849">
        <v>50</v>
      </c>
      <c r="AH849">
        <v>2</v>
      </c>
      <c r="AI849">
        <v>2</v>
      </c>
      <c r="AJ849">
        <v>1</v>
      </c>
      <c r="AK849">
        <v>2</v>
      </c>
      <c r="AL849" t="s">
        <v>868</v>
      </c>
      <c r="AM849" t="s">
        <v>869</v>
      </c>
      <c r="AN849" t="s">
        <v>870</v>
      </c>
      <c r="AO849" t="s">
        <v>7732</v>
      </c>
      <c r="AP849" t="s">
        <v>7733</v>
      </c>
      <c r="AQ849" t="s">
        <v>74</v>
      </c>
      <c r="AR849" t="s">
        <v>7734</v>
      </c>
      <c r="AS849" t="s">
        <v>7735</v>
      </c>
      <c r="AT849" t="s">
        <v>16254</v>
      </c>
      <c r="AU849">
        <v>2019</v>
      </c>
      <c r="AV849">
        <v>37</v>
      </c>
      <c r="AW849">
        <v>1</v>
      </c>
      <c r="AX849" t="s">
        <v>74</v>
      </c>
      <c r="AY849" t="s">
        <v>74</v>
      </c>
      <c r="AZ849" t="s">
        <v>74</v>
      </c>
      <c r="BA849" t="s">
        <v>74</v>
      </c>
      <c r="BB849">
        <v>1</v>
      </c>
      <c r="BC849">
        <v>14</v>
      </c>
      <c r="BD849" t="s">
        <v>74</v>
      </c>
      <c r="BE849" t="s">
        <v>16255</v>
      </c>
      <c r="BF849" t="str">
        <f>HYPERLINK("http://dx.doi.org/10.5194/angeo-37-1-2019","http://dx.doi.org/10.5194/angeo-37-1-2019")</f>
        <v>http://dx.doi.org/10.5194/angeo-37-1-2019</v>
      </c>
      <c r="BG849" t="s">
        <v>74</v>
      </c>
      <c r="BH849" t="s">
        <v>74</v>
      </c>
      <c r="BI849">
        <v>14</v>
      </c>
      <c r="BJ849" t="s">
        <v>7737</v>
      </c>
      <c r="BK849" t="s">
        <v>102</v>
      </c>
      <c r="BL849" t="s">
        <v>7738</v>
      </c>
      <c r="BM849" t="s">
        <v>16256</v>
      </c>
      <c r="BN849" t="s">
        <v>74</v>
      </c>
      <c r="BO849" t="s">
        <v>135</v>
      </c>
      <c r="BP849" t="s">
        <v>74</v>
      </c>
      <c r="BQ849" t="s">
        <v>74</v>
      </c>
      <c r="BR849" t="s">
        <v>107</v>
      </c>
      <c r="BS849" t="s">
        <v>16257</v>
      </c>
      <c r="BT849" t="str">
        <f>HYPERLINK("https%3A%2F%2Fwww.webofscience.com%2Fwos%2Fwoscc%2Ffull-record%2FWOS:000455812000001","View Full Record in Web of Science")</f>
        <v>View Full Record in Web of Science</v>
      </c>
    </row>
    <row r="850" spans="1:72" x14ac:dyDescent="0.15">
      <c r="A850" t="s">
        <v>72</v>
      </c>
      <c r="B850" t="s">
        <v>16258</v>
      </c>
      <c r="C850" t="s">
        <v>74</v>
      </c>
      <c r="D850" t="s">
        <v>74</v>
      </c>
      <c r="E850" t="s">
        <v>74</v>
      </c>
      <c r="F850" t="s">
        <v>16259</v>
      </c>
      <c r="G850" t="s">
        <v>74</v>
      </c>
      <c r="H850" t="s">
        <v>74</v>
      </c>
      <c r="I850" t="s">
        <v>16260</v>
      </c>
      <c r="J850" t="s">
        <v>15484</v>
      </c>
      <c r="K850" t="s">
        <v>74</v>
      </c>
      <c r="L850" t="s">
        <v>74</v>
      </c>
      <c r="M850" t="s">
        <v>78</v>
      </c>
      <c r="N850" t="s">
        <v>79</v>
      </c>
      <c r="O850" t="s">
        <v>74</v>
      </c>
      <c r="P850" t="s">
        <v>74</v>
      </c>
      <c r="Q850" t="s">
        <v>74</v>
      </c>
      <c r="R850" t="s">
        <v>74</v>
      </c>
      <c r="S850" t="s">
        <v>74</v>
      </c>
      <c r="T850" t="s">
        <v>16261</v>
      </c>
      <c r="U850" t="s">
        <v>16262</v>
      </c>
      <c r="V850" t="s">
        <v>16263</v>
      </c>
      <c r="W850" t="s">
        <v>16264</v>
      </c>
      <c r="X850" t="s">
        <v>16265</v>
      </c>
      <c r="Y850" t="s">
        <v>16266</v>
      </c>
      <c r="Z850" t="s">
        <v>16267</v>
      </c>
      <c r="AA850" t="s">
        <v>16268</v>
      </c>
      <c r="AB850" t="s">
        <v>16269</v>
      </c>
      <c r="AC850" t="s">
        <v>16270</v>
      </c>
      <c r="AD850" t="s">
        <v>16271</v>
      </c>
      <c r="AE850" t="s">
        <v>16272</v>
      </c>
      <c r="AF850" t="s">
        <v>74</v>
      </c>
      <c r="AG850">
        <v>27</v>
      </c>
      <c r="AH850">
        <v>8</v>
      </c>
      <c r="AI850">
        <v>8</v>
      </c>
      <c r="AJ850">
        <v>0</v>
      </c>
      <c r="AK850">
        <v>5</v>
      </c>
      <c r="AL850" t="s">
        <v>15497</v>
      </c>
      <c r="AM850" t="s">
        <v>329</v>
      </c>
      <c r="AN850" t="s">
        <v>9148</v>
      </c>
      <c r="AO850" t="s">
        <v>15498</v>
      </c>
      <c r="AP850" t="s">
        <v>74</v>
      </c>
      <c r="AQ850" t="s">
        <v>74</v>
      </c>
      <c r="AR850" t="s">
        <v>15499</v>
      </c>
      <c r="AS850" t="s">
        <v>15500</v>
      </c>
      <c r="AT850" t="s">
        <v>16254</v>
      </c>
      <c r="AU850">
        <v>2019</v>
      </c>
      <c r="AV850">
        <v>71</v>
      </c>
      <c r="AW850" t="s">
        <v>74</v>
      </c>
      <c r="AX850" t="s">
        <v>74</v>
      </c>
      <c r="AY850" t="s">
        <v>74</v>
      </c>
      <c r="AZ850" t="s">
        <v>74</v>
      </c>
      <c r="BA850" t="s">
        <v>74</v>
      </c>
      <c r="BB850" t="s">
        <v>74</v>
      </c>
      <c r="BC850" t="s">
        <v>74</v>
      </c>
      <c r="BD850">
        <v>3</v>
      </c>
      <c r="BE850" t="s">
        <v>16273</v>
      </c>
      <c r="BF850" t="str">
        <f>HYPERLINK("http://dx.doi.org/10.1186/s40623-019-0984-z","http://dx.doi.org/10.1186/s40623-019-0984-z")</f>
        <v>http://dx.doi.org/10.1186/s40623-019-0984-z</v>
      </c>
      <c r="BG850" t="s">
        <v>74</v>
      </c>
      <c r="BH850" t="s">
        <v>74</v>
      </c>
      <c r="BI850">
        <v>10</v>
      </c>
      <c r="BJ850" t="s">
        <v>922</v>
      </c>
      <c r="BK850" t="s">
        <v>102</v>
      </c>
      <c r="BL850" t="s">
        <v>923</v>
      </c>
      <c r="BM850" t="s">
        <v>16274</v>
      </c>
      <c r="BN850" t="s">
        <v>74</v>
      </c>
      <c r="BO850" t="s">
        <v>2343</v>
      </c>
      <c r="BP850" t="s">
        <v>74</v>
      </c>
      <c r="BQ850" t="s">
        <v>74</v>
      </c>
      <c r="BR850" t="s">
        <v>107</v>
      </c>
      <c r="BS850" t="s">
        <v>16275</v>
      </c>
      <c r="BT850" t="str">
        <f>HYPERLINK("https%3A%2F%2Fwww.webofscience.com%2Fwos%2Fwoscc%2Ffull-record%2FWOS:000455502900001","View Full Record in Web of Science")</f>
        <v>View Full Record in Web of Science</v>
      </c>
    </row>
    <row r="851" spans="1:72" x14ac:dyDescent="0.15">
      <c r="A851" t="s">
        <v>72</v>
      </c>
      <c r="B851" t="s">
        <v>16276</v>
      </c>
      <c r="C851" t="s">
        <v>74</v>
      </c>
      <c r="D851" t="s">
        <v>74</v>
      </c>
      <c r="E851" t="s">
        <v>74</v>
      </c>
      <c r="F851" t="s">
        <v>16277</v>
      </c>
      <c r="G851" t="s">
        <v>74</v>
      </c>
      <c r="H851" t="s">
        <v>74</v>
      </c>
      <c r="I851" t="s">
        <v>16278</v>
      </c>
      <c r="J851" t="s">
        <v>1654</v>
      </c>
      <c r="K851" t="s">
        <v>74</v>
      </c>
      <c r="L851" t="s">
        <v>74</v>
      </c>
      <c r="M851" t="s">
        <v>78</v>
      </c>
      <c r="N851" t="s">
        <v>79</v>
      </c>
      <c r="O851" t="s">
        <v>74</v>
      </c>
      <c r="P851" t="s">
        <v>74</v>
      </c>
      <c r="Q851" t="s">
        <v>74</v>
      </c>
      <c r="R851" t="s">
        <v>74</v>
      </c>
      <c r="S851" t="s">
        <v>74</v>
      </c>
      <c r="T851" t="s">
        <v>16279</v>
      </c>
      <c r="U851" t="s">
        <v>16280</v>
      </c>
      <c r="V851" t="s">
        <v>16281</v>
      </c>
      <c r="W851" t="s">
        <v>16282</v>
      </c>
      <c r="X851" t="s">
        <v>16283</v>
      </c>
      <c r="Y851" t="s">
        <v>16284</v>
      </c>
      <c r="Z851" t="s">
        <v>16285</v>
      </c>
      <c r="AA851" t="s">
        <v>74</v>
      </c>
      <c r="AB851" t="s">
        <v>74</v>
      </c>
      <c r="AC851" t="s">
        <v>16286</v>
      </c>
      <c r="AD851" t="s">
        <v>16287</v>
      </c>
      <c r="AE851" t="s">
        <v>16288</v>
      </c>
      <c r="AF851" t="s">
        <v>74</v>
      </c>
      <c r="AG851">
        <v>160</v>
      </c>
      <c r="AH851">
        <v>11</v>
      </c>
      <c r="AI851">
        <v>11</v>
      </c>
      <c r="AJ851">
        <v>0</v>
      </c>
      <c r="AK851">
        <v>3</v>
      </c>
      <c r="AL851" t="s">
        <v>1667</v>
      </c>
      <c r="AM851" t="s">
        <v>1668</v>
      </c>
      <c r="AN851" t="s">
        <v>1669</v>
      </c>
      <c r="AO851" t="s">
        <v>1670</v>
      </c>
      <c r="AP851" t="s">
        <v>1671</v>
      </c>
      <c r="AQ851" t="s">
        <v>74</v>
      </c>
      <c r="AR851" t="s">
        <v>1654</v>
      </c>
      <c r="AS851" t="s">
        <v>1672</v>
      </c>
      <c r="AT851" t="s">
        <v>16289</v>
      </c>
      <c r="AU851">
        <v>2019</v>
      </c>
      <c r="AV851">
        <v>4544</v>
      </c>
      <c r="AW851">
        <v>1</v>
      </c>
      <c r="AX851" t="s">
        <v>74</v>
      </c>
      <c r="AY851" t="s">
        <v>74</v>
      </c>
      <c r="AZ851" t="s">
        <v>74</v>
      </c>
      <c r="BA851" t="s">
        <v>74</v>
      </c>
      <c r="BB851">
        <v>41</v>
      </c>
      <c r="BC851">
        <v>78</v>
      </c>
      <c r="BD851" t="s">
        <v>74</v>
      </c>
      <c r="BE851" t="s">
        <v>16290</v>
      </c>
      <c r="BF851" t="str">
        <f>HYPERLINK("http://dx.doi.org/10.11646/zootaxa.4544.1.2","http://dx.doi.org/10.11646/zootaxa.4544.1.2")</f>
        <v>http://dx.doi.org/10.11646/zootaxa.4544.1.2</v>
      </c>
      <c r="BG851" t="s">
        <v>74</v>
      </c>
      <c r="BH851" t="s">
        <v>74</v>
      </c>
      <c r="BI851">
        <v>38</v>
      </c>
      <c r="BJ851" t="s">
        <v>1674</v>
      </c>
      <c r="BK851" t="s">
        <v>102</v>
      </c>
      <c r="BL851" t="s">
        <v>1674</v>
      </c>
      <c r="BM851" t="s">
        <v>16291</v>
      </c>
      <c r="BN851">
        <v>30647273</v>
      </c>
      <c r="BO851" t="s">
        <v>74</v>
      </c>
      <c r="BP851" t="s">
        <v>74</v>
      </c>
      <c r="BQ851" t="s">
        <v>74</v>
      </c>
      <c r="BR851" t="s">
        <v>107</v>
      </c>
      <c r="BS851" t="s">
        <v>16292</v>
      </c>
      <c r="BT851" t="str">
        <f>HYPERLINK("https%3A%2F%2Fwww.webofscience.com%2Fwos%2Fwoscc%2Ffull-record%2FWOS:000455200500002","View Full Record in Web of Science")</f>
        <v>View Full Record in Web of Science</v>
      </c>
    </row>
    <row r="852" spans="1:72" x14ac:dyDescent="0.15">
      <c r="A852" t="s">
        <v>72</v>
      </c>
      <c r="B852" t="s">
        <v>16293</v>
      </c>
      <c r="C852" t="s">
        <v>74</v>
      </c>
      <c r="D852" t="s">
        <v>74</v>
      </c>
      <c r="E852" t="s">
        <v>74</v>
      </c>
      <c r="F852" t="s">
        <v>16294</v>
      </c>
      <c r="G852" t="s">
        <v>74</v>
      </c>
      <c r="H852" t="s">
        <v>74</v>
      </c>
      <c r="I852" t="s">
        <v>16295</v>
      </c>
      <c r="J852" t="s">
        <v>16296</v>
      </c>
      <c r="K852" t="s">
        <v>74</v>
      </c>
      <c r="L852" t="s">
        <v>74</v>
      </c>
      <c r="M852" t="s">
        <v>78</v>
      </c>
      <c r="N852" t="s">
        <v>79</v>
      </c>
      <c r="O852" t="s">
        <v>74</v>
      </c>
      <c r="P852" t="s">
        <v>74</v>
      </c>
      <c r="Q852" t="s">
        <v>74</v>
      </c>
      <c r="R852" t="s">
        <v>74</v>
      </c>
      <c r="S852" t="s">
        <v>74</v>
      </c>
      <c r="T852" t="s">
        <v>16297</v>
      </c>
      <c r="U852" t="s">
        <v>16298</v>
      </c>
      <c r="V852" t="s">
        <v>16299</v>
      </c>
      <c r="W852" t="s">
        <v>16300</v>
      </c>
      <c r="X852" t="s">
        <v>16301</v>
      </c>
      <c r="Y852" t="s">
        <v>16302</v>
      </c>
      <c r="Z852" t="s">
        <v>16303</v>
      </c>
      <c r="AA852" t="s">
        <v>16304</v>
      </c>
      <c r="AB852" t="s">
        <v>16305</v>
      </c>
      <c r="AC852" t="s">
        <v>16306</v>
      </c>
      <c r="AD852" t="s">
        <v>16307</v>
      </c>
      <c r="AE852" t="s">
        <v>16308</v>
      </c>
      <c r="AF852" t="s">
        <v>74</v>
      </c>
      <c r="AG852">
        <v>58</v>
      </c>
      <c r="AH852">
        <v>16</v>
      </c>
      <c r="AI852">
        <v>19</v>
      </c>
      <c r="AJ852">
        <v>1</v>
      </c>
      <c r="AK852">
        <v>18</v>
      </c>
      <c r="AL852" t="s">
        <v>1514</v>
      </c>
      <c r="AM852" t="s">
        <v>329</v>
      </c>
      <c r="AN852" t="s">
        <v>1515</v>
      </c>
      <c r="AO852" t="s">
        <v>16309</v>
      </c>
      <c r="AP852" t="s">
        <v>74</v>
      </c>
      <c r="AQ852" t="s">
        <v>74</v>
      </c>
      <c r="AR852" t="s">
        <v>16310</v>
      </c>
      <c r="AS852" t="s">
        <v>16311</v>
      </c>
      <c r="AT852" t="s">
        <v>16289</v>
      </c>
      <c r="AU852">
        <v>2019</v>
      </c>
      <c r="AV852">
        <v>19</v>
      </c>
      <c r="AW852" t="s">
        <v>74</v>
      </c>
      <c r="AX852" t="s">
        <v>74</v>
      </c>
      <c r="AY852" t="s">
        <v>74</v>
      </c>
      <c r="AZ852" t="s">
        <v>74</v>
      </c>
      <c r="BA852" t="s">
        <v>74</v>
      </c>
      <c r="BB852" t="s">
        <v>74</v>
      </c>
      <c r="BC852" t="s">
        <v>74</v>
      </c>
      <c r="BD852">
        <v>13</v>
      </c>
      <c r="BE852" t="s">
        <v>16312</v>
      </c>
      <c r="BF852" t="str">
        <f>HYPERLINK("http://dx.doi.org/10.1186/s12862-019-1345-z","http://dx.doi.org/10.1186/s12862-019-1345-z")</f>
        <v>http://dx.doi.org/10.1186/s12862-019-1345-z</v>
      </c>
      <c r="BG852" t="s">
        <v>74</v>
      </c>
      <c r="BH852" t="s">
        <v>74</v>
      </c>
      <c r="BI852">
        <v>14</v>
      </c>
      <c r="BJ852" t="s">
        <v>16313</v>
      </c>
      <c r="BK852" t="s">
        <v>102</v>
      </c>
      <c r="BL852" t="s">
        <v>16313</v>
      </c>
      <c r="BM852" t="s">
        <v>16314</v>
      </c>
      <c r="BN852">
        <v>30630407</v>
      </c>
      <c r="BO852" t="s">
        <v>851</v>
      </c>
      <c r="BP852" t="s">
        <v>74</v>
      </c>
      <c r="BQ852" t="s">
        <v>74</v>
      </c>
      <c r="BR852" t="s">
        <v>107</v>
      </c>
      <c r="BS852" t="s">
        <v>16315</v>
      </c>
      <c r="BT852" t="str">
        <f>HYPERLINK("https%3A%2F%2Fwww.webofscience.com%2Fwos%2Fwoscc%2Ffull-record%2FWOS:000455462900002","View Full Record in Web of Science")</f>
        <v>View Full Record in Web of Science</v>
      </c>
    </row>
    <row r="853" spans="1:72" x14ac:dyDescent="0.15">
      <c r="A853" t="s">
        <v>72</v>
      </c>
      <c r="B853" t="s">
        <v>16316</v>
      </c>
      <c r="C853" t="s">
        <v>74</v>
      </c>
      <c r="D853" t="s">
        <v>74</v>
      </c>
      <c r="E853" t="s">
        <v>74</v>
      </c>
      <c r="F853" t="s">
        <v>16317</v>
      </c>
      <c r="G853" t="s">
        <v>74</v>
      </c>
      <c r="H853" t="s">
        <v>74</v>
      </c>
      <c r="I853" t="s">
        <v>16318</v>
      </c>
      <c r="J853" t="s">
        <v>6447</v>
      </c>
      <c r="K853" t="s">
        <v>74</v>
      </c>
      <c r="L853" t="s">
        <v>74</v>
      </c>
      <c r="M853" t="s">
        <v>78</v>
      </c>
      <c r="N853" t="s">
        <v>79</v>
      </c>
      <c r="O853" t="s">
        <v>74</v>
      </c>
      <c r="P853" t="s">
        <v>74</v>
      </c>
      <c r="Q853" t="s">
        <v>74</v>
      </c>
      <c r="R853" t="s">
        <v>74</v>
      </c>
      <c r="S853" t="s">
        <v>74</v>
      </c>
      <c r="T853" t="s">
        <v>16319</v>
      </c>
      <c r="U853" t="s">
        <v>16320</v>
      </c>
      <c r="V853" t="s">
        <v>16321</v>
      </c>
      <c r="W853" t="s">
        <v>16322</v>
      </c>
      <c r="X853" t="s">
        <v>16323</v>
      </c>
      <c r="Y853" t="s">
        <v>16324</v>
      </c>
      <c r="Z853" t="s">
        <v>16325</v>
      </c>
      <c r="AA853" t="s">
        <v>16326</v>
      </c>
      <c r="AB853" t="s">
        <v>16327</v>
      </c>
      <c r="AC853" t="s">
        <v>16328</v>
      </c>
      <c r="AD853" t="s">
        <v>16329</v>
      </c>
      <c r="AE853" t="s">
        <v>16330</v>
      </c>
      <c r="AF853" t="s">
        <v>74</v>
      </c>
      <c r="AG853">
        <v>36</v>
      </c>
      <c r="AH853">
        <v>2</v>
      </c>
      <c r="AI853">
        <v>3</v>
      </c>
      <c r="AJ853">
        <v>0</v>
      </c>
      <c r="AK853">
        <v>5</v>
      </c>
      <c r="AL853" t="s">
        <v>2960</v>
      </c>
      <c r="AM853" t="s">
        <v>607</v>
      </c>
      <c r="AN853" t="s">
        <v>4525</v>
      </c>
      <c r="AO853" t="s">
        <v>6459</v>
      </c>
      <c r="AP853" t="s">
        <v>6460</v>
      </c>
      <c r="AQ853" t="s">
        <v>74</v>
      </c>
      <c r="AR853" t="s">
        <v>6461</v>
      </c>
      <c r="AS853" t="s">
        <v>6462</v>
      </c>
      <c r="AT853" t="s">
        <v>16289</v>
      </c>
      <c r="AU853">
        <v>2019</v>
      </c>
      <c r="AV853">
        <v>858</v>
      </c>
      <c r="AW853" t="s">
        <v>74</v>
      </c>
      <c r="AX853" t="s">
        <v>74</v>
      </c>
      <c r="AY853" t="s">
        <v>74</v>
      </c>
      <c r="AZ853" t="s">
        <v>74</v>
      </c>
      <c r="BA853" t="s">
        <v>74</v>
      </c>
      <c r="BB853">
        <v>832</v>
      </c>
      <c r="BC853">
        <v>851</v>
      </c>
      <c r="BD853" t="s">
        <v>74</v>
      </c>
      <c r="BE853" t="s">
        <v>16331</v>
      </c>
      <c r="BF853" t="str">
        <f>HYPERLINK("http://dx.doi.org/10.1017/jfm.2018.798","http://dx.doi.org/10.1017/jfm.2018.798")</f>
        <v>http://dx.doi.org/10.1017/jfm.2018.798</v>
      </c>
      <c r="BG853" t="s">
        <v>74</v>
      </c>
      <c r="BH853" t="s">
        <v>74</v>
      </c>
      <c r="BI853">
        <v>20</v>
      </c>
      <c r="BJ853" t="s">
        <v>6465</v>
      </c>
      <c r="BK853" t="s">
        <v>102</v>
      </c>
      <c r="BL853" t="s">
        <v>6466</v>
      </c>
      <c r="BM853" t="s">
        <v>16332</v>
      </c>
      <c r="BN853" t="s">
        <v>74</v>
      </c>
      <c r="BO853" t="s">
        <v>74</v>
      </c>
      <c r="BP853" t="s">
        <v>74</v>
      </c>
      <c r="BQ853" t="s">
        <v>74</v>
      </c>
      <c r="BR853" t="s">
        <v>107</v>
      </c>
      <c r="BS853" t="s">
        <v>16333</v>
      </c>
      <c r="BT853" t="str">
        <f>HYPERLINK("https%3A%2F%2Fwww.webofscience.com%2Fwos%2Fwoscc%2Ffull-record%2FWOS:000526777100031","View Full Record in Web of Science")</f>
        <v>View Full Record in Web of Science</v>
      </c>
    </row>
    <row r="854" spans="1:72" x14ac:dyDescent="0.15">
      <c r="A854" t="s">
        <v>72</v>
      </c>
      <c r="B854" t="s">
        <v>16334</v>
      </c>
      <c r="C854" t="s">
        <v>74</v>
      </c>
      <c r="D854" t="s">
        <v>74</v>
      </c>
      <c r="E854" t="s">
        <v>74</v>
      </c>
      <c r="F854" t="s">
        <v>16335</v>
      </c>
      <c r="G854" t="s">
        <v>74</v>
      </c>
      <c r="H854" t="s">
        <v>74</v>
      </c>
      <c r="I854" t="s">
        <v>16336</v>
      </c>
      <c r="J854" t="s">
        <v>1125</v>
      </c>
      <c r="K854" t="s">
        <v>74</v>
      </c>
      <c r="L854" t="s">
        <v>74</v>
      </c>
      <c r="M854" t="s">
        <v>78</v>
      </c>
      <c r="N854" t="s">
        <v>79</v>
      </c>
      <c r="O854" t="s">
        <v>74</v>
      </c>
      <c r="P854" t="s">
        <v>74</v>
      </c>
      <c r="Q854" t="s">
        <v>74</v>
      </c>
      <c r="R854" t="s">
        <v>74</v>
      </c>
      <c r="S854" t="s">
        <v>74</v>
      </c>
      <c r="T854" t="s">
        <v>74</v>
      </c>
      <c r="U854" t="s">
        <v>16337</v>
      </c>
      <c r="V854" t="s">
        <v>16338</v>
      </c>
      <c r="W854" t="s">
        <v>16339</v>
      </c>
      <c r="X854" t="s">
        <v>16340</v>
      </c>
      <c r="Y854" t="s">
        <v>16341</v>
      </c>
      <c r="Z854" t="s">
        <v>16342</v>
      </c>
      <c r="AA854" t="s">
        <v>16343</v>
      </c>
      <c r="AB854" t="s">
        <v>16344</v>
      </c>
      <c r="AC854" t="s">
        <v>16345</v>
      </c>
      <c r="AD854" t="s">
        <v>16346</v>
      </c>
      <c r="AE854" t="s">
        <v>16347</v>
      </c>
      <c r="AF854" t="s">
        <v>74</v>
      </c>
      <c r="AG854">
        <v>29</v>
      </c>
      <c r="AH854">
        <v>40</v>
      </c>
      <c r="AI854">
        <v>42</v>
      </c>
      <c r="AJ854">
        <v>2</v>
      </c>
      <c r="AK854">
        <v>11</v>
      </c>
      <c r="AL854" t="s">
        <v>868</v>
      </c>
      <c r="AM854" t="s">
        <v>869</v>
      </c>
      <c r="AN854" t="s">
        <v>870</v>
      </c>
      <c r="AO854" t="s">
        <v>1137</v>
      </c>
      <c r="AP854" t="s">
        <v>1138</v>
      </c>
      <c r="AQ854" t="s">
        <v>74</v>
      </c>
      <c r="AR854" t="s">
        <v>1125</v>
      </c>
      <c r="AS854" t="s">
        <v>1139</v>
      </c>
      <c r="AT854" t="s">
        <v>16348</v>
      </c>
      <c r="AU854">
        <v>2019</v>
      </c>
      <c r="AV854">
        <v>13</v>
      </c>
      <c r="AW854">
        <v>1</v>
      </c>
      <c r="AX854" t="s">
        <v>74</v>
      </c>
      <c r="AY854" t="s">
        <v>74</v>
      </c>
      <c r="AZ854" t="s">
        <v>74</v>
      </c>
      <c r="BA854" t="s">
        <v>74</v>
      </c>
      <c r="BB854">
        <v>41</v>
      </c>
      <c r="BC854">
        <v>48</v>
      </c>
      <c r="BD854" t="s">
        <v>74</v>
      </c>
      <c r="BE854" t="s">
        <v>16349</v>
      </c>
      <c r="BF854" t="str">
        <f>HYPERLINK("http://dx.doi.org/10.5194/tc-13-41-2019","http://dx.doi.org/10.5194/tc-13-41-2019")</f>
        <v>http://dx.doi.org/10.5194/tc-13-41-2019</v>
      </c>
      <c r="BG854" t="s">
        <v>74</v>
      </c>
      <c r="BH854" t="s">
        <v>74</v>
      </c>
      <c r="BI854">
        <v>8</v>
      </c>
      <c r="BJ854" t="s">
        <v>1142</v>
      </c>
      <c r="BK854" t="s">
        <v>102</v>
      </c>
      <c r="BL854" t="s">
        <v>1143</v>
      </c>
      <c r="BM854" t="s">
        <v>16350</v>
      </c>
      <c r="BN854" t="s">
        <v>74</v>
      </c>
      <c r="BO854" t="s">
        <v>3241</v>
      </c>
      <c r="BP854" t="s">
        <v>74</v>
      </c>
      <c r="BQ854" t="s">
        <v>74</v>
      </c>
      <c r="BR854" t="s">
        <v>107</v>
      </c>
      <c r="BS854" t="s">
        <v>16351</v>
      </c>
      <c r="BT854" t="str">
        <f>HYPERLINK("https%3A%2F%2Fwww.webofscience.com%2Fwos%2Fwoscc%2Ffull-record%2FWOS:000455615600001","View Full Record in Web of Science")</f>
        <v>View Full Record in Web of Science</v>
      </c>
    </row>
    <row r="855" spans="1:72" x14ac:dyDescent="0.15">
      <c r="A855" t="s">
        <v>72</v>
      </c>
      <c r="B855" t="s">
        <v>16352</v>
      </c>
      <c r="C855" t="s">
        <v>74</v>
      </c>
      <c r="D855" t="s">
        <v>74</v>
      </c>
      <c r="E855" t="s">
        <v>74</v>
      </c>
      <c r="F855" t="s">
        <v>16353</v>
      </c>
      <c r="G855" t="s">
        <v>74</v>
      </c>
      <c r="H855" t="s">
        <v>74</v>
      </c>
      <c r="I855" t="s">
        <v>16354</v>
      </c>
      <c r="J855" t="s">
        <v>2511</v>
      </c>
      <c r="K855" t="s">
        <v>74</v>
      </c>
      <c r="L855" t="s">
        <v>74</v>
      </c>
      <c r="M855" t="s">
        <v>78</v>
      </c>
      <c r="N855" t="s">
        <v>79</v>
      </c>
      <c r="O855" t="s">
        <v>74</v>
      </c>
      <c r="P855" t="s">
        <v>74</v>
      </c>
      <c r="Q855" t="s">
        <v>74</v>
      </c>
      <c r="R855" t="s">
        <v>74</v>
      </c>
      <c r="S855" t="s">
        <v>74</v>
      </c>
      <c r="T855" t="s">
        <v>74</v>
      </c>
      <c r="U855" t="s">
        <v>16355</v>
      </c>
      <c r="V855" t="s">
        <v>16356</v>
      </c>
      <c r="W855" t="s">
        <v>16357</v>
      </c>
      <c r="X855" t="s">
        <v>16358</v>
      </c>
      <c r="Y855" t="s">
        <v>16359</v>
      </c>
      <c r="Z855" t="s">
        <v>16360</v>
      </c>
      <c r="AA855" t="s">
        <v>16361</v>
      </c>
      <c r="AB855" t="s">
        <v>16362</v>
      </c>
      <c r="AC855" t="s">
        <v>16363</v>
      </c>
      <c r="AD855" t="s">
        <v>16364</v>
      </c>
      <c r="AE855" t="s">
        <v>16365</v>
      </c>
      <c r="AF855" t="s">
        <v>74</v>
      </c>
      <c r="AG855">
        <v>99</v>
      </c>
      <c r="AH855">
        <v>11</v>
      </c>
      <c r="AI855">
        <v>11</v>
      </c>
      <c r="AJ855">
        <v>1</v>
      </c>
      <c r="AK855">
        <v>19</v>
      </c>
      <c r="AL855" t="s">
        <v>2523</v>
      </c>
      <c r="AM855" t="s">
        <v>2524</v>
      </c>
      <c r="AN855" t="s">
        <v>2525</v>
      </c>
      <c r="AO855" t="s">
        <v>2526</v>
      </c>
      <c r="AP855" t="s">
        <v>74</v>
      </c>
      <c r="AQ855" t="s">
        <v>74</v>
      </c>
      <c r="AR855" t="s">
        <v>2511</v>
      </c>
      <c r="AS855" t="s">
        <v>2527</v>
      </c>
      <c r="AT855" t="s">
        <v>16348</v>
      </c>
      <c r="AU855">
        <v>2019</v>
      </c>
      <c r="AV855">
        <v>14</v>
      </c>
      <c r="AW855">
        <v>1</v>
      </c>
      <c r="AX855" t="s">
        <v>74</v>
      </c>
      <c r="AY855" t="s">
        <v>74</v>
      </c>
      <c r="AZ855" t="s">
        <v>74</v>
      </c>
      <c r="BA855" t="s">
        <v>74</v>
      </c>
      <c r="BB855" t="s">
        <v>74</v>
      </c>
      <c r="BC855" t="s">
        <v>74</v>
      </c>
      <c r="BD855" t="s">
        <v>16366</v>
      </c>
      <c r="BE855" t="s">
        <v>16367</v>
      </c>
      <c r="BF855" t="str">
        <f>HYPERLINK("http://dx.doi.org/10.1371/journal.pone.0209887","http://dx.doi.org/10.1371/journal.pone.0209887")</f>
        <v>http://dx.doi.org/10.1371/journal.pone.0209887</v>
      </c>
      <c r="BG855" t="s">
        <v>74</v>
      </c>
      <c r="BH855" t="s">
        <v>74</v>
      </c>
      <c r="BI855">
        <v>22</v>
      </c>
      <c r="BJ855" t="s">
        <v>460</v>
      </c>
      <c r="BK855" t="s">
        <v>102</v>
      </c>
      <c r="BL855" t="s">
        <v>461</v>
      </c>
      <c r="BM855" t="s">
        <v>16368</v>
      </c>
      <c r="BN855">
        <v>30625192</v>
      </c>
      <c r="BO855" t="s">
        <v>879</v>
      </c>
      <c r="BP855" t="s">
        <v>74</v>
      </c>
      <c r="BQ855" t="s">
        <v>74</v>
      </c>
      <c r="BR855" t="s">
        <v>107</v>
      </c>
      <c r="BS855" t="s">
        <v>16369</v>
      </c>
      <c r="BT855" t="str">
        <f>HYPERLINK("https%3A%2F%2Fwww.webofscience.com%2Fwos%2Fwoscc%2Ffull-record%2FWOS:000455359400060","View Full Record in Web of Science")</f>
        <v>View Full Record in Web of Science</v>
      </c>
    </row>
    <row r="856" spans="1:72" x14ac:dyDescent="0.15">
      <c r="A856" t="s">
        <v>72</v>
      </c>
      <c r="B856" t="s">
        <v>16370</v>
      </c>
      <c r="C856" t="s">
        <v>74</v>
      </c>
      <c r="D856" t="s">
        <v>74</v>
      </c>
      <c r="E856" t="s">
        <v>74</v>
      </c>
      <c r="F856" t="s">
        <v>16371</v>
      </c>
      <c r="G856" t="s">
        <v>74</v>
      </c>
      <c r="H856" t="s">
        <v>74</v>
      </c>
      <c r="I856" t="s">
        <v>16372</v>
      </c>
      <c r="J856" t="s">
        <v>16296</v>
      </c>
      <c r="K856" t="s">
        <v>74</v>
      </c>
      <c r="L856" t="s">
        <v>74</v>
      </c>
      <c r="M856" t="s">
        <v>78</v>
      </c>
      <c r="N856" t="s">
        <v>79</v>
      </c>
      <c r="O856" t="s">
        <v>74</v>
      </c>
      <c r="P856" t="s">
        <v>74</v>
      </c>
      <c r="Q856" t="s">
        <v>74</v>
      </c>
      <c r="R856" t="s">
        <v>74</v>
      </c>
      <c r="S856" t="s">
        <v>74</v>
      </c>
      <c r="T856" t="s">
        <v>74</v>
      </c>
      <c r="U856" t="s">
        <v>16373</v>
      </c>
      <c r="V856" t="s">
        <v>16374</v>
      </c>
      <c r="W856" t="s">
        <v>16375</v>
      </c>
      <c r="X856" t="s">
        <v>16376</v>
      </c>
      <c r="Y856" t="s">
        <v>16377</v>
      </c>
      <c r="Z856" t="s">
        <v>16378</v>
      </c>
      <c r="AA856" t="s">
        <v>16379</v>
      </c>
      <c r="AB856" t="s">
        <v>16380</v>
      </c>
      <c r="AC856" t="s">
        <v>16381</v>
      </c>
      <c r="AD856" t="s">
        <v>16382</v>
      </c>
      <c r="AE856" t="s">
        <v>16383</v>
      </c>
      <c r="AF856" t="s">
        <v>74</v>
      </c>
      <c r="AG856">
        <v>99</v>
      </c>
      <c r="AH856">
        <v>106</v>
      </c>
      <c r="AI856">
        <v>112</v>
      </c>
      <c r="AJ856">
        <v>4</v>
      </c>
      <c r="AK856">
        <v>29</v>
      </c>
      <c r="AL856" t="s">
        <v>1514</v>
      </c>
      <c r="AM856" t="s">
        <v>329</v>
      </c>
      <c r="AN856" t="s">
        <v>1515</v>
      </c>
      <c r="AO856" t="s">
        <v>16309</v>
      </c>
      <c r="AP856" t="s">
        <v>74</v>
      </c>
      <c r="AQ856" t="s">
        <v>74</v>
      </c>
      <c r="AR856" t="s">
        <v>16310</v>
      </c>
      <c r="AS856" t="s">
        <v>16311</v>
      </c>
      <c r="AT856" t="s">
        <v>16348</v>
      </c>
      <c r="AU856">
        <v>2019</v>
      </c>
      <c r="AV856">
        <v>19</v>
      </c>
      <c r="AW856" t="s">
        <v>74</v>
      </c>
      <c r="AX856" t="s">
        <v>74</v>
      </c>
      <c r="AY856" t="s">
        <v>74</v>
      </c>
      <c r="AZ856" t="s">
        <v>74</v>
      </c>
      <c r="BA856" t="s">
        <v>74</v>
      </c>
      <c r="BB856" t="s">
        <v>74</v>
      </c>
      <c r="BC856" t="s">
        <v>74</v>
      </c>
      <c r="BD856">
        <v>11</v>
      </c>
      <c r="BE856" t="s">
        <v>16384</v>
      </c>
      <c r="BF856" t="str">
        <f>HYPERLINK("http://dx.doi.org/10.1186/s12862-018-1324-9","http://dx.doi.org/10.1186/s12862-018-1324-9")</f>
        <v>http://dx.doi.org/10.1186/s12862-018-1324-9</v>
      </c>
      <c r="BG856" t="s">
        <v>74</v>
      </c>
      <c r="BH856" t="s">
        <v>74</v>
      </c>
      <c r="BI856">
        <v>15</v>
      </c>
      <c r="BJ856" t="s">
        <v>16313</v>
      </c>
      <c r="BK856" t="s">
        <v>102</v>
      </c>
      <c r="BL856" t="s">
        <v>16313</v>
      </c>
      <c r="BM856" t="s">
        <v>16385</v>
      </c>
      <c r="BN856">
        <v>30626321</v>
      </c>
      <c r="BO856" t="s">
        <v>645</v>
      </c>
      <c r="BP856" t="s">
        <v>105</v>
      </c>
      <c r="BQ856" t="s">
        <v>106</v>
      </c>
      <c r="BR856" t="s">
        <v>107</v>
      </c>
      <c r="BS856" t="s">
        <v>16386</v>
      </c>
      <c r="BT856" t="str">
        <f>HYPERLINK("https%3A%2F%2Fwww.webofscience.com%2Fwos%2Fwoscc%2Ffull-record%2FWOS:000455338400003","View Full Record in Web of Science")</f>
        <v>View Full Record in Web of Science</v>
      </c>
    </row>
    <row r="857" spans="1:72" x14ac:dyDescent="0.15">
      <c r="A857" t="s">
        <v>72</v>
      </c>
      <c r="B857" t="s">
        <v>16387</v>
      </c>
      <c r="C857" t="s">
        <v>74</v>
      </c>
      <c r="D857" t="s">
        <v>74</v>
      </c>
      <c r="E857" t="s">
        <v>74</v>
      </c>
      <c r="F857" t="s">
        <v>16388</v>
      </c>
      <c r="G857" t="s">
        <v>74</v>
      </c>
      <c r="H857" t="s">
        <v>74</v>
      </c>
      <c r="I857" t="s">
        <v>16389</v>
      </c>
      <c r="J857" t="s">
        <v>808</v>
      </c>
      <c r="K857" t="s">
        <v>74</v>
      </c>
      <c r="L857" t="s">
        <v>74</v>
      </c>
      <c r="M857" t="s">
        <v>78</v>
      </c>
      <c r="N857" t="s">
        <v>79</v>
      </c>
      <c r="O857" t="s">
        <v>74</v>
      </c>
      <c r="P857" t="s">
        <v>74</v>
      </c>
      <c r="Q857" t="s">
        <v>74</v>
      </c>
      <c r="R857" t="s">
        <v>74</v>
      </c>
      <c r="S857" t="s">
        <v>74</v>
      </c>
      <c r="T857" t="s">
        <v>16390</v>
      </c>
      <c r="U857" t="s">
        <v>16391</v>
      </c>
      <c r="V857" t="s">
        <v>16392</v>
      </c>
      <c r="W857" t="s">
        <v>16393</v>
      </c>
      <c r="X857" t="s">
        <v>16394</v>
      </c>
      <c r="Y857" t="s">
        <v>16395</v>
      </c>
      <c r="Z857" t="s">
        <v>16396</v>
      </c>
      <c r="AA857" t="s">
        <v>16397</v>
      </c>
      <c r="AB857" t="s">
        <v>16398</v>
      </c>
      <c r="AC857" t="s">
        <v>16399</v>
      </c>
      <c r="AD857" t="s">
        <v>16400</v>
      </c>
      <c r="AE857" t="s">
        <v>16401</v>
      </c>
      <c r="AF857" t="s">
        <v>74</v>
      </c>
      <c r="AG857">
        <v>99</v>
      </c>
      <c r="AH857">
        <v>17</v>
      </c>
      <c r="AI857">
        <v>17</v>
      </c>
      <c r="AJ857">
        <v>0</v>
      </c>
      <c r="AK857">
        <v>17</v>
      </c>
      <c r="AL857" t="s">
        <v>821</v>
      </c>
      <c r="AM857" t="s">
        <v>822</v>
      </c>
      <c r="AN857" t="s">
        <v>823</v>
      </c>
      <c r="AO857" t="s">
        <v>74</v>
      </c>
      <c r="AP857" t="s">
        <v>824</v>
      </c>
      <c r="AQ857" t="s">
        <v>74</v>
      </c>
      <c r="AR857" t="s">
        <v>825</v>
      </c>
      <c r="AS857" t="s">
        <v>826</v>
      </c>
      <c r="AT857" t="s">
        <v>16348</v>
      </c>
      <c r="AU857">
        <v>2019</v>
      </c>
      <c r="AV857">
        <v>5</v>
      </c>
      <c r="AW857" t="s">
        <v>74</v>
      </c>
      <c r="AX857" t="s">
        <v>74</v>
      </c>
      <c r="AY857" t="s">
        <v>74</v>
      </c>
      <c r="AZ857" t="s">
        <v>74</v>
      </c>
      <c r="BA857" t="s">
        <v>74</v>
      </c>
      <c r="BB857" t="s">
        <v>74</v>
      </c>
      <c r="BC857" t="s">
        <v>74</v>
      </c>
      <c r="BD857">
        <v>505</v>
      </c>
      <c r="BE857" t="s">
        <v>16402</v>
      </c>
      <c r="BF857" t="str">
        <f>HYPERLINK("http://dx.doi.org/10.3389/fmars.2018.00505","http://dx.doi.org/10.3389/fmars.2018.00505")</f>
        <v>http://dx.doi.org/10.3389/fmars.2018.00505</v>
      </c>
      <c r="BG857" t="s">
        <v>74</v>
      </c>
      <c r="BH857" t="s">
        <v>74</v>
      </c>
      <c r="BI857">
        <v>22</v>
      </c>
      <c r="BJ857" t="s">
        <v>829</v>
      </c>
      <c r="BK857" t="s">
        <v>337</v>
      </c>
      <c r="BL857" t="s">
        <v>830</v>
      </c>
      <c r="BM857" t="s">
        <v>16403</v>
      </c>
      <c r="BN857" t="s">
        <v>74</v>
      </c>
      <c r="BO857" t="s">
        <v>832</v>
      </c>
      <c r="BP857" t="s">
        <v>74</v>
      </c>
      <c r="BQ857" t="s">
        <v>74</v>
      </c>
      <c r="BR857" t="s">
        <v>107</v>
      </c>
      <c r="BS857" t="s">
        <v>16404</v>
      </c>
      <c r="BT857" t="str">
        <f>HYPERLINK("https%3A%2F%2Fwww.webofscience.com%2Fwos%2Fwoscc%2Ffull-record%2FWOS:000587317900001","View Full Record in Web of Science")</f>
        <v>View Full Record in Web of Science</v>
      </c>
    </row>
    <row r="858" spans="1:72" x14ac:dyDescent="0.15">
      <c r="A858" t="s">
        <v>72</v>
      </c>
      <c r="B858" t="s">
        <v>16405</v>
      </c>
      <c r="C858" t="s">
        <v>74</v>
      </c>
      <c r="D858" t="s">
        <v>74</v>
      </c>
      <c r="E858" t="s">
        <v>74</v>
      </c>
      <c r="F858" t="s">
        <v>16406</v>
      </c>
      <c r="G858" t="s">
        <v>74</v>
      </c>
      <c r="H858" t="s">
        <v>74</v>
      </c>
      <c r="I858" t="s">
        <v>16407</v>
      </c>
      <c r="J858" t="s">
        <v>1042</v>
      </c>
      <c r="K858" t="s">
        <v>74</v>
      </c>
      <c r="L858" t="s">
        <v>74</v>
      </c>
      <c r="M858" t="s">
        <v>78</v>
      </c>
      <c r="N858" t="s">
        <v>79</v>
      </c>
      <c r="O858" t="s">
        <v>74</v>
      </c>
      <c r="P858" t="s">
        <v>74</v>
      </c>
      <c r="Q858" t="s">
        <v>74</v>
      </c>
      <c r="R858" t="s">
        <v>74</v>
      </c>
      <c r="S858" t="s">
        <v>74</v>
      </c>
      <c r="T858" t="s">
        <v>74</v>
      </c>
      <c r="U858" t="s">
        <v>16408</v>
      </c>
      <c r="V858" t="s">
        <v>16409</v>
      </c>
      <c r="W858" t="s">
        <v>16410</v>
      </c>
      <c r="X858" t="s">
        <v>16411</v>
      </c>
      <c r="Y858" t="s">
        <v>16412</v>
      </c>
      <c r="Z858" t="s">
        <v>16413</v>
      </c>
      <c r="AA858" t="s">
        <v>16414</v>
      </c>
      <c r="AB858" t="s">
        <v>16415</v>
      </c>
      <c r="AC858" t="s">
        <v>16416</v>
      </c>
      <c r="AD858" t="s">
        <v>16417</v>
      </c>
      <c r="AE858" t="s">
        <v>16418</v>
      </c>
      <c r="AF858" t="s">
        <v>74</v>
      </c>
      <c r="AG858">
        <v>72</v>
      </c>
      <c r="AH858">
        <v>21</v>
      </c>
      <c r="AI858">
        <v>24</v>
      </c>
      <c r="AJ858">
        <v>0</v>
      </c>
      <c r="AK858">
        <v>18</v>
      </c>
      <c r="AL858" t="s">
        <v>868</v>
      </c>
      <c r="AM858" t="s">
        <v>869</v>
      </c>
      <c r="AN858" t="s">
        <v>870</v>
      </c>
      <c r="AO858" t="s">
        <v>1054</v>
      </c>
      <c r="AP858" t="s">
        <v>1055</v>
      </c>
      <c r="AQ858" t="s">
        <v>74</v>
      </c>
      <c r="AR858" t="s">
        <v>1056</v>
      </c>
      <c r="AS858" t="s">
        <v>1057</v>
      </c>
      <c r="AT858" t="s">
        <v>16419</v>
      </c>
      <c r="AU858">
        <v>2019</v>
      </c>
      <c r="AV858">
        <v>19</v>
      </c>
      <c r="AW858">
        <v>1</v>
      </c>
      <c r="AX858" t="s">
        <v>74</v>
      </c>
      <c r="AY858" t="s">
        <v>74</v>
      </c>
      <c r="AZ858" t="s">
        <v>74</v>
      </c>
      <c r="BA858" t="s">
        <v>74</v>
      </c>
      <c r="BB858">
        <v>275</v>
      </c>
      <c r="BC858">
        <v>294</v>
      </c>
      <c r="BD858" t="s">
        <v>74</v>
      </c>
      <c r="BE858" t="s">
        <v>16420</v>
      </c>
      <c r="BF858" t="str">
        <f>HYPERLINK("http://dx.doi.org/10.5194/acp-19-275-2019","http://dx.doi.org/10.5194/acp-19-275-2019")</f>
        <v>http://dx.doi.org/10.5194/acp-19-275-2019</v>
      </c>
      <c r="BG858" t="s">
        <v>74</v>
      </c>
      <c r="BH858" t="s">
        <v>74</v>
      </c>
      <c r="BI858">
        <v>20</v>
      </c>
      <c r="BJ858" t="s">
        <v>1060</v>
      </c>
      <c r="BK858" t="s">
        <v>102</v>
      </c>
      <c r="BL858" t="s">
        <v>338</v>
      </c>
      <c r="BM858" t="s">
        <v>16421</v>
      </c>
      <c r="BN858" t="s">
        <v>74</v>
      </c>
      <c r="BO858" t="s">
        <v>1601</v>
      </c>
      <c r="BP858" t="s">
        <v>74</v>
      </c>
      <c r="BQ858" t="s">
        <v>74</v>
      </c>
      <c r="BR858" t="s">
        <v>107</v>
      </c>
      <c r="BS858" t="s">
        <v>16422</v>
      </c>
      <c r="BT858" t="str">
        <f>HYPERLINK("https%3A%2F%2Fwww.webofscience.com%2Fwos%2Fwoscc%2Ffull-record%2FWOS:000455496000003","View Full Record in Web of Science")</f>
        <v>View Full Record in Web of Science</v>
      </c>
    </row>
    <row r="859" spans="1:72" x14ac:dyDescent="0.15">
      <c r="A859" t="s">
        <v>72</v>
      </c>
      <c r="B859" t="s">
        <v>16423</v>
      </c>
      <c r="C859" t="s">
        <v>74</v>
      </c>
      <c r="D859" t="s">
        <v>74</v>
      </c>
      <c r="E859" t="s">
        <v>74</v>
      </c>
      <c r="F859" t="s">
        <v>16424</v>
      </c>
      <c r="G859" t="s">
        <v>74</v>
      </c>
      <c r="H859" t="s">
        <v>74</v>
      </c>
      <c r="I859" t="s">
        <v>16425</v>
      </c>
      <c r="J859" t="s">
        <v>7763</v>
      </c>
      <c r="K859" t="s">
        <v>74</v>
      </c>
      <c r="L859" t="s">
        <v>74</v>
      </c>
      <c r="M859" t="s">
        <v>78</v>
      </c>
      <c r="N859" t="s">
        <v>79</v>
      </c>
      <c r="O859" t="s">
        <v>74</v>
      </c>
      <c r="P859" t="s">
        <v>74</v>
      </c>
      <c r="Q859" t="s">
        <v>74</v>
      </c>
      <c r="R859" t="s">
        <v>74</v>
      </c>
      <c r="S859" t="s">
        <v>74</v>
      </c>
      <c r="T859" t="s">
        <v>16426</v>
      </c>
      <c r="U859" t="s">
        <v>16427</v>
      </c>
      <c r="V859" t="s">
        <v>16428</v>
      </c>
      <c r="W859" t="s">
        <v>16429</v>
      </c>
      <c r="X859" t="s">
        <v>16430</v>
      </c>
      <c r="Y859" t="s">
        <v>16431</v>
      </c>
      <c r="Z859" t="s">
        <v>16432</v>
      </c>
      <c r="AA859" t="s">
        <v>16433</v>
      </c>
      <c r="AB859" t="s">
        <v>16434</v>
      </c>
      <c r="AC859" t="s">
        <v>16435</v>
      </c>
      <c r="AD859" t="s">
        <v>16436</v>
      </c>
      <c r="AE859" t="s">
        <v>16437</v>
      </c>
      <c r="AF859" t="s">
        <v>74</v>
      </c>
      <c r="AG859">
        <v>44</v>
      </c>
      <c r="AH859">
        <v>39</v>
      </c>
      <c r="AI859">
        <v>42</v>
      </c>
      <c r="AJ859">
        <v>6</v>
      </c>
      <c r="AK859">
        <v>57</v>
      </c>
      <c r="AL859" t="s">
        <v>7776</v>
      </c>
      <c r="AM859" t="s">
        <v>126</v>
      </c>
      <c r="AN859" t="s">
        <v>7777</v>
      </c>
      <c r="AO859" t="s">
        <v>7778</v>
      </c>
      <c r="AP859" t="s">
        <v>16438</v>
      </c>
      <c r="AQ859" t="s">
        <v>74</v>
      </c>
      <c r="AR859" t="s">
        <v>7779</v>
      </c>
      <c r="AS859" t="s">
        <v>7780</v>
      </c>
      <c r="AT859" t="s">
        <v>16419</v>
      </c>
      <c r="AU859">
        <v>2019</v>
      </c>
      <c r="AV859">
        <v>116</v>
      </c>
      <c r="AW859">
        <v>2</v>
      </c>
      <c r="AX859" t="s">
        <v>74</v>
      </c>
      <c r="AY859" t="s">
        <v>74</v>
      </c>
      <c r="AZ859" t="s">
        <v>74</v>
      </c>
      <c r="BA859" t="s">
        <v>74</v>
      </c>
      <c r="BB859">
        <v>679</v>
      </c>
      <c r="BC859">
        <v>688</v>
      </c>
      <c r="BD859" t="s">
        <v>74</v>
      </c>
      <c r="BE859" t="s">
        <v>16439</v>
      </c>
      <c r="BF859" t="str">
        <f>HYPERLINK("http://dx.doi.org/10.1073/pnas.1817455116","http://dx.doi.org/10.1073/pnas.1817455116")</f>
        <v>http://dx.doi.org/10.1073/pnas.1817455116</v>
      </c>
      <c r="BG859" t="s">
        <v>74</v>
      </c>
      <c r="BH859" t="s">
        <v>74</v>
      </c>
      <c r="BI859">
        <v>10</v>
      </c>
      <c r="BJ859" t="s">
        <v>460</v>
      </c>
      <c r="BK859" t="s">
        <v>102</v>
      </c>
      <c r="BL859" t="s">
        <v>461</v>
      </c>
      <c r="BM859" t="s">
        <v>16440</v>
      </c>
      <c r="BN859">
        <v>30584112</v>
      </c>
      <c r="BO859" t="s">
        <v>223</v>
      </c>
      <c r="BP859" t="s">
        <v>74</v>
      </c>
      <c r="BQ859" t="s">
        <v>74</v>
      </c>
      <c r="BR859" t="s">
        <v>107</v>
      </c>
      <c r="BS859" t="s">
        <v>16441</v>
      </c>
      <c r="BT859" t="str">
        <f>HYPERLINK("https%3A%2F%2Fwww.webofscience.com%2Fwos%2Fwoscc%2Ffull-record%2FWOS:000455086900050","View Full Record in Web of Science")</f>
        <v>View Full Record in Web of Science</v>
      </c>
    </row>
    <row r="860" spans="1:72" x14ac:dyDescent="0.15">
      <c r="A860" t="s">
        <v>72</v>
      </c>
      <c r="B860" t="s">
        <v>16442</v>
      </c>
      <c r="C860" t="s">
        <v>74</v>
      </c>
      <c r="D860" t="s">
        <v>74</v>
      </c>
      <c r="E860" t="s">
        <v>74</v>
      </c>
      <c r="F860" t="s">
        <v>16443</v>
      </c>
      <c r="G860" t="s">
        <v>74</v>
      </c>
      <c r="H860" t="s">
        <v>74</v>
      </c>
      <c r="I860" t="s">
        <v>16444</v>
      </c>
      <c r="J860" t="s">
        <v>6564</v>
      </c>
      <c r="K860" t="s">
        <v>74</v>
      </c>
      <c r="L860" t="s">
        <v>74</v>
      </c>
      <c r="M860" t="s">
        <v>78</v>
      </c>
      <c r="N860" t="s">
        <v>79</v>
      </c>
      <c r="O860" t="s">
        <v>74</v>
      </c>
      <c r="P860" t="s">
        <v>74</v>
      </c>
      <c r="Q860" t="s">
        <v>74</v>
      </c>
      <c r="R860" t="s">
        <v>74</v>
      </c>
      <c r="S860" t="s">
        <v>74</v>
      </c>
      <c r="T860" t="s">
        <v>16445</v>
      </c>
      <c r="U860" t="s">
        <v>16446</v>
      </c>
      <c r="V860" t="s">
        <v>16447</v>
      </c>
      <c r="W860" t="s">
        <v>16448</v>
      </c>
      <c r="X860" t="s">
        <v>16449</v>
      </c>
      <c r="Y860" t="s">
        <v>16450</v>
      </c>
      <c r="Z860" t="s">
        <v>16451</v>
      </c>
      <c r="AA860" t="s">
        <v>16452</v>
      </c>
      <c r="AB860" t="s">
        <v>14194</v>
      </c>
      <c r="AC860" t="s">
        <v>16453</v>
      </c>
      <c r="AD860" t="s">
        <v>16454</v>
      </c>
      <c r="AE860" t="s">
        <v>16455</v>
      </c>
      <c r="AF860" t="s">
        <v>74</v>
      </c>
      <c r="AG860">
        <v>69</v>
      </c>
      <c r="AH860">
        <v>15</v>
      </c>
      <c r="AI860">
        <v>15</v>
      </c>
      <c r="AJ860">
        <v>2</v>
      </c>
      <c r="AK860">
        <v>17</v>
      </c>
      <c r="AL860" t="s">
        <v>821</v>
      </c>
      <c r="AM860" t="s">
        <v>822</v>
      </c>
      <c r="AN860" t="s">
        <v>823</v>
      </c>
      <c r="AO860" t="s">
        <v>6577</v>
      </c>
      <c r="AP860" t="s">
        <v>74</v>
      </c>
      <c r="AQ860" t="s">
        <v>74</v>
      </c>
      <c r="AR860" t="s">
        <v>6578</v>
      </c>
      <c r="AS860" t="s">
        <v>6579</v>
      </c>
      <c r="AT860" t="s">
        <v>16456</v>
      </c>
      <c r="AU860">
        <v>2019</v>
      </c>
      <c r="AV860">
        <v>6</v>
      </c>
      <c r="AW860" t="s">
        <v>74</v>
      </c>
      <c r="AX860" t="s">
        <v>74</v>
      </c>
      <c r="AY860" t="s">
        <v>74</v>
      </c>
      <c r="AZ860" t="s">
        <v>74</v>
      </c>
      <c r="BA860" t="s">
        <v>74</v>
      </c>
      <c r="BB860" t="s">
        <v>74</v>
      </c>
      <c r="BC860" t="s">
        <v>74</v>
      </c>
      <c r="BD860">
        <v>230</v>
      </c>
      <c r="BE860" t="s">
        <v>16457</v>
      </c>
      <c r="BF860" t="str">
        <f>HYPERLINK("http://dx.doi.org/10.3389/fevo.2018.00230","http://dx.doi.org/10.3389/fevo.2018.00230")</f>
        <v>http://dx.doi.org/10.3389/fevo.2018.00230</v>
      </c>
      <c r="BG860" t="s">
        <v>74</v>
      </c>
      <c r="BH860" t="s">
        <v>74</v>
      </c>
      <c r="BI860">
        <v>10</v>
      </c>
      <c r="BJ860" t="s">
        <v>5763</v>
      </c>
      <c r="BK860" t="s">
        <v>102</v>
      </c>
      <c r="BL860" t="s">
        <v>2297</v>
      </c>
      <c r="BM860" t="s">
        <v>16458</v>
      </c>
      <c r="BN860" t="s">
        <v>74</v>
      </c>
      <c r="BO860" t="s">
        <v>4842</v>
      </c>
      <c r="BP860" t="s">
        <v>74</v>
      </c>
      <c r="BQ860" t="s">
        <v>74</v>
      </c>
      <c r="BR860" t="s">
        <v>107</v>
      </c>
      <c r="BS860" t="s">
        <v>16459</v>
      </c>
      <c r="BT860" t="str">
        <f>HYPERLINK("https%3A%2F%2Fwww.webofscience.com%2Fwos%2Fwoscc%2Ffull-record%2FWOS:000467376200002","View Full Record in Web of Science")</f>
        <v>View Full Record in Web of Science</v>
      </c>
    </row>
    <row r="861" spans="1:72" x14ac:dyDescent="0.15">
      <c r="A861" t="s">
        <v>72</v>
      </c>
      <c r="B861" t="s">
        <v>16460</v>
      </c>
      <c r="C861" t="s">
        <v>74</v>
      </c>
      <c r="D861" t="s">
        <v>74</v>
      </c>
      <c r="E861" t="s">
        <v>74</v>
      </c>
      <c r="F861" t="s">
        <v>16461</v>
      </c>
      <c r="G861" t="s">
        <v>74</v>
      </c>
      <c r="H861" t="s">
        <v>74</v>
      </c>
      <c r="I861" t="s">
        <v>16462</v>
      </c>
      <c r="J861" t="s">
        <v>7744</v>
      </c>
      <c r="K861" t="s">
        <v>74</v>
      </c>
      <c r="L861" t="s">
        <v>74</v>
      </c>
      <c r="M861" t="s">
        <v>78</v>
      </c>
      <c r="N861" t="s">
        <v>79</v>
      </c>
      <c r="O861" t="s">
        <v>74</v>
      </c>
      <c r="P861" t="s">
        <v>74</v>
      </c>
      <c r="Q861" t="s">
        <v>74</v>
      </c>
      <c r="R861" t="s">
        <v>74</v>
      </c>
      <c r="S861" t="s">
        <v>74</v>
      </c>
      <c r="T861" t="s">
        <v>16463</v>
      </c>
      <c r="U861" t="s">
        <v>16464</v>
      </c>
      <c r="V861" t="s">
        <v>16465</v>
      </c>
      <c r="W861" t="s">
        <v>16466</v>
      </c>
      <c r="X861" t="s">
        <v>16467</v>
      </c>
      <c r="Y861" t="s">
        <v>16468</v>
      </c>
      <c r="Z861" t="s">
        <v>16469</v>
      </c>
      <c r="AA861" t="s">
        <v>16470</v>
      </c>
      <c r="AB861" t="s">
        <v>16471</v>
      </c>
      <c r="AC861" t="s">
        <v>74</v>
      </c>
      <c r="AD861" t="s">
        <v>74</v>
      </c>
      <c r="AE861" t="s">
        <v>74</v>
      </c>
      <c r="AF861" t="s">
        <v>74</v>
      </c>
      <c r="AG861">
        <v>71</v>
      </c>
      <c r="AH861">
        <v>9</v>
      </c>
      <c r="AI861">
        <v>9</v>
      </c>
      <c r="AJ861">
        <v>1</v>
      </c>
      <c r="AK861">
        <v>9</v>
      </c>
      <c r="AL861" t="s">
        <v>634</v>
      </c>
      <c r="AM861" t="s">
        <v>635</v>
      </c>
      <c r="AN861" t="s">
        <v>636</v>
      </c>
      <c r="AO861" t="s">
        <v>7753</v>
      </c>
      <c r="AP861" t="s">
        <v>7754</v>
      </c>
      <c r="AQ861" t="s">
        <v>74</v>
      </c>
      <c r="AR861" t="s">
        <v>7744</v>
      </c>
      <c r="AS861" t="s">
        <v>7755</v>
      </c>
      <c r="AT861" t="s">
        <v>16472</v>
      </c>
      <c r="AU861">
        <v>2019</v>
      </c>
      <c r="AV861">
        <v>750</v>
      </c>
      <c r="AW861" t="s">
        <v>74</v>
      </c>
      <c r="AX861" t="s">
        <v>74</v>
      </c>
      <c r="AY861" t="s">
        <v>74</v>
      </c>
      <c r="AZ861" t="s">
        <v>74</v>
      </c>
      <c r="BA861" t="s">
        <v>74</v>
      </c>
      <c r="BB861">
        <v>262</v>
      </c>
      <c r="BC861">
        <v>279</v>
      </c>
      <c r="BD861" t="s">
        <v>74</v>
      </c>
      <c r="BE861" t="s">
        <v>16473</v>
      </c>
      <c r="BF861" t="str">
        <f>HYPERLINK("http://dx.doi.org/10.1016/j.tecto.2018.10.018","http://dx.doi.org/10.1016/j.tecto.2018.10.018")</f>
        <v>http://dx.doi.org/10.1016/j.tecto.2018.10.018</v>
      </c>
      <c r="BG861" t="s">
        <v>74</v>
      </c>
      <c r="BH861" t="s">
        <v>74</v>
      </c>
      <c r="BI861">
        <v>18</v>
      </c>
      <c r="BJ861" t="s">
        <v>643</v>
      </c>
      <c r="BK861" t="s">
        <v>102</v>
      </c>
      <c r="BL861" t="s">
        <v>643</v>
      </c>
      <c r="BM861" t="s">
        <v>16474</v>
      </c>
      <c r="BN861" t="s">
        <v>74</v>
      </c>
      <c r="BO861" t="s">
        <v>74</v>
      </c>
      <c r="BP861" t="s">
        <v>74</v>
      </c>
      <c r="BQ861" t="s">
        <v>74</v>
      </c>
      <c r="BR861" t="s">
        <v>107</v>
      </c>
      <c r="BS861" t="s">
        <v>16475</v>
      </c>
      <c r="BT861" t="str">
        <f>HYPERLINK("https%3A%2F%2Fwww.webofscience.com%2Fwos%2Fwoscc%2Ffull-record%2FWOS:000458713300017","View Full Record in Web of Science")</f>
        <v>View Full Record in Web of Science</v>
      </c>
    </row>
    <row r="862" spans="1:72" x14ac:dyDescent="0.15">
      <c r="A862" t="s">
        <v>72</v>
      </c>
      <c r="B862" t="s">
        <v>16476</v>
      </c>
      <c r="C862" t="s">
        <v>74</v>
      </c>
      <c r="D862" t="s">
        <v>74</v>
      </c>
      <c r="E862" t="s">
        <v>74</v>
      </c>
      <c r="F862" t="s">
        <v>16477</v>
      </c>
      <c r="G862" t="s">
        <v>74</v>
      </c>
      <c r="H862" t="s">
        <v>74</v>
      </c>
      <c r="I862" t="s">
        <v>16478</v>
      </c>
      <c r="J862" t="s">
        <v>7744</v>
      </c>
      <c r="K862" t="s">
        <v>74</v>
      </c>
      <c r="L862" t="s">
        <v>74</v>
      </c>
      <c r="M862" t="s">
        <v>78</v>
      </c>
      <c r="N862" t="s">
        <v>79</v>
      </c>
      <c r="O862" t="s">
        <v>74</v>
      </c>
      <c r="P862" t="s">
        <v>74</v>
      </c>
      <c r="Q862" t="s">
        <v>74</v>
      </c>
      <c r="R862" t="s">
        <v>74</v>
      </c>
      <c r="S862" t="s">
        <v>74</v>
      </c>
      <c r="T862" t="s">
        <v>16479</v>
      </c>
      <c r="U862" t="s">
        <v>16480</v>
      </c>
      <c r="V862" t="s">
        <v>16481</v>
      </c>
      <c r="W862" t="s">
        <v>16482</v>
      </c>
      <c r="X862" t="s">
        <v>1404</v>
      </c>
      <c r="Y862" t="s">
        <v>16483</v>
      </c>
      <c r="Z862" t="s">
        <v>16484</v>
      </c>
      <c r="AA862" t="s">
        <v>74</v>
      </c>
      <c r="AB862" t="s">
        <v>16485</v>
      </c>
      <c r="AC862" t="s">
        <v>16486</v>
      </c>
      <c r="AD862" t="s">
        <v>16487</v>
      </c>
      <c r="AE862" t="s">
        <v>16488</v>
      </c>
      <c r="AF862" t="s">
        <v>74</v>
      </c>
      <c r="AG862">
        <v>130</v>
      </c>
      <c r="AH862">
        <v>71</v>
      </c>
      <c r="AI862">
        <v>74</v>
      </c>
      <c r="AJ862">
        <v>0</v>
      </c>
      <c r="AK862">
        <v>15</v>
      </c>
      <c r="AL862" t="s">
        <v>662</v>
      </c>
      <c r="AM862" t="s">
        <v>635</v>
      </c>
      <c r="AN862" t="s">
        <v>663</v>
      </c>
      <c r="AO862" t="s">
        <v>7753</v>
      </c>
      <c r="AP862" t="s">
        <v>7754</v>
      </c>
      <c r="AQ862" t="s">
        <v>74</v>
      </c>
      <c r="AR862" t="s">
        <v>7744</v>
      </c>
      <c r="AS862" t="s">
        <v>7755</v>
      </c>
      <c r="AT862" t="s">
        <v>16472</v>
      </c>
      <c r="AU862">
        <v>2019</v>
      </c>
      <c r="AV862">
        <v>750</v>
      </c>
      <c r="AW862" t="s">
        <v>74</v>
      </c>
      <c r="AX862" t="s">
        <v>74</v>
      </c>
      <c r="AY862" t="s">
        <v>74</v>
      </c>
      <c r="AZ862" t="s">
        <v>74</v>
      </c>
      <c r="BA862" t="s">
        <v>74</v>
      </c>
      <c r="BB862">
        <v>301</v>
      </c>
      <c r="BC862">
        <v>328</v>
      </c>
      <c r="BD862" t="s">
        <v>74</v>
      </c>
      <c r="BE862" t="s">
        <v>16489</v>
      </c>
      <c r="BF862" t="str">
        <f>HYPERLINK("http://dx.doi.org/10.1016/j.tecto.2018.11.008","http://dx.doi.org/10.1016/j.tecto.2018.11.008")</f>
        <v>http://dx.doi.org/10.1016/j.tecto.2018.11.008</v>
      </c>
      <c r="BG862" t="s">
        <v>74</v>
      </c>
      <c r="BH862" t="s">
        <v>74</v>
      </c>
      <c r="BI862">
        <v>28</v>
      </c>
      <c r="BJ862" t="s">
        <v>643</v>
      </c>
      <c r="BK862" t="s">
        <v>102</v>
      </c>
      <c r="BL862" t="s">
        <v>643</v>
      </c>
      <c r="BM862" t="s">
        <v>16474</v>
      </c>
      <c r="BN862" t="s">
        <v>74</v>
      </c>
      <c r="BO862" t="s">
        <v>74</v>
      </c>
      <c r="BP862" t="s">
        <v>74</v>
      </c>
      <c r="BQ862" t="s">
        <v>74</v>
      </c>
      <c r="BR862" t="s">
        <v>107</v>
      </c>
      <c r="BS862" t="s">
        <v>16490</v>
      </c>
      <c r="BT862" t="str">
        <f>HYPERLINK("https%3A%2F%2Fwww.webofscience.com%2Fwos%2Fwoscc%2Ffull-record%2FWOS:000458713300020","View Full Record in Web of Science")</f>
        <v>View Full Record in Web of Science</v>
      </c>
    </row>
    <row r="863" spans="1:72" x14ac:dyDescent="0.15">
      <c r="A863" t="s">
        <v>72</v>
      </c>
      <c r="B863" t="s">
        <v>16491</v>
      </c>
      <c r="C863" t="s">
        <v>74</v>
      </c>
      <c r="D863" t="s">
        <v>74</v>
      </c>
      <c r="E863" t="s">
        <v>74</v>
      </c>
      <c r="F863" t="s">
        <v>16492</v>
      </c>
      <c r="G863" t="s">
        <v>74</v>
      </c>
      <c r="H863" t="s">
        <v>74</v>
      </c>
      <c r="I863" t="s">
        <v>16493</v>
      </c>
      <c r="J863" t="s">
        <v>2472</v>
      </c>
      <c r="K863" t="s">
        <v>74</v>
      </c>
      <c r="L863" t="s">
        <v>74</v>
      </c>
      <c r="M863" t="s">
        <v>78</v>
      </c>
      <c r="N863" t="s">
        <v>79</v>
      </c>
      <c r="O863" t="s">
        <v>74</v>
      </c>
      <c r="P863" t="s">
        <v>74</v>
      </c>
      <c r="Q863" t="s">
        <v>74</v>
      </c>
      <c r="R863" t="s">
        <v>74</v>
      </c>
      <c r="S863" t="s">
        <v>74</v>
      </c>
      <c r="T863" t="s">
        <v>16494</v>
      </c>
      <c r="U863" t="s">
        <v>16495</v>
      </c>
      <c r="V863" t="s">
        <v>16496</v>
      </c>
      <c r="W863" t="s">
        <v>16497</v>
      </c>
      <c r="X863" t="s">
        <v>16498</v>
      </c>
      <c r="Y863" t="s">
        <v>16499</v>
      </c>
      <c r="Z863" t="s">
        <v>16500</v>
      </c>
      <c r="AA863" t="s">
        <v>16501</v>
      </c>
      <c r="AB863" t="s">
        <v>74</v>
      </c>
      <c r="AC863" t="s">
        <v>16502</v>
      </c>
      <c r="AD863" t="s">
        <v>16503</v>
      </c>
      <c r="AE863" t="s">
        <v>16504</v>
      </c>
      <c r="AF863" t="s">
        <v>74</v>
      </c>
      <c r="AG863">
        <v>105</v>
      </c>
      <c r="AH863">
        <v>23</v>
      </c>
      <c r="AI863">
        <v>24</v>
      </c>
      <c r="AJ863">
        <v>1</v>
      </c>
      <c r="AK863">
        <v>7</v>
      </c>
      <c r="AL863" t="s">
        <v>821</v>
      </c>
      <c r="AM863" t="s">
        <v>822</v>
      </c>
      <c r="AN863" t="s">
        <v>823</v>
      </c>
      <c r="AO863" t="s">
        <v>74</v>
      </c>
      <c r="AP863" t="s">
        <v>2485</v>
      </c>
      <c r="AQ863" t="s">
        <v>74</v>
      </c>
      <c r="AR863" t="s">
        <v>2486</v>
      </c>
      <c r="AS863" t="s">
        <v>2487</v>
      </c>
      <c r="AT863" t="s">
        <v>16505</v>
      </c>
      <c r="AU863">
        <v>2019</v>
      </c>
      <c r="AV863">
        <v>6</v>
      </c>
      <c r="AW863" t="s">
        <v>74</v>
      </c>
      <c r="AX863" t="s">
        <v>74</v>
      </c>
      <c r="AY863" t="s">
        <v>74</v>
      </c>
      <c r="AZ863" t="s">
        <v>74</v>
      </c>
      <c r="BA863" t="s">
        <v>74</v>
      </c>
      <c r="BB863" t="s">
        <v>74</v>
      </c>
      <c r="BC863" t="s">
        <v>74</v>
      </c>
      <c r="BD863">
        <v>236</v>
      </c>
      <c r="BE863" t="s">
        <v>16506</v>
      </c>
      <c r="BF863" t="str">
        <f>HYPERLINK("http://dx.doi.org/10.3389/feart.2018.00236","http://dx.doi.org/10.3389/feart.2018.00236")</f>
        <v>http://dx.doi.org/10.3389/feart.2018.00236</v>
      </c>
      <c r="BG863" t="s">
        <v>74</v>
      </c>
      <c r="BH863" t="s">
        <v>74</v>
      </c>
      <c r="BI863">
        <v>18</v>
      </c>
      <c r="BJ863" t="s">
        <v>922</v>
      </c>
      <c r="BK863" t="s">
        <v>102</v>
      </c>
      <c r="BL863" t="s">
        <v>923</v>
      </c>
      <c r="BM863" t="s">
        <v>16507</v>
      </c>
      <c r="BN863" t="s">
        <v>74</v>
      </c>
      <c r="BO863" t="s">
        <v>463</v>
      </c>
      <c r="BP863" t="s">
        <v>74</v>
      </c>
      <c r="BQ863" t="s">
        <v>74</v>
      </c>
      <c r="BR863" t="s">
        <v>107</v>
      </c>
      <c r="BS863" t="s">
        <v>16508</v>
      </c>
      <c r="BT863" t="str">
        <f>HYPERLINK("https%3A%2F%2Fwww.webofscience.com%2Fwos%2Fwoscc%2Ffull-record%2FWOS:000467212100001","View Full Record in Web of Science")</f>
        <v>View Full Record in Web of Science</v>
      </c>
    </row>
    <row r="864" spans="1:72" x14ac:dyDescent="0.15">
      <c r="A864" t="s">
        <v>72</v>
      </c>
      <c r="B864" t="s">
        <v>16509</v>
      </c>
      <c r="C864" t="s">
        <v>74</v>
      </c>
      <c r="D864" t="s">
        <v>74</v>
      </c>
      <c r="E864" t="s">
        <v>74</v>
      </c>
      <c r="F864" t="s">
        <v>16510</v>
      </c>
      <c r="G864" t="s">
        <v>74</v>
      </c>
      <c r="H864" t="s">
        <v>74</v>
      </c>
      <c r="I864" t="s">
        <v>16511</v>
      </c>
      <c r="J864" t="s">
        <v>16512</v>
      </c>
      <c r="K864" t="s">
        <v>74</v>
      </c>
      <c r="L864" t="s">
        <v>74</v>
      </c>
      <c r="M864" t="s">
        <v>78</v>
      </c>
      <c r="N864" t="s">
        <v>79</v>
      </c>
      <c r="O864" t="s">
        <v>74</v>
      </c>
      <c r="P864" t="s">
        <v>74</v>
      </c>
      <c r="Q864" t="s">
        <v>74</v>
      </c>
      <c r="R864" t="s">
        <v>74</v>
      </c>
      <c r="S864" t="s">
        <v>74</v>
      </c>
      <c r="T864" t="s">
        <v>74</v>
      </c>
      <c r="U864" t="s">
        <v>74</v>
      </c>
      <c r="V864" t="s">
        <v>16513</v>
      </c>
      <c r="W864" t="s">
        <v>16514</v>
      </c>
      <c r="X864" t="s">
        <v>16515</v>
      </c>
      <c r="Y864" t="s">
        <v>16516</v>
      </c>
      <c r="Z864" t="s">
        <v>16517</v>
      </c>
      <c r="AA864" t="s">
        <v>16518</v>
      </c>
      <c r="AB864" t="s">
        <v>16519</v>
      </c>
      <c r="AC864" t="s">
        <v>16520</v>
      </c>
      <c r="AD864" t="s">
        <v>16521</v>
      </c>
      <c r="AE864" t="s">
        <v>16522</v>
      </c>
      <c r="AF864" t="s">
        <v>74</v>
      </c>
      <c r="AG864">
        <v>19</v>
      </c>
      <c r="AH864">
        <v>4</v>
      </c>
      <c r="AI864">
        <v>4</v>
      </c>
      <c r="AJ864">
        <v>0</v>
      </c>
      <c r="AK864">
        <v>10</v>
      </c>
      <c r="AL864" t="s">
        <v>868</v>
      </c>
      <c r="AM864" t="s">
        <v>869</v>
      </c>
      <c r="AN864" t="s">
        <v>870</v>
      </c>
      <c r="AO864" t="s">
        <v>16523</v>
      </c>
      <c r="AP864" t="s">
        <v>16524</v>
      </c>
      <c r="AQ864" t="s">
        <v>74</v>
      </c>
      <c r="AR864" t="s">
        <v>16525</v>
      </c>
      <c r="AS864" t="s">
        <v>16526</v>
      </c>
      <c r="AT864" t="s">
        <v>16505</v>
      </c>
      <c r="AU864">
        <v>2019</v>
      </c>
      <c r="AV864">
        <v>10</v>
      </c>
      <c r="AW864">
        <v>1</v>
      </c>
      <c r="AX864" t="s">
        <v>74</v>
      </c>
      <c r="AY864" t="s">
        <v>74</v>
      </c>
      <c r="AZ864" t="s">
        <v>74</v>
      </c>
      <c r="BA864" t="s">
        <v>74</v>
      </c>
      <c r="BB864">
        <v>1</v>
      </c>
      <c r="BC864">
        <v>7</v>
      </c>
      <c r="BD864" t="s">
        <v>74</v>
      </c>
      <c r="BE864" t="s">
        <v>16527</v>
      </c>
      <c r="BF864" t="str">
        <f>HYPERLINK("http://dx.doi.org/10.5194/esd-10-1-2019","http://dx.doi.org/10.5194/esd-10-1-2019")</f>
        <v>http://dx.doi.org/10.5194/esd-10-1-2019</v>
      </c>
      <c r="BG864" t="s">
        <v>74</v>
      </c>
      <c r="BH864" t="s">
        <v>74</v>
      </c>
      <c r="BI864">
        <v>7</v>
      </c>
      <c r="BJ864" t="s">
        <v>922</v>
      </c>
      <c r="BK864" t="s">
        <v>102</v>
      </c>
      <c r="BL864" t="s">
        <v>923</v>
      </c>
      <c r="BM864" t="s">
        <v>16528</v>
      </c>
      <c r="BN864" t="s">
        <v>74</v>
      </c>
      <c r="BO864" t="s">
        <v>1715</v>
      </c>
      <c r="BP864" t="s">
        <v>74</v>
      </c>
      <c r="BQ864" t="s">
        <v>74</v>
      </c>
      <c r="BR864" t="s">
        <v>107</v>
      </c>
      <c r="BS864" t="s">
        <v>16529</v>
      </c>
      <c r="BT864" t="str">
        <f>HYPERLINK("https%3A%2F%2Fwww.webofscience.com%2Fwos%2Fwoscc%2Ffull-record%2FWOS:000455085600001","View Full Record in Web of Science")</f>
        <v>View Full Record in Web of Science</v>
      </c>
    </row>
    <row r="865" spans="1:72" x14ac:dyDescent="0.15">
      <c r="A865" t="s">
        <v>72</v>
      </c>
      <c r="B865" t="s">
        <v>16530</v>
      </c>
      <c r="C865" t="s">
        <v>74</v>
      </c>
      <c r="D865" t="s">
        <v>74</v>
      </c>
      <c r="E865" t="s">
        <v>74</v>
      </c>
      <c r="F865" t="s">
        <v>16531</v>
      </c>
      <c r="G865" t="s">
        <v>74</v>
      </c>
      <c r="H865" t="s">
        <v>74</v>
      </c>
      <c r="I865" t="s">
        <v>16532</v>
      </c>
      <c r="J865" t="s">
        <v>1311</v>
      </c>
      <c r="K865" t="s">
        <v>74</v>
      </c>
      <c r="L865" t="s">
        <v>74</v>
      </c>
      <c r="M865" t="s">
        <v>78</v>
      </c>
      <c r="N865" t="s">
        <v>79</v>
      </c>
      <c r="O865" t="s">
        <v>74</v>
      </c>
      <c r="P865" t="s">
        <v>74</v>
      </c>
      <c r="Q865" t="s">
        <v>74</v>
      </c>
      <c r="R865" t="s">
        <v>74</v>
      </c>
      <c r="S865" t="s">
        <v>74</v>
      </c>
      <c r="T865" t="s">
        <v>16533</v>
      </c>
      <c r="U865" t="s">
        <v>16534</v>
      </c>
      <c r="V865" t="s">
        <v>16535</v>
      </c>
      <c r="W865" t="s">
        <v>16536</v>
      </c>
      <c r="X865" t="s">
        <v>16537</v>
      </c>
      <c r="Y865" t="s">
        <v>16538</v>
      </c>
      <c r="Z865" t="s">
        <v>16539</v>
      </c>
      <c r="AA865" t="s">
        <v>16540</v>
      </c>
      <c r="AB865" t="s">
        <v>16541</v>
      </c>
      <c r="AC865" t="s">
        <v>16542</v>
      </c>
      <c r="AD865" t="s">
        <v>16543</v>
      </c>
      <c r="AE865" t="s">
        <v>16544</v>
      </c>
      <c r="AF865" t="s">
        <v>74</v>
      </c>
      <c r="AG865">
        <v>101</v>
      </c>
      <c r="AH865">
        <v>12</v>
      </c>
      <c r="AI865">
        <v>14</v>
      </c>
      <c r="AJ865">
        <v>2</v>
      </c>
      <c r="AK865">
        <v>24</v>
      </c>
      <c r="AL865" t="s">
        <v>1323</v>
      </c>
      <c r="AM865" t="s">
        <v>1324</v>
      </c>
      <c r="AN865" t="s">
        <v>1325</v>
      </c>
      <c r="AO865" t="s">
        <v>1326</v>
      </c>
      <c r="AP865" t="s">
        <v>1327</v>
      </c>
      <c r="AQ865" t="s">
        <v>74</v>
      </c>
      <c r="AR865" t="s">
        <v>1328</v>
      </c>
      <c r="AS865" t="s">
        <v>1329</v>
      </c>
      <c r="AT865" t="s">
        <v>16545</v>
      </c>
      <c r="AU865">
        <v>2019</v>
      </c>
      <c r="AV865">
        <v>608</v>
      </c>
      <c r="AW865" t="s">
        <v>74</v>
      </c>
      <c r="AX865" t="s">
        <v>74</v>
      </c>
      <c r="AY865" t="s">
        <v>74</v>
      </c>
      <c r="AZ865" t="s">
        <v>74</v>
      </c>
      <c r="BA865" t="s">
        <v>74</v>
      </c>
      <c r="BB865">
        <v>263</v>
      </c>
      <c r="BC865">
        <v>277</v>
      </c>
      <c r="BD865" t="s">
        <v>74</v>
      </c>
      <c r="BE865" t="s">
        <v>16546</v>
      </c>
      <c r="BF865" t="str">
        <f>HYPERLINK("http://dx.doi.org/10.3354/meps12801","http://dx.doi.org/10.3354/meps12801")</f>
        <v>http://dx.doi.org/10.3354/meps12801</v>
      </c>
      <c r="BG865" t="s">
        <v>74</v>
      </c>
      <c r="BH865" t="s">
        <v>74</v>
      </c>
      <c r="BI865">
        <v>15</v>
      </c>
      <c r="BJ865" t="s">
        <v>1332</v>
      </c>
      <c r="BK865" t="s">
        <v>102</v>
      </c>
      <c r="BL865" t="s">
        <v>1333</v>
      </c>
      <c r="BM865" t="s">
        <v>16547</v>
      </c>
      <c r="BN865" t="s">
        <v>74</v>
      </c>
      <c r="BO865" t="s">
        <v>279</v>
      </c>
      <c r="BP865" t="s">
        <v>74</v>
      </c>
      <c r="BQ865" t="s">
        <v>74</v>
      </c>
      <c r="BR865" t="s">
        <v>107</v>
      </c>
      <c r="BS865" t="s">
        <v>16548</v>
      </c>
      <c r="BT865" t="str">
        <f>HYPERLINK("https%3A%2F%2Fwww.webofscience.com%2Fwos%2Fwoscc%2Ffull-record%2FWOS:000456206700018","View Full Record in Web of Science")</f>
        <v>View Full Record in Web of Science</v>
      </c>
    </row>
    <row r="866" spans="1:72" x14ac:dyDescent="0.15">
      <c r="A866" t="s">
        <v>72</v>
      </c>
      <c r="B866" t="s">
        <v>16549</v>
      </c>
      <c r="C866" t="s">
        <v>74</v>
      </c>
      <c r="D866" t="s">
        <v>74</v>
      </c>
      <c r="E866" t="s">
        <v>74</v>
      </c>
      <c r="F866" t="s">
        <v>16550</v>
      </c>
      <c r="G866" t="s">
        <v>74</v>
      </c>
      <c r="H866" t="s">
        <v>74</v>
      </c>
      <c r="I866" t="s">
        <v>16551</v>
      </c>
      <c r="J866" t="s">
        <v>6802</v>
      </c>
      <c r="K866" t="s">
        <v>74</v>
      </c>
      <c r="L866" t="s">
        <v>74</v>
      </c>
      <c r="M866" t="s">
        <v>78</v>
      </c>
      <c r="N866" t="s">
        <v>16552</v>
      </c>
      <c r="O866" t="s">
        <v>74</v>
      </c>
      <c r="P866" t="s">
        <v>74</v>
      </c>
      <c r="Q866" t="s">
        <v>74</v>
      </c>
      <c r="R866" t="s">
        <v>74</v>
      </c>
      <c r="S866" t="s">
        <v>74</v>
      </c>
      <c r="T866" t="s">
        <v>16553</v>
      </c>
      <c r="U866" t="s">
        <v>74</v>
      </c>
      <c r="V866" t="s">
        <v>16554</v>
      </c>
      <c r="W866" t="s">
        <v>16555</v>
      </c>
      <c r="X866" t="s">
        <v>16556</v>
      </c>
      <c r="Y866" t="s">
        <v>16557</v>
      </c>
      <c r="Z866" t="s">
        <v>6628</v>
      </c>
      <c r="AA866" t="s">
        <v>16558</v>
      </c>
      <c r="AB866" t="s">
        <v>16559</v>
      </c>
      <c r="AC866" t="s">
        <v>16560</v>
      </c>
      <c r="AD866" t="s">
        <v>16561</v>
      </c>
      <c r="AE866" t="s">
        <v>16562</v>
      </c>
      <c r="AF866" t="s">
        <v>74</v>
      </c>
      <c r="AG866">
        <v>21</v>
      </c>
      <c r="AH866">
        <v>9</v>
      </c>
      <c r="AI866">
        <v>9</v>
      </c>
      <c r="AJ866">
        <v>2</v>
      </c>
      <c r="AK866">
        <v>13</v>
      </c>
      <c r="AL866" t="s">
        <v>16563</v>
      </c>
      <c r="AM866" t="s">
        <v>6816</v>
      </c>
      <c r="AN866" t="s">
        <v>6817</v>
      </c>
      <c r="AO866" t="s">
        <v>6818</v>
      </c>
      <c r="AP866" t="s">
        <v>6819</v>
      </c>
      <c r="AQ866" t="s">
        <v>74</v>
      </c>
      <c r="AR866" t="s">
        <v>6802</v>
      </c>
      <c r="AS866" t="s">
        <v>6820</v>
      </c>
      <c r="AT866" t="s">
        <v>16545</v>
      </c>
      <c r="AU866">
        <v>2019</v>
      </c>
      <c r="AV866" t="s">
        <v>74</v>
      </c>
      <c r="AW866">
        <v>812</v>
      </c>
      <c r="AX866" t="s">
        <v>74</v>
      </c>
      <c r="AY866" t="s">
        <v>74</v>
      </c>
      <c r="AZ866" t="s">
        <v>74</v>
      </c>
      <c r="BA866" t="s">
        <v>74</v>
      </c>
      <c r="BB866">
        <v>1</v>
      </c>
      <c r="BC866">
        <v>22</v>
      </c>
      <c r="BD866" t="s">
        <v>74</v>
      </c>
      <c r="BE866" t="s">
        <v>16564</v>
      </c>
      <c r="BF866" t="str">
        <f>HYPERLINK("http://dx.doi.org/10.3897/zookeys.812.26964","http://dx.doi.org/10.3897/zookeys.812.26964")</f>
        <v>http://dx.doi.org/10.3897/zookeys.812.26964</v>
      </c>
      <c r="BG866" t="s">
        <v>74</v>
      </c>
      <c r="BH866" t="s">
        <v>74</v>
      </c>
      <c r="BI866">
        <v>22</v>
      </c>
      <c r="BJ866" t="s">
        <v>1674</v>
      </c>
      <c r="BK866" t="s">
        <v>102</v>
      </c>
      <c r="BL866" t="s">
        <v>1674</v>
      </c>
      <c r="BM866" t="s">
        <v>16565</v>
      </c>
      <c r="BN866">
        <v>30647522</v>
      </c>
      <c r="BO866" t="s">
        <v>2020</v>
      </c>
      <c r="BP866" t="s">
        <v>74</v>
      </c>
      <c r="BQ866" t="s">
        <v>74</v>
      </c>
      <c r="BR866" t="s">
        <v>107</v>
      </c>
      <c r="BS866" t="s">
        <v>16566</v>
      </c>
      <c r="BT866" t="str">
        <f>HYPERLINK("https%3A%2F%2Fwww.webofscience.com%2Fwos%2Fwoscc%2Ffull-record%2FWOS:000454860400001","View Full Record in Web of Science")</f>
        <v>View Full Record in Web of Science</v>
      </c>
    </row>
    <row r="867" spans="1:72" x14ac:dyDescent="0.15">
      <c r="A867" t="s">
        <v>72</v>
      </c>
      <c r="B867" t="s">
        <v>16567</v>
      </c>
      <c r="C867" t="s">
        <v>74</v>
      </c>
      <c r="D867" t="s">
        <v>74</v>
      </c>
      <c r="E867" t="s">
        <v>74</v>
      </c>
      <c r="F867" t="s">
        <v>16568</v>
      </c>
      <c r="G867" t="s">
        <v>74</v>
      </c>
      <c r="H867" t="s">
        <v>74</v>
      </c>
      <c r="I867" t="s">
        <v>16569</v>
      </c>
      <c r="J867" t="s">
        <v>16570</v>
      </c>
      <c r="K867" t="s">
        <v>74</v>
      </c>
      <c r="L867" t="s">
        <v>74</v>
      </c>
      <c r="M867" t="s">
        <v>78</v>
      </c>
      <c r="N867" t="s">
        <v>79</v>
      </c>
      <c r="O867" t="s">
        <v>74</v>
      </c>
      <c r="P867" t="s">
        <v>74</v>
      </c>
      <c r="Q867" t="s">
        <v>74</v>
      </c>
      <c r="R867" t="s">
        <v>74</v>
      </c>
      <c r="S867" t="s">
        <v>74</v>
      </c>
      <c r="T867" t="s">
        <v>16571</v>
      </c>
      <c r="U867" t="s">
        <v>16572</v>
      </c>
      <c r="V867" t="s">
        <v>16573</v>
      </c>
      <c r="W867" t="s">
        <v>16574</v>
      </c>
      <c r="X867" t="s">
        <v>16575</v>
      </c>
      <c r="Y867" t="s">
        <v>16576</v>
      </c>
      <c r="Z867" t="s">
        <v>16577</v>
      </c>
      <c r="AA867" t="s">
        <v>16578</v>
      </c>
      <c r="AB867" t="s">
        <v>16579</v>
      </c>
      <c r="AC867" t="s">
        <v>16580</v>
      </c>
      <c r="AD867" t="s">
        <v>1798</v>
      </c>
      <c r="AE867" t="s">
        <v>16581</v>
      </c>
      <c r="AF867" t="s">
        <v>74</v>
      </c>
      <c r="AG867">
        <v>9</v>
      </c>
      <c r="AH867">
        <v>7</v>
      </c>
      <c r="AI867">
        <v>7</v>
      </c>
      <c r="AJ867">
        <v>3</v>
      </c>
      <c r="AK867">
        <v>15</v>
      </c>
      <c r="AL867" t="s">
        <v>2055</v>
      </c>
      <c r="AM867" t="s">
        <v>2056</v>
      </c>
      <c r="AN867" t="s">
        <v>2057</v>
      </c>
      <c r="AO867" t="s">
        <v>16582</v>
      </c>
      <c r="AP867" t="s">
        <v>74</v>
      </c>
      <c r="AQ867" t="s">
        <v>74</v>
      </c>
      <c r="AR867" t="s">
        <v>16583</v>
      </c>
      <c r="AS867" t="s">
        <v>16584</v>
      </c>
      <c r="AT867" t="s">
        <v>16585</v>
      </c>
      <c r="AU867">
        <v>2019</v>
      </c>
      <c r="AV867">
        <v>4</v>
      </c>
      <c r="AW867">
        <v>1</v>
      </c>
      <c r="AX867" t="s">
        <v>74</v>
      </c>
      <c r="AY867" t="s">
        <v>74</v>
      </c>
      <c r="AZ867" t="s">
        <v>74</v>
      </c>
      <c r="BA867" t="s">
        <v>74</v>
      </c>
      <c r="BB867">
        <v>1470</v>
      </c>
      <c r="BC867">
        <v>1471</v>
      </c>
      <c r="BD867" t="s">
        <v>74</v>
      </c>
      <c r="BE867" t="s">
        <v>16586</v>
      </c>
      <c r="BF867" t="str">
        <f>HYPERLINK("http://dx.doi.org/10.1080/23802359.2019.1601042","http://dx.doi.org/10.1080/23802359.2019.1601042")</f>
        <v>http://dx.doi.org/10.1080/23802359.2019.1601042</v>
      </c>
      <c r="BG867" t="s">
        <v>74</v>
      </c>
      <c r="BH867" t="s">
        <v>74</v>
      </c>
      <c r="BI867">
        <v>2</v>
      </c>
      <c r="BJ867" t="s">
        <v>1543</v>
      </c>
      <c r="BK867" t="s">
        <v>102</v>
      </c>
      <c r="BL867" t="s">
        <v>1543</v>
      </c>
      <c r="BM867" t="s">
        <v>16587</v>
      </c>
      <c r="BN867" t="s">
        <v>74</v>
      </c>
      <c r="BO867" t="s">
        <v>1415</v>
      </c>
      <c r="BP867" t="s">
        <v>74</v>
      </c>
      <c r="BQ867" t="s">
        <v>74</v>
      </c>
      <c r="BR867" t="s">
        <v>107</v>
      </c>
      <c r="BS867" t="s">
        <v>16588</v>
      </c>
      <c r="BT867" t="str">
        <f>HYPERLINK("https%3A%2F%2Fwww.webofscience.com%2Fwos%2Fwoscc%2Ffull-record%2FWOS:000468416700001","View Full Record in Web of Science")</f>
        <v>View Full Record in Web of Science</v>
      </c>
    </row>
    <row r="868" spans="1:72" x14ac:dyDescent="0.15">
      <c r="A868" t="s">
        <v>72</v>
      </c>
      <c r="B868" t="s">
        <v>16589</v>
      </c>
      <c r="C868" t="s">
        <v>74</v>
      </c>
      <c r="D868" t="s">
        <v>74</v>
      </c>
      <c r="E868" t="s">
        <v>74</v>
      </c>
      <c r="F868" t="s">
        <v>16590</v>
      </c>
      <c r="G868" t="s">
        <v>74</v>
      </c>
      <c r="H868" t="s">
        <v>74</v>
      </c>
      <c r="I868" t="s">
        <v>16591</v>
      </c>
      <c r="J868" t="s">
        <v>16570</v>
      </c>
      <c r="K868" t="s">
        <v>74</v>
      </c>
      <c r="L868" t="s">
        <v>74</v>
      </c>
      <c r="M868" t="s">
        <v>78</v>
      </c>
      <c r="N868" t="s">
        <v>79</v>
      </c>
      <c r="O868" t="s">
        <v>74</v>
      </c>
      <c r="P868" t="s">
        <v>74</v>
      </c>
      <c r="Q868" t="s">
        <v>74</v>
      </c>
      <c r="R868" t="s">
        <v>74</v>
      </c>
      <c r="S868" t="s">
        <v>74</v>
      </c>
      <c r="T868" t="s">
        <v>16592</v>
      </c>
      <c r="U868" t="s">
        <v>16593</v>
      </c>
      <c r="V868" t="s">
        <v>16594</v>
      </c>
      <c r="W868" t="s">
        <v>16595</v>
      </c>
      <c r="X868" t="s">
        <v>12621</v>
      </c>
      <c r="Y868" t="s">
        <v>16596</v>
      </c>
      <c r="Z868" t="s">
        <v>16597</v>
      </c>
      <c r="AA868" t="s">
        <v>74</v>
      </c>
      <c r="AB868" t="s">
        <v>16598</v>
      </c>
      <c r="AC868" t="s">
        <v>16599</v>
      </c>
      <c r="AD868" t="s">
        <v>1798</v>
      </c>
      <c r="AE868" t="s">
        <v>16600</v>
      </c>
      <c r="AF868" t="s">
        <v>74</v>
      </c>
      <c r="AG868">
        <v>10</v>
      </c>
      <c r="AH868">
        <v>1</v>
      </c>
      <c r="AI868">
        <v>1</v>
      </c>
      <c r="AJ868">
        <v>1</v>
      </c>
      <c r="AK868">
        <v>5</v>
      </c>
      <c r="AL868" t="s">
        <v>2055</v>
      </c>
      <c r="AM868" t="s">
        <v>2056</v>
      </c>
      <c r="AN868" t="s">
        <v>2057</v>
      </c>
      <c r="AO868" t="s">
        <v>16582</v>
      </c>
      <c r="AP868" t="s">
        <v>74</v>
      </c>
      <c r="AQ868" t="s">
        <v>74</v>
      </c>
      <c r="AR868" t="s">
        <v>16583</v>
      </c>
      <c r="AS868" t="s">
        <v>16584</v>
      </c>
      <c r="AT868" t="s">
        <v>16585</v>
      </c>
      <c r="AU868">
        <v>2019</v>
      </c>
      <c r="AV868">
        <v>4</v>
      </c>
      <c r="AW868">
        <v>1</v>
      </c>
      <c r="AX868" t="s">
        <v>74</v>
      </c>
      <c r="AY868" t="s">
        <v>74</v>
      </c>
      <c r="AZ868" t="s">
        <v>74</v>
      </c>
      <c r="BA868" t="s">
        <v>74</v>
      </c>
      <c r="BB868">
        <v>1704</v>
      </c>
      <c r="BC868">
        <v>1705</v>
      </c>
      <c r="BD868" t="s">
        <v>74</v>
      </c>
      <c r="BE868" t="s">
        <v>16601</v>
      </c>
      <c r="BF868" t="str">
        <f>HYPERLINK("http://dx.doi.org/10.1080/23802359.2019.1607585","http://dx.doi.org/10.1080/23802359.2019.1607585")</f>
        <v>http://dx.doi.org/10.1080/23802359.2019.1607585</v>
      </c>
      <c r="BG868" t="s">
        <v>74</v>
      </c>
      <c r="BH868" t="s">
        <v>74</v>
      </c>
      <c r="BI868">
        <v>2</v>
      </c>
      <c r="BJ868" t="s">
        <v>1543</v>
      </c>
      <c r="BK868" t="s">
        <v>102</v>
      </c>
      <c r="BL868" t="s">
        <v>1543</v>
      </c>
      <c r="BM868" t="s">
        <v>16602</v>
      </c>
      <c r="BN868" t="s">
        <v>74</v>
      </c>
      <c r="BO868" t="s">
        <v>1415</v>
      </c>
      <c r="BP868" t="s">
        <v>74</v>
      </c>
      <c r="BQ868" t="s">
        <v>74</v>
      </c>
      <c r="BR868" t="s">
        <v>107</v>
      </c>
      <c r="BS868" t="s">
        <v>16603</v>
      </c>
      <c r="BT868" t="str">
        <f>HYPERLINK("https%3A%2F%2Fwww.webofscience.com%2Fwos%2Fwoscc%2Ffull-record%2FWOS:000468062100001","View Full Record in Web of Science")</f>
        <v>View Full Record in Web of Science</v>
      </c>
    </row>
    <row r="869" spans="1:72" x14ac:dyDescent="0.15">
      <c r="A869" t="s">
        <v>72</v>
      </c>
      <c r="B869" t="s">
        <v>16604</v>
      </c>
      <c r="C869" t="s">
        <v>74</v>
      </c>
      <c r="D869" t="s">
        <v>74</v>
      </c>
      <c r="E869" t="s">
        <v>74</v>
      </c>
      <c r="F869" t="s">
        <v>16605</v>
      </c>
      <c r="G869" t="s">
        <v>74</v>
      </c>
      <c r="H869" t="s">
        <v>74</v>
      </c>
      <c r="I869" t="s">
        <v>16606</v>
      </c>
      <c r="J869" t="s">
        <v>16570</v>
      </c>
      <c r="K869" t="s">
        <v>74</v>
      </c>
      <c r="L869" t="s">
        <v>74</v>
      </c>
      <c r="M869" t="s">
        <v>78</v>
      </c>
      <c r="N869" t="s">
        <v>79</v>
      </c>
      <c r="O869" t="s">
        <v>74</v>
      </c>
      <c r="P869" t="s">
        <v>74</v>
      </c>
      <c r="Q869" t="s">
        <v>74</v>
      </c>
      <c r="R869" t="s">
        <v>74</v>
      </c>
      <c r="S869" t="s">
        <v>74</v>
      </c>
      <c r="T869" t="s">
        <v>16607</v>
      </c>
      <c r="U869" t="s">
        <v>16608</v>
      </c>
      <c r="V869" t="s">
        <v>16609</v>
      </c>
      <c r="W869" t="s">
        <v>16610</v>
      </c>
      <c r="X869" t="s">
        <v>12621</v>
      </c>
      <c r="Y869" t="s">
        <v>16611</v>
      </c>
      <c r="Z869" t="s">
        <v>16612</v>
      </c>
      <c r="AA869" t="s">
        <v>74</v>
      </c>
      <c r="AB869" t="s">
        <v>16613</v>
      </c>
      <c r="AC869" t="s">
        <v>16614</v>
      </c>
      <c r="AD869" t="s">
        <v>1798</v>
      </c>
      <c r="AE869" t="s">
        <v>16615</v>
      </c>
      <c r="AF869" t="s">
        <v>74</v>
      </c>
      <c r="AG869">
        <v>8</v>
      </c>
      <c r="AH869">
        <v>2</v>
      </c>
      <c r="AI869">
        <v>2</v>
      </c>
      <c r="AJ869">
        <v>0</v>
      </c>
      <c r="AK869">
        <v>1</v>
      </c>
      <c r="AL869" t="s">
        <v>2055</v>
      </c>
      <c r="AM869" t="s">
        <v>2056</v>
      </c>
      <c r="AN869" t="s">
        <v>2057</v>
      </c>
      <c r="AO869" t="s">
        <v>16582</v>
      </c>
      <c r="AP869" t="s">
        <v>74</v>
      </c>
      <c r="AQ869" t="s">
        <v>74</v>
      </c>
      <c r="AR869" t="s">
        <v>16583</v>
      </c>
      <c r="AS869" t="s">
        <v>16584</v>
      </c>
      <c r="AT869" t="s">
        <v>16585</v>
      </c>
      <c r="AU869">
        <v>2019</v>
      </c>
      <c r="AV869">
        <v>4</v>
      </c>
      <c r="AW869">
        <v>1</v>
      </c>
      <c r="AX869" t="s">
        <v>74</v>
      </c>
      <c r="AY869" t="s">
        <v>74</v>
      </c>
      <c r="AZ869" t="s">
        <v>74</v>
      </c>
      <c r="BA869" t="s">
        <v>74</v>
      </c>
      <c r="BB869">
        <v>1759</v>
      </c>
      <c r="BC869">
        <v>1760</v>
      </c>
      <c r="BD869" t="s">
        <v>74</v>
      </c>
      <c r="BE869" t="s">
        <v>16616</v>
      </c>
      <c r="BF869" t="str">
        <f>HYPERLINK("http://dx.doi.org/10.1080/23802359.2019.1610096","http://dx.doi.org/10.1080/23802359.2019.1610096")</f>
        <v>http://dx.doi.org/10.1080/23802359.2019.1610096</v>
      </c>
      <c r="BG869" t="s">
        <v>74</v>
      </c>
      <c r="BH869" t="s">
        <v>74</v>
      </c>
      <c r="BI869">
        <v>2</v>
      </c>
      <c r="BJ869" t="s">
        <v>1543</v>
      </c>
      <c r="BK869" t="s">
        <v>102</v>
      </c>
      <c r="BL869" t="s">
        <v>1543</v>
      </c>
      <c r="BM869" t="s">
        <v>16617</v>
      </c>
      <c r="BN869" t="s">
        <v>74</v>
      </c>
      <c r="BO869" t="s">
        <v>1415</v>
      </c>
      <c r="BP869" t="s">
        <v>74</v>
      </c>
      <c r="BQ869" t="s">
        <v>74</v>
      </c>
      <c r="BR869" t="s">
        <v>107</v>
      </c>
      <c r="BS869" t="s">
        <v>16618</v>
      </c>
      <c r="BT869" t="str">
        <f>HYPERLINK("https%3A%2F%2Fwww.webofscience.com%2Fwos%2Fwoscc%2Ffull-record%2FWOS:000467408000001","View Full Record in Web of Science")</f>
        <v>View Full Record in Web of Science</v>
      </c>
    </row>
    <row r="870" spans="1:72" x14ac:dyDescent="0.15">
      <c r="A870" t="s">
        <v>72</v>
      </c>
      <c r="B870" t="s">
        <v>16619</v>
      </c>
      <c r="C870" t="s">
        <v>74</v>
      </c>
      <c r="D870" t="s">
        <v>74</v>
      </c>
      <c r="E870" t="s">
        <v>74</v>
      </c>
      <c r="F870" t="s">
        <v>16620</v>
      </c>
      <c r="G870" t="s">
        <v>74</v>
      </c>
      <c r="H870" t="s">
        <v>74</v>
      </c>
      <c r="I870" t="s">
        <v>16621</v>
      </c>
      <c r="J870" t="s">
        <v>16570</v>
      </c>
      <c r="K870" t="s">
        <v>74</v>
      </c>
      <c r="L870" t="s">
        <v>74</v>
      </c>
      <c r="M870" t="s">
        <v>78</v>
      </c>
      <c r="N870" t="s">
        <v>79</v>
      </c>
      <c r="O870" t="s">
        <v>74</v>
      </c>
      <c r="P870" t="s">
        <v>74</v>
      </c>
      <c r="Q870" t="s">
        <v>74</v>
      </c>
      <c r="R870" t="s">
        <v>74</v>
      </c>
      <c r="S870" t="s">
        <v>74</v>
      </c>
      <c r="T870" t="s">
        <v>16622</v>
      </c>
      <c r="U870" t="s">
        <v>16623</v>
      </c>
      <c r="V870" t="s">
        <v>16624</v>
      </c>
      <c r="W870" t="s">
        <v>16625</v>
      </c>
      <c r="X870" t="s">
        <v>16626</v>
      </c>
      <c r="Y870" t="s">
        <v>16627</v>
      </c>
      <c r="Z870" t="s">
        <v>16628</v>
      </c>
      <c r="AA870" t="s">
        <v>16629</v>
      </c>
      <c r="AB870" t="s">
        <v>16630</v>
      </c>
      <c r="AC870" t="s">
        <v>16631</v>
      </c>
      <c r="AD870" t="s">
        <v>16632</v>
      </c>
      <c r="AE870" t="s">
        <v>16633</v>
      </c>
      <c r="AF870" t="s">
        <v>74</v>
      </c>
      <c r="AG870">
        <v>24</v>
      </c>
      <c r="AH870">
        <v>0</v>
      </c>
      <c r="AI870">
        <v>0</v>
      </c>
      <c r="AJ870">
        <v>0</v>
      </c>
      <c r="AK870">
        <v>1</v>
      </c>
      <c r="AL870" t="s">
        <v>2055</v>
      </c>
      <c r="AM870" t="s">
        <v>2056</v>
      </c>
      <c r="AN870" t="s">
        <v>2057</v>
      </c>
      <c r="AO870" t="s">
        <v>74</v>
      </c>
      <c r="AP870" t="s">
        <v>16582</v>
      </c>
      <c r="AQ870" t="s">
        <v>74</v>
      </c>
      <c r="AR870" t="s">
        <v>16583</v>
      </c>
      <c r="AS870" t="s">
        <v>16584</v>
      </c>
      <c r="AT870" t="s">
        <v>16585</v>
      </c>
      <c r="AU870">
        <v>2019</v>
      </c>
      <c r="AV870">
        <v>4</v>
      </c>
      <c r="AW870">
        <v>1</v>
      </c>
      <c r="AX870" t="s">
        <v>74</v>
      </c>
      <c r="AY870" t="s">
        <v>74</v>
      </c>
      <c r="AZ870" t="s">
        <v>74</v>
      </c>
      <c r="BA870" t="s">
        <v>74</v>
      </c>
      <c r="BB870">
        <v>1706</v>
      </c>
      <c r="BC870">
        <v>1708</v>
      </c>
      <c r="BD870" t="s">
        <v>74</v>
      </c>
      <c r="BE870" t="s">
        <v>16634</v>
      </c>
      <c r="BF870" t="str">
        <f>HYPERLINK("http://dx.doi.org/10.1080/23802359.2019.1607593","http://dx.doi.org/10.1080/23802359.2019.1607593")</f>
        <v>http://dx.doi.org/10.1080/23802359.2019.1607593</v>
      </c>
      <c r="BG870" t="s">
        <v>74</v>
      </c>
      <c r="BH870" t="s">
        <v>74</v>
      </c>
      <c r="BI870">
        <v>3</v>
      </c>
      <c r="BJ870" t="s">
        <v>1543</v>
      </c>
      <c r="BK870" t="s">
        <v>102</v>
      </c>
      <c r="BL870" t="s">
        <v>1543</v>
      </c>
      <c r="BM870" t="s">
        <v>16635</v>
      </c>
      <c r="BN870" t="s">
        <v>74</v>
      </c>
      <c r="BO870" t="s">
        <v>1415</v>
      </c>
      <c r="BP870" t="s">
        <v>74</v>
      </c>
      <c r="BQ870" t="s">
        <v>74</v>
      </c>
      <c r="BR870" t="s">
        <v>107</v>
      </c>
      <c r="BS870" t="s">
        <v>16636</v>
      </c>
      <c r="BT870" t="str">
        <f>HYPERLINK("https%3A%2F%2Fwww.webofscience.com%2Fwos%2Fwoscc%2Ffull-record%2FWOS:000466108600001","View Full Record in Web of Science")</f>
        <v>View Full Record in Web of Science</v>
      </c>
    </row>
    <row r="871" spans="1:72" x14ac:dyDescent="0.15">
      <c r="A871" t="s">
        <v>72</v>
      </c>
      <c r="B871" t="s">
        <v>16637</v>
      </c>
      <c r="C871" t="s">
        <v>74</v>
      </c>
      <c r="D871" t="s">
        <v>74</v>
      </c>
      <c r="E871" t="s">
        <v>74</v>
      </c>
      <c r="F871" t="s">
        <v>16638</v>
      </c>
      <c r="G871" t="s">
        <v>74</v>
      </c>
      <c r="H871" t="s">
        <v>74</v>
      </c>
      <c r="I871" t="s">
        <v>16639</v>
      </c>
      <c r="J871" t="s">
        <v>16570</v>
      </c>
      <c r="K871" t="s">
        <v>74</v>
      </c>
      <c r="L871" t="s">
        <v>74</v>
      </c>
      <c r="M871" t="s">
        <v>78</v>
      </c>
      <c r="N871" t="s">
        <v>79</v>
      </c>
      <c r="O871" t="s">
        <v>74</v>
      </c>
      <c r="P871" t="s">
        <v>74</v>
      </c>
      <c r="Q871" t="s">
        <v>74</v>
      </c>
      <c r="R871" t="s">
        <v>74</v>
      </c>
      <c r="S871" t="s">
        <v>74</v>
      </c>
      <c r="T871" t="s">
        <v>16640</v>
      </c>
      <c r="U871" t="s">
        <v>74</v>
      </c>
      <c r="V871" t="s">
        <v>16641</v>
      </c>
      <c r="W871" t="s">
        <v>16642</v>
      </c>
      <c r="X871" t="s">
        <v>12621</v>
      </c>
      <c r="Y871" t="s">
        <v>16643</v>
      </c>
      <c r="Z871" t="s">
        <v>16644</v>
      </c>
      <c r="AA871" t="s">
        <v>74</v>
      </c>
      <c r="AB871" t="s">
        <v>16613</v>
      </c>
      <c r="AC871" t="s">
        <v>16645</v>
      </c>
      <c r="AD871" t="s">
        <v>1798</v>
      </c>
      <c r="AE871" t="s">
        <v>16646</v>
      </c>
      <c r="AF871" t="s">
        <v>74</v>
      </c>
      <c r="AG871">
        <v>8</v>
      </c>
      <c r="AH871">
        <v>2</v>
      </c>
      <c r="AI871">
        <v>3</v>
      </c>
      <c r="AJ871">
        <v>0</v>
      </c>
      <c r="AK871">
        <v>9</v>
      </c>
      <c r="AL871" t="s">
        <v>2055</v>
      </c>
      <c r="AM871" t="s">
        <v>2056</v>
      </c>
      <c r="AN871" t="s">
        <v>2057</v>
      </c>
      <c r="AO871" t="s">
        <v>16582</v>
      </c>
      <c r="AP871" t="s">
        <v>74</v>
      </c>
      <c r="AQ871" t="s">
        <v>74</v>
      </c>
      <c r="AR871" t="s">
        <v>16583</v>
      </c>
      <c r="AS871" t="s">
        <v>16584</v>
      </c>
      <c r="AT871" t="s">
        <v>16585</v>
      </c>
      <c r="AU871">
        <v>2019</v>
      </c>
      <c r="AV871">
        <v>4</v>
      </c>
      <c r="AW871">
        <v>1</v>
      </c>
      <c r="AX871" t="s">
        <v>74</v>
      </c>
      <c r="AY871" t="s">
        <v>74</v>
      </c>
      <c r="AZ871" t="s">
        <v>74</v>
      </c>
      <c r="BA871" t="s">
        <v>74</v>
      </c>
      <c r="BB871">
        <v>1714</v>
      </c>
      <c r="BC871">
        <v>1715</v>
      </c>
      <c r="BD871" t="s">
        <v>74</v>
      </c>
      <c r="BE871" t="s">
        <v>16647</v>
      </c>
      <c r="BF871" t="str">
        <f>HYPERLINK("http://dx.doi.org/10.1080/23802359.2019.1605856","http://dx.doi.org/10.1080/23802359.2019.1605856")</f>
        <v>http://dx.doi.org/10.1080/23802359.2019.1605856</v>
      </c>
      <c r="BG871" t="s">
        <v>74</v>
      </c>
      <c r="BH871" t="s">
        <v>74</v>
      </c>
      <c r="BI871">
        <v>2</v>
      </c>
      <c r="BJ871" t="s">
        <v>1543</v>
      </c>
      <c r="BK871" t="s">
        <v>102</v>
      </c>
      <c r="BL871" t="s">
        <v>1543</v>
      </c>
      <c r="BM871" t="s">
        <v>16648</v>
      </c>
      <c r="BN871" t="s">
        <v>74</v>
      </c>
      <c r="BO871" t="s">
        <v>1415</v>
      </c>
      <c r="BP871" t="s">
        <v>74</v>
      </c>
      <c r="BQ871" t="s">
        <v>74</v>
      </c>
      <c r="BR871" t="s">
        <v>107</v>
      </c>
      <c r="BS871" t="s">
        <v>16649</v>
      </c>
      <c r="BT871" t="str">
        <f>HYPERLINK("https%3A%2F%2Fwww.webofscience.com%2Fwos%2Fwoscc%2Ffull-record%2FWOS:000466512200001","View Full Record in Web of Science")</f>
        <v>View Full Record in Web of Science</v>
      </c>
    </row>
    <row r="872" spans="1:72" x14ac:dyDescent="0.15">
      <c r="A872" t="s">
        <v>72</v>
      </c>
      <c r="B872" t="s">
        <v>16650</v>
      </c>
      <c r="C872" t="s">
        <v>74</v>
      </c>
      <c r="D872" t="s">
        <v>74</v>
      </c>
      <c r="E872" t="s">
        <v>74</v>
      </c>
      <c r="F872" t="s">
        <v>16651</v>
      </c>
      <c r="G872" t="s">
        <v>74</v>
      </c>
      <c r="H872" t="s">
        <v>74</v>
      </c>
      <c r="I872" t="s">
        <v>16652</v>
      </c>
      <c r="J872" t="s">
        <v>16570</v>
      </c>
      <c r="K872" t="s">
        <v>74</v>
      </c>
      <c r="L872" t="s">
        <v>74</v>
      </c>
      <c r="M872" t="s">
        <v>78</v>
      </c>
      <c r="N872" t="s">
        <v>79</v>
      </c>
      <c r="O872" t="s">
        <v>74</v>
      </c>
      <c r="P872" t="s">
        <v>74</v>
      </c>
      <c r="Q872" t="s">
        <v>74</v>
      </c>
      <c r="R872" t="s">
        <v>74</v>
      </c>
      <c r="S872" t="s">
        <v>74</v>
      </c>
      <c r="T872" t="s">
        <v>16653</v>
      </c>
      <c r="U872" t="s">
        <v>74</v>
      </c>
      <c r="V872" t="s">
        <v>16654</v>
      </c>
      <c r="W872" t="s">
        <v>16655</v>
      </c>
      <c r="X872" t="s">
        <v>16656</v>
      </c>
      <c r="Y872" t="s">
        <v>16657</v>
      </c>
      <c r="Z872" t="s">
        <v>16658</v>
      </c>
      <c r="AA872" t="s">
        <v>16659</v>
      </c>
      <c r="AB872" t="s">
        <v>74</v>
      </c>
      <c r="AC872" t="s">
        <v>16660</v>
      </c>
      <c r="AD872" t="s">
        <v>16661</v>
      </c>
      <c r="AE872" t="s">
        <v>16662</v>
      </c>
      <c r="AF872" t="s">
        <v>74</v>
      </c>
      <c r="AG872">
        <v>5</v>
      </c>
      <c r="AH872">
        <v>0</v>
      </c>
      <c r="AI872">
        <v>0</v>
      </c>
      <c r="AJ872">
        <v>0</v>
      </c>
      <c r="AK872">
        <v>2</v>
      </c>
      <c r="AL872" t="s">
        <v>2055</v>
      </c>
      <c r="AM872" t="s">
        <v>2056</v>
      </c>
      <c r="AN872" t="s">
        <v>2057</v>
      </c>
      <c r="AO872" t="s">
        <v>16582</v>
      </c>
      <c r="AP872" t="s">
        <v>74</v>
      </c>
      <c r="AQ872" t="s">
        <v>74</v>
      </c>
      <c r="AR872" t="s">
        <v>16583</v>
      </c>
      <c r="AS872" t="s">
        <v>16584</v>
      </c>
      <c r="AT872" t="s">
        <v>16585</v>
      </c>
      <c r="AU872">
        <v>2019</v>
      </c>
      <c r="AV872">
        <v>4</v>
      </c>
      <c r="AW872">
        <v>1</v>
      </c>
      <c r="AX872" t="s">
        <v>74</v>
      </c>
      <c r="AY872" t="s">
        <v>74</v>
      </c>
      <c r="AZ872" t="s">
        <v>74</v>
      </c>
      <c r="BA872" t="s">
        <v>74</v>
      </c>
      <c r="BB872">
        <v>1709</v>
      </c>
      <c r="BC872">
        <v>1710</v>
      </c>
      <c r="BD872" t="s">
        <v>74</v>
      </c>
      <c r="BE872" t="s">
        <v>16663</v>
      </c>
      <c r="BF872" t="str">
        <f>HYPERLINK("http://dx.doi.org/10.1080/23802359.2019.1606681","http://dx.doi.org/10.1080/23802359.2019.1606681")</f>
        <v>http://dx.doi.org/10.1080/23802359.2019.1606681</v>
      </c>
      <c r="BG872" t="s">
        <v>74</v>
      </c>
      <c r="BH872" t="s">
        <v>74</v>
      </c>
      <c r="BI872">
        <v>2</v>
      </c>
      <c r="BJ872" t="s">
        <v>1543</v>
      </c>
      <c r="BK872" t="s">
        <v>102</v>
      </c>
      <c r="BL872" t="s">
        <v>1543</v>
      </c>
      <c r="BM872" t="s">
        <v>16664</v>
      </c>
      <c r="BN872" t="s">
        <v>74</v>
      </c>
      <c r="BO872" t="s">
        <v>1415</v>
      </c>
      <c r="BP872" t="s">
        <v>74</v>
      </c>
      <c r="BQ872" t="s">
        <v>74</v>
      </c>
      <c r="BR872" t="s">
        <v>107</v>
      </c>
      <c r="BS872" t="s">
        <v>16665</v>
      </c>
      <c r="BT872" t="str">
        <f>HYPERLINK("https%3A%2F%2Fwww.webofscience.com%2Fwos%2Fwoscc%2Ffull-record%2FWOS:000465840500001","View Full Record in Web of Science")</f>
        <v>View Full Record in Web of Science</v>
      </c>
    </row>
    <row r="873" spans="1:72" x14ac:dyDescent="0.15">
      <c r="A873" t="s">
        <v>72</v>
      </c>
      <c r="B873" t="s">
        <v>16666</v>
      </c>
      <c r="C873" t="s">
        <v>74</v>
      </c>
      <c r="D873" t="s">
        <v>74</v>
      </c>
      <c r="E873" t="s">
        <v>74</v>
      </c>
      <c r="F873" t="s">
        <v>16667</v>
      </c>
      <c r="G873" t="s">
        <v>74</v>
      </c>
      <c r="H873" t="s">
        <v>74</v>
      </c>
      <c r="I873" t="s">
        <v>16668</v>
      </c>
      <c r="J873" t="s">
        <v>16570</v>
      </c>
      <c r="K873" t="s">
        <v>74</v>
      </c>
      <c r="L873" t="s">
        <v>74</v>
      </c>
      <c r="M873" t="s">
        <v>78</v>
      </c>
      <c r="N873" t="s">
        <v>79</v>
      </c>
      <c r="O873" t="s">
        <v>74</v>
      </c>
      <c r="P873" t="s">
        <v>74</v>
      </c>
      <c r="Q873" t="s">
        <v>74</v>
      </c>
      <c r="R873" t="s">
        <v>74</v>
      </c>
      <c r="S873" t="s">
        <v>74</v>
      </c>
      <c r="T873" t="s">
        <v>16669</v>
      </c>
      <c r="U873" t="s">
        <v>74</v>
      </c>
      <c r="V873" t="s">
        <v>16670</v>
      </c>
      <c r="W873" t="s">
        <v>16671</v>
      </c>
      <c r="X873" t="s">
        <v>16626</v>
      </c>
      <c r="Y873" t="s">
        <v>16672</v>
      </c>
      <c r="Z873" t="s">
        <v>16673</v>
      </c>
      <c r="AA873" t="s">
        <v>16674</v>
      </c>
      <c r="AB873" t="s">
        <v>16675</v>
      </c>
      <c r="AC873" t="s">
        <v>16676</v>
      </c>
      <c r="AD873" t="s">
        <v>16677</v>
      </c>
      <c r="AE873" t="s">
        <v>16678</v>
      </c>
      <c r="AF873" t="s">
        <v>74</v>
      </c>
      <c r="AG873">
        <v>15</v>
      </c>
      <c r="AH873">
        <v>6</v>
      </c>
      <c r="AI873">
        <v>6</v>
      </c>
      <c r="AJ873">
        <v>0</v>
      </c>
      <c r="AK873">
        <v>2</v>
      </c>
      <c r="AL873" t="s">
        <v>2055</v>
      </c>
      <c r="AM873" t="s">
        <v>2056</v>
      </c>
      <c r="AN873" t="s">
        <v>2057</v>
      </c>
      <c r="AO873" t="s">
        <v>74</v>
      </c>
      <c r="AP873" t="s">
        <v>16582</v>
      </c>
      <c r="AQ873" t="s">
        <v>74</v>
      </c>
      <c r="AR873" t="s">
        <v>16583</v>
      </c>
      <c r="AS873" t="s">
        <v>16584</v>
      </c>
      <c r="AT873" t="s">
        <v>16585</v>
      </c>
      <c r="AU873">
        <v>2019</v>
      </c>
      <c r="AV873">
        <v>4</v>
      </c>
      <c r="AW873">
        <v>1</v>
      </c>
      <c r="AX873" t="s">
        <v>74</v>
      </c>
      <c r="AY873" t="s">
        <v>74</v>
      </c>
      <c r="AZ873" t="s">
        <v>74</v>
      </c>
      <c r="BA873" t="s">
        <v>74</v>
      </c>
      <c r="BB873">
        <v>1594</v>
      </c>
      <c r="BC873">
        <v>1596</v>
      </c>
      <c r="BD873" t="s">
        <v>74</v>
      </c>
      <c r="BE873" t="s">
        <v>16679</v>
      </c>
      <c r="BF873" t="str">
        <f>HYPERLINK("http://dx.doi.org/10.1080/23802359.2019.1601514","http://dx.doi.org/10.1080/23802359.2019.1601514")</f>
        <v>http://dx.doi.org/10.1080/23802359.2019.1601514</v>
      </c>
      <c r="BG873" t="s">
        <v>74</v>
      </c>
      <c r="BH873" t="s">
        <v>74</v>
      </c>
      <c r="BI873">
        <v>3</v>
      </c>
      <c r="BJ873" t="s">
        <v>1543</v>
      </c>
      <c r="BK873" t="s">
        <v>102</v>
      </c>
      <c r="BL873" t="s">
        <v>1543</v>
      </c>
      <c r="BM873" t="s">
        <v>16680</v>
      </c>
      <c r="BN873" t="s">
        <v>74</v>
      </c>
      <c r="BO873" t="s">
        <v>1415</v>
      </c>
      <c r="BP873" t="s">
        <v>74</v>
      </c>
      <c r="BQ873" t="s">
        <v>74</v>
      </c>
      <c r="BR873" t="s">
        <v>107</v>
      </c>
      <c r="BS873" t="s">
        <v>16681</v>
      </c>
      <c r="BT873" t="str">
        <f>HYPERLINK("https%3A%2F%2Fwww.webofscience.com%2Fwos%2Fwoscc%2Ffull-record%2FWOS:000464711500001","View Full Record in Web of Science")</f>
        <v>View Full Record in Web of Science</v>
      </c>
    </row>
    <row r="874" spans="1:72" x14ac:dyDescent="0.15">
      <c r="A874" t="s">
        <v>72</v>
      </c>
      <c r="B874" t="s">
        <v>16682</v>
      </c>
      <c r="C874" t="s">
        <v>74</v>
      </c>
      <c r="D874" t="s">
        <v>74</v>
      </c>
      <c r="E874" t="s">
        <v>74</v>
      </c>
      <c r="F874" t="s">
        <v>16683</v>
      </c>
      <c r="G874" t="s">
        <v>74</v>
      </c>
      <c r="H874" t="s">
        <v>74</v>
      </c>
      <c r="I874" t="s">
        <v>16684</v>
      </c>
      <c r="J874" t="s">
        <v>16570</v>
      </c>
      <c r="K874" t="s">
        <v>74</v>
      </c>
      <c r="L874" t="s">
        <v>74</v>
      </c>
      <c r="M874" t="s">
        <v>78</v>
      </c>
      <c r="N874" t="s">
        <v>79</v>
      </c>
      <c r="O874" t="s">
        <v>74</v>
      </c>
      <c r="P874" t="s">
        <v>74</v>
      </c>
      <c r="Q874" t="s">
        <v>74</v>
      </c>
      <c r="R874" t="s">
        <v>74</v>
      </c>
      <c r="S874" t="s">
        <v>74</v>
      </c>
      <c r="T874" t="s">
        <v>16685</v>
      </c>
      <c r="U874" t="s">
        <v>16686</v>
      </c>
      <c r="V874" t="s">
        <v>16687</v>
      </c>
      <c r="W874" t="s">
        <v>16688</v>
      </c>
      <c r="X874" t="s">
        <v>16626</v>
      </c>
      <c r="Y874" t="s">
        <v>16689</v>
      </c>
      <c r="Z874" t="s">
        <v>16673</v>
      </c>
      <c r="AA874" t="s">
        <v>16690</v>
      </c>
      <c r="AB874" t="s">
        <v>16691</v>
      </c>
      <c r="AC874" t="s">
        <v>16692</v>
      </c>
      <c r="AD874" t="s">
        <v>16693</v>
      </c>
      <c r="AE874" t="s">
        <v>16694</v>
      </c>
      <c r="AF874" t="s">
        <v>74</v>
      </c>
      <c r="AG874">
        <v>20</v>
      </c>
      <c r="AH874">
        <v>7</v>
      </c>
      <c r="AI874">
        <v>7</v>
      </c>
      <c r="AJ874">
        <v>1</v>
      </c>
      <c r="AK874">
        <v>4</v>
      </c>
      <c r="AL874" t="s">
        <v>2055</v>
      </c>
      <c r="AM874" t="s">
        <v>2056</v>
      </c>
      <c r="AN874" t="s">
        <v>2057</v>
      </c>
      <c r="AO874" t="s">
        <v>74</v>
      </c>
      <c r="AP874" t="s">
        <v>16582</v>
      </c>
      <c r="AQ874" t="s">
        <v>74</v>
      </c>
      <c r="AR874" t="s">
        <v>16583</v>
      </c>
      <c r="AS874" t="s">
        <v>16584</v>
      </c>
      <c r="AT874" t="s">
        <v>16585</v>
      </c>
      <c r="AU874">
        <v>2019</v>
      </c>
      <c r="AV874">
        <v>4</v>
      </c>
      <c r="AW874">
        <v>1</v>
      </c>
      <c r="AX874" t="s">
        <v>74</v>
      </c>
      <c r="AY874" t="s">
        <v>74</v>
      </c>
      <c r="AZ874" t="s">
        <v>74</v>
      </c>
      <c r="BA874" t="s">
        <v>74</v>
      </c>
      <c r="BB874">
        <v>1195</v>
      </c>
      <c r="BC874">
        <v>1197</v>
      </c>
      <c r="BD874" t="s">
        <v>74</v>
      </c>
      <c r="BE874" t="s">
        <v>16695</v>
      </c>
      <c r="BF874" t="str">
        <f>HYPERLINK("http://dx.doi.org/10.1080/23802359.2019.1591219","http://dx.doi.org/10.1080/23802359.2019.1591219")</f>
        <v>http://dx.doi.org/10.1080/23802359.2019.1591219</v>
      </c>
      <c r="BG874" t="s">
        <v>74</v>
      </c>
      <c r="BH874" t="s">
        <v>74</v>
      </c>
      <c r="BI874">
        <v>3</v>
      </c>
      <c r="BJ874" t="s">
        <v>1543</v>
      </c>
      <c r="BK874" t="s">
        <v>102</v>
      </c>
      <c r="BL874" t="s">
        <v>1543</v>
      </c>
      <c r="BM874" t="s">
        <v>16696</v>
      </c>
      <c r="BN874" t="s">
        <v>74</v>
      </c>
      <c r="BO874" t="s">
        <v>1415</v>
      </c>
      <c r="BP874" t="s">
        <v>74</v>
      </c>
      <c r="BQ874" t="s">
        <v>74</v>
      </c>
      <c r="BR874" t="s">
        <v>107</v>
      </c>
      <c r="BS874" t="s">
        <v>16697</v>
      </c>
      <c r="BT874" t="str">
        <f>HYPERLINK("https%3A%2F%2Fwww.webofscience.com%2Fwos%2Fwoscc%2Ffull-record%2FWOS:000462006200001","View Full Record in Web of Science")</f>
        <v>View Full Record in Web of Science</v>
      </c>
    </row>
    <row r="875" spans="1:72" x14ac:dyDescent="0.15">
      <c r="A875" t="s">
        <v>72</v>
      </c>
      <c r="B875" t="s">
        <v>16698</v>
      </c>
      <c r="C875" t="s">
        <v>74</v>
      </c>
      <c r="D875" t="s">
        <v>74</v>
      </c>
      <c r="E875" t="s">
        <v>74</v>
      </c>
      <c r="F875" t="s">
        <v>16699</v>
      </c>
      <c r="G875" t="s">
        <v>74</v>
      </c>
      <c r="H875" t="s">
        <v>74</v>
      </c>
      <c r="I875" t="s">
        <v>16700</v>
      </c>
      <c r="J875" t="s">
        <v>16701</v>
      </c>
      <c r="K875" t="s">
        <v>74</v>
      </c>
      <c r="L875" t="s">
        <v>74</v>
      </c>
      <c r="M875" t="s">
        <v>78</v>
      </c>
      <c r="N875" t="s">
        <v>79</v>
      </c>
      <c r="O875" t="s">
        <v>74</v>
      </c>
      <c r="P875" t="s">
        <v>74</v>
      </c>
      <c r="Q875" t="s">
        <v>74</v>
      </c>
      <c r="R875" t="s">
        <v>74</v>
      </c>
      <c r="S875" t="s">
        <v>74</v>
      </c>
      <c r="T875" t="s">
        <v>16702</v>
      </c>
      <c r="U875" t="s">
        <v>16703</v>
      </c>
      <c r="V875" t="s">
        <v>16704</v>
      </c>
      <c r="W875" t="s">
        <v>16705</v>
      </c>
      <c r="X875" t="s">
        <v>16706</v>
      </c>
      <c r="Y875" t="s">
        <v>16707</v>
      </c>
      <c r="Z875" t="s">
        <v>16708</v>
      </c>
      <c r="AA875" t="s">
        <v>16709</v>
      </c>
      <c r="AB875" t="s">
        <v>16710</v>
      </c>
      <c r="AC875" t="s">
        <v>16711</v>
      </c>
      <c r="AD875" t="s">
        <v>16712</v>
      </c>
      <c r="AE875" t="s">
        <v>16713</v>
      </c>
      <c r="AF875" t="s">
        <v>74</v>
      </c>
      <c r="AG875">
        <v>82</v>
      </c>
      <c r="AH875">
        <v>8</v>
      </c>
      <c r="AI875">
        <v>9</v>
      </c>
      <c r="AJ875">
        <v>0</v>
      </c>
      <c r="AK875">
        <v>7</v>
      </c>
      <c r="AL875" t="s">
        <v>2288</v>
      </c>
      <c r="AM875" t="s">
        <v>2289</v>
      </c>
      <c r="AN875" t="s">
        <v>2290</v>
      </c>
      <c r="AO875" t="s">
        <v>16714</v>
      </c>
      <c r="AP875" t="s">
        <v>16715</v>
      </c>
      <c r="AQ875" t="s">
        <v>74</v>
      </c>
      <c r="AR875" t="s">
        <v>16701</v>
      </c>
      <c r="AS875" t="s">
        <v>16716</v>
      </c>
      <c r="AT875" t="s">
        <v>16585</v>
      </c>
      <c r="AU875">
        <v>2019</v>
      </c>
      <c r="AV875">
        <v>111</v>
      </c>
      <c r="AW875">
        <v>1</v>
      </c>
      <c r="AX875" t="s">
        <v>74</v>
      </c>
      <c r="AY875" t="s">
        <v>74</v>
      </c>
      <c r="AZ875" t="s">
        <v>74</v>
      </c>
      <c r="BA875" t="s">
        <v>74</v>
      </c>
      <c r="BB875">
        <v>127</v>
      </c>
      <c r="BC875">
        <v>160</v>
      </c>
      <c r="BD875" t="s">
        <v>74</v>
      </c>
      <c r="BE875" t="s">
        <v>16717</v>
      </c>
      <c r="BF875" t="str">
        <f>HYPERLINK("http://dx.doi.org/10.1080/00275514.2018.1543510","http://dx.doi.org/10.1080/00275514.2018.1543510")</f>
        <v>http://dx.doi.org/10.1080/00275514.2018.1543510</v>
      </c>
      <c r="BG875" t="s">
        <v>74</v>
      </c>
      <c r="BH875" t="s">
        <v>74</v>
      </c>
      <c r="BI875">
        <v>34</v>
      </c>
      <c r="BJ875" t="s">
        <v>13667</v>
      </c>
      <c r="BK875" t="s">
        <v>102</v>
      </c>
      <c r="BL875" t="s">
        <v>13667</v>
      </c>
      <c r="BM875" t="s">
        <v>16718</v>
      </c>
      <c r="BN875">
        <v>30724710</v>
      </c>
      <c r="BO875" t="s">
        <v>74</v>
      </c>
      <c r="BP875" t="s">
        <v>74</v>
      </c>
      <c r="BQ875" t="s">
        <v>74</v>
      </c>
      <c r="BR875" t="s">
        <v>107</v>
      </c>
      <c r="BS875" t="s">
        <v>16719</v>
      </c>
      <c r="BT875" t="str">
        <f>HYPERLINK("https%3A%2F%2Fwww.webofscience.com%2Fwos%2Fwoscc%2Ffull-record%2FWOS:000459598300009","View Full Record in Web of Science")</f>
        <v>View Full Record in Web of Science</v>
      </c>
    </row>
    <row r="876" spans="1:72" x14ac:dyDescent="0.15">
      <c r="A876" t="s">
        <v>72</v>
      </c>
      <c r="B876" t="s">
        <v>16720</v>
      </c>
      <c r="C876" t="s">
        <v>74</v>
      </c>
      <c r="D876" t="s">
        <v>74</v>
      </c>
      <c r="E876" t="s">
        <v>74</v>
      </c>
      <c r="F876" t="s">
        <v>16721</v>
      </c>
      <c r="G876" t="s">
        <v>74</v>
      </c>
      <c r="H876" t="s">
        <v>74</v>
      </c>
      <c r="I876" t="s">
        <v>16722</v>
      </c>
      <c r="J876" t="s">
        <v>16723</v>
      </c>
      <c r="K876" t="s">
        <v>74</v>
      </c>
      <c r="L876" t="s">
        <v>74</v>
      </c>
      <c r="M876" t="s">
        <v>78</v>
      </c>
      <c r="N876" t="s">
        <v>79</v>
      </c>
      <c r="O876" t="s">
        <v>74</v>
      </c>
      <c r="P876" t="s">
        <v>74</v>
      </c>
      <c r="Q876" t="s">
        <v>74</v>
      </c>
      <c r="R876" t="s">
        <v>74</v>
      </c>
      <c r="S876" t="s">
        <v>74</v>
      </c>
      <c r="T876" t="s">
        <v>16724</v>
      </c>
      <c r="U876" t="s">
        <v>16725</v>
      </c>
      <c r="V876" t="s">
        <v>16726</v>
      </c>
      <c r="W876" t="s">
        <v>16727</v>
      </c>
      <c r="X876" t="s">
        <v>16728</v>
      </c>
      <c r="Y876" t="s">
        <v>16729</v>
      </c>
      <c r="Z876" t="s">
        <v>16730</v>
      </c>
      <c r="AA876" t="s">
        <v>16731</v>
      </c>
      <c r="AB876" t="s">
        <v>16732</v>
      </c>
      <c r="AC876" t="s">
        <v>16733</v>
      </c>
      <c r="AD876" t="s">
        <v>16734</v>
      </c>
      <c r="AE876" t="s">
        <v>16735</v>
      </c>
      <c r="AF876" t="s">
        <v>74</v>
      </c>
      <c r="AG876">
        <v>83</v>
      </c>
      <c r="AH876">
        <v>7</v>
      </c>
      <c r="AI876">
        <v>8</v>
      </c>
      <c r="AJ876">
        <v>0</v>
      </c>
      <c r="AK876">
        <v>12</v>
      </c>
      <c r="AL876" t="s">
        <v>2055</v>
      </c>
      <c r="AM876" t="s">
        <v>2056</v>
      </c>
      <c r="AN876" t="s">
        <v>2057</v>
      </c>
      <c r="AO876" t="s">
        <v>16736</v>
      </c>
      <c r="AP876" t="s">
        <v>16737</v>
      </c>
      <c r="AQ876" t="s">
        <v>74</v>
      </c>
      <c r="AR876" t="s">
        <v>16738</v>
      </c>
      <c r="AS876" t="s">
        <v>16739</v>
      </c>
      <c r="AT876" t="s">
        <v>16585</v>
      </c>
      <c r="AU876">
        <v>2019</v>
      </c>
      <c r="AV876">
        <v>101</v>
      </c>
      <c r="AW876">
        <v>1</v>
      </c>
      <c r="AX876" t="s">
        <v>74</v>
      </c>
      <c r="AY876" t="s">
        <v>74</v>
      </c>
      <c r="AZ876" t="s">
        <v>74</v>
      </c>
      <c r="BA876" t="s">
        <v>74</v>
      </c>
      <c r="BB876">
        <v>45</v>
      </c>
      <c r="BC876">
        <v>67</v>
      </c>
      <c r="BD876" t="s">
        <v>74</v>
      </c>
      <c r="BE876" t="s">
        <v>16740</v>
      </c>
      <c r="BF876" t="str">
        <f>HYPERLINK("http://dx.doi.org/10.1080/04353676.2018.1539830","http://dx.doi.org/10.1080/04353676.2018.1539830")</f>
        <v>http://dx.doi.org/10.1080/04353676.2018.1539830</v>
      </c>
      <c r="BG876" t="s">
        <v>74</v>
      </c>
      <c r="BH876" t="s">
        <v>74</v>
      </c>
      <c r="BI876">
        <v>23</v>
      </c>
      <c r="BJ876" t="s">
        <v>16741</v>
      </c>
      <c r="BK876" t="s">
        <v>102</v>
      </c>
      <c r="BL876" t="s">
        <v>1143</v>
      </c>
      <c r="BM876" t="s">
        <v>16742</v>
      </c>
      <c r="BN876" t="s">
        <v>74</v>
      </c>
      <c r="BO876" t="s">
        <v>5573</v>
      </c>
      <c r="BP876" t="s">
        <v>74</v>
      </c>
      <c r="BQ876" t="s">
        <v>74</v>
      </c>
      <c r="BR876" t="s">
        <v>107</v>
      </c>
      <c r="BS876" t="s">
        <v>16743</v>
      </c>
      <c r="BT876" t="str">
        <f>HYPERLINK("https%3A%2F%2Fwww.webofscience.com%2Fwos%2Fwoscc%2Ffull-record%2FWOS:000457418400004","View Full Record in Web of Science")</f>
        <v>View Full Record in Web of Science</v>
      </c>
    </row>
    <row r="877" spans="1:72" x14ac:dyDescent="0.15">
      <c r="A877" t="s">
        <v>72</v>
      </c>
      <c r="B877" t="s">
        <v>16744</v>
      </c>
      <c r="C877" t="s">
        <v>74</v>
      </c>
      <c r="D877" t="s">
        <v>74</v>
      </c>
      <c r="E877" t="s">
        <v>74</v>
      </c>
      <c r="F877" t="s">
        <v>16745</v>
      </c>
      <c r="G877" t="s">
        <v>74</v>
      </c>
      <c r="H877" t="s">
        <v>74</v>
      </c>
      <c r="I877" t="s">
        <v>16746</v>
      </c>
      <c r="J877" t="s">
        <v>16747</v>
      </c>
      <c r="K877" t="s">
        <v>74</v>
      </c>
      <c r="L877" t="s">
        <v>74</v>
      </c>
      <c r="M877" t="s">
        <v>78</v>
      </c>
      <c r="N877" t="s">
        <v>79</v>
      </c>
      <c r="O877" t="s">
        <v>74</v>
      </c>
      <c r="P877" t="s">
        <v>74</v>
      </c>
      <c r="Q877" t="s">
        <v>74</v>
      </c>
      <c r="R877" t="s">
        <v>74</v>
      </c>
      <c r="S877" t="s">
        <v>74</v>
      </c>
      <c r="T877" t="s">
        <v>16748</v>
      </c>
      <c r="U877" t="s">
        <v>16749</v>
      </c>
      <c r="V877" t="s">
        <v>16750</v>
      </c>
      <c r="W877" t="s">
        <v>16751</v>
      </c>
      <c r="X877" t="s">
        <v>16752</v>
      </c>
      <c r="Y877" t="s">
        <v>16753</v>
      </c>
      <c r="Z877" t="s">
        <v>16754</v>
      </c>
      <c r="AA877" t="s">
        <v>16755</v>
      </c>
      <c r="AB877" t="s">
        <v>16756</v>
      </c>
      <c r="AC877" t="s">
        <v>16757</v>
      </c>
      <c r="AD877" t="s">
        <v>16758</v>
      </c>
      <c r="AE877" t="s">
        <v>16759</v>
      </c>
      <c r="AF877" t="s">
        <v>74</v>
      </c>
      <c r="AG877">
        <v>75</v>
      </c>
      <c r="AH877">
        <v>15</v>
      </c>
      <c r="AI877">
        <v>17</v>
      </c>
      <c r="AJ877">
        <v>1</v>
      </c>
      <c r="AK877">
        <v>17</v>
      </c>
      <c r="AL877" t="s">
        <v>2288</v>
      </c>
      <c r="AM877" t="s">
        <v>2289</v>
      </c>
      <c r="AN877" t="s">
        <v>2290</v>
      </c>
      <c r="AO877" t="s">
        <v>16760</v>
      </c>
      <c r="AP877" t="s">
        <v>16761</v>
      </c>
      <c r="AQ877" t="s">
        <v>74</v>
      </c>
      <c r="AR877" t="s">
        <v>16747</v>
      </c>
      <c r="AS877" t="s">
        <v>16762</v>
      </c>
      <c r="AT877" t="s">
        <v>16585</v>
      </c>
      <c r="AU877">
        <v>2019</v>
      </c>
      <c r="AV877">
        <v>43</v>
      </c>
      <c r="AW877">
        <v>1</v>
      </c>
      <c r="AX877" t="s">
        <v>74</v>
      </c>
      <c r="AY877" t="s">
        <v>74</v>
      </c>
      <c r="AZ877" t="s">
        <v>74</v>
      </c>
      <c r="BA877" t="s">
        <v>74</v>
      </c>
      <c r="BB877">
        <v>4</v>
      </c>
      <c r="BC877">
        <v>21</v>
      </c>
      <c r="BD877" t="s">
        <v>74</v>
      </c>
      <c r="BE877" t="s">
        <v>16763</v>
      </c>
      <c r="BF877" t="str">
        <f>HYPERLINK("http://dx.doi.org/10.1080/01916122.2017.1418444","http://dx.doi.org/10.1080/01916122.2017.1418444")</f>
        <v>http://dx.doi.org/10.1080/01916122.2017.1418444</v>
      </c>
      <c r="BG877" t="s">
        <v>74</v>
      </c>
      <c r="BH877" t="s">
        <v>74</v>
      </c>
      <c r="BI877">
        <v>18</v>
      </c>
      <c r="BJ877" t="s">
        <v>13213</v>
      </c>
      <c r="BK877" t="s">
        <v>102</v>
      </c>
      <c r="BL877" t="s">
        <v>13213</v>
      </c>
      <c r="BM877" t="s">
        <v>16764</v>
      </c>
      <c r="BN877" t="s">
        <v>74</v>
      </c>
      <c r="BO877" t="s">
        <v>74</v>
      </c>
      <c r="BP877" t="s">
        <v>74</v>
      </c>
      <c r="BQ877" t="s">
        <v>74</v>
      </c>
      <c r="BR877" t="s">
        <v>107</v>
      </c>
      <c r="BS877" t="s">
        <v>16765</v>
      </c>
      <c r="BT877" t="str">
        <f>HYPERLINK("https%3A%2F%2Fwww.webofscience.com%2Fwos%2Fwoscc%2Ffull-record%2FWOS:000457494800004","View Full Record in Web of Science")</f>
        <v>View Full Record in Web of Science</v>
      </c>
    </row>
    <row r="878" spans="1:72" x14ac:dyDescent="0.15">
      <c r="A878" t="s">
        <v>72</v>
      </c>
      <c r="B878" t="s">
        <v>16766</v>
      </c>
      <c r="C878" t="s">
        <v>74</v>
      </c>
      <c r="D878" t="s">
        <v>74</v>
      </c>
      <c r="E878" t="s">
        <v>74</v>
      </c>
      <c r="F878" t="s">
        <v>16767</v>
      </c>
      <c r="G878" t="s">
        <v>74</v>
      </c>
      <c r="H878" t="s">
        <v>74</v>
      </c>
      <c r="I878" t="s">
        <v>16768</v>
      </c>
      <c r="J878" t="s">
        <v>16747</v>
      </c>
      <c r="K878" t="s">
        <v>74</v>
      </c>
      <c r="L878" t="s">
        <v>74</v>
      </c>
      <c r="M878" t="s">
        <v>78</v>
      </c>
      <c r="N878" t="s">
        <v>79</v>
      </c>
      <c r="O878" t="s">
        <v>74</v>
      </c>
      <c r="P878" t="s">
        <v>74</v>
      </c>
      <c r="Q878" t="s">
        <v>74</v>
      </c>
      <c r="R878" t="s">
        <v>74</v>
      </c>
      <c r="S878" t="s">
        <v>74</v>
      </c>
      <c r="T878" t="s">
        <v>16769</v>
      </c>
      <c r="U878" t="s">
        <v>16770</v>
      </c>
      <c r="V878" t="s">
        <v>16771</v>
      </c>
      <c r="W878" t="s">
        <v>16772</v>
      </c>
      <c r="X878" t="s">
        <v>16773</v>
      </c>
      <c r="Y878" t="s">
        <v>16774</v>
      </c>
      <c r="Z878" t="s">
        <v>16775</v>
      </c>
      <c r="AA878" t="s">
        <v>16776</v>
      </c>
      <c r="AB878" t="s">
        <v>16777</v>
      </c>
      <c r="AC878" t="s">
        <v>16778</v>
      </c>
      <c r="AD878" t="s">
        <v>16779</v>
      </c>
      <c r="AE878" t="s">
        <v>16780</v>
      </c>
      <c r="AF878" t="s">
        <v>74</v>
      </c>
      <c r="AG878">
        <v>37</v>
      </c>
      <c r="AH878">
        <v>5</v>
      </c>
      <c r="AI878">
        <v>5</v>
      </c>
      <c r="AJ878">
        <v>0</v>
      </c>
      <c r="AK878">
        <v>0</v>
      </c>
      <c r="AL878" t="s">
        <v>2288</v>
      </c>
      <c r="AM878" t="s">
        <v>2289</v>
      </c>
      <c r="AN878" t="s">
        <v>2290</v>
      </c>
      <c r="AO878" t="s">
        <v>16760</v>
      </c>
      <c r="AP878" t="s">
        <v>16761</v>
      </c>
      <c r="AQ878" t="s">
        <v>74</v>
      </c>
      <c r="AR878" t="s">
        <v>16747</v>
      </c>
      <c r="AS878" t="s">
        <v>16762</v>
      </c>
      <c r="AT878" t="s">
        <v>16585</v>
      </c>
      <c r="AU878">
        <v>2019</v>
      </c>
      <c r="AV878">
        <v>43</v>
      </c>
      <c r="AW878">
        <v>1</v>
      </c>
      <c r="AX878" t="s">
        <v>74</v>
      </c>
      <c r="AY878" t="s">
        <v>74</v>
      </c>
      <c r="AZ878" t="s">
        <v>74</v>
      </c>
      <c r="BA878" t="s">
        <v>74</v>
      </c>
      <c r="BB878">
        <v>94</v>
      </c>
      <c r="BC878">
        <v>103</v>
      </c>
      <c r="BD878" t="s">
        <v>74</v>
      </c>
      <c r="BE878" t="s">
        <v>16781</v>
      </c>
      <c r="BF878" t="str">
        <f>HYPERLINK("http://dx.doi.org/10.1080/01916122.2018.1430070","http://dx.doi.org/10.1080/01916122.2018.1430070")</f>
        <v>http://dx.doi.org/10.1080/01916122.2018.1430070</v>
      </c>
      <c r="BG878" t="s">
        <v>74</v>
      </c>
      <c r="BH878" t="s">
        <v>74</v>
      </c>
      <c r="BI878">
        <v>10</v>
      </c>
      <c r="BJ878" t="s">
        <v>13213</v>
      </c>
      <c r="BK878" t="s">
        <v>102</v>
      </c>
      <c r="BL878" t="s">
        <v>13213</v>
      </c>
      <c r="BM878" t="s">
        <v>16764</v>
      </c>
      <c r="BN878" t="s">
        <v>74</v>
      </c>
      <c r="BO878" t="s">
        <v>2808</v>
      </c>
      <c r="BP878" t="s">
        <v>74</v>
      </c>
      <c r="BQ878" t="s">
        <v>74</v>
      </c>
      <c r="BR878" t="s">
        <v>107</v>
      </c>
      <c r="BS878" t="s">
        <v>16782</v>
      </c>
      <c r="BT878" t="str">
        <f>HYPERLINK("https%3A%2F%2Fwww.webofscience.com%2Fwos%2Fwoscc%2Ffull-record%2FWOS:000457494800010","View Full Record in Web of Science")</f>
        <v>View Full Record in Web of Science</v>
      </c>
    </row>
    <row r="879" spans="1:72" x14ac:dyDescent="0.15">
      <c r="A879" t="s">
        <v>72</v>
      </c>
      <c r="B879" t="s">
        <v>16783</v>
      </c>
      <c r="C879" t="s">
        <v>74</v>
      </c>
      <c r="D879" t="s">
        <v>74</v>
      </c>
      <c r="E879" t="s">
        <v>74</v>
      </c>
      <c r="F879" t="s">
        <v>16784</v>
      </c>
      <c r="G879" t="s">
        <v>74</v>
      </c>
      <c r="H879" t="s">
        <v>74</v>
      </c>
      <c r="I879" t="s">
        <v>16785</v>
      </c>
      <c r="J879" t="s">
        <v>16570</v>
      </c>
      <c r="K879" t="s">
        <v>74</v>
      </c>
      <c r="L879" t="s">
        <v>74</v>
      </c>
      <c r="M879" t="s">
        <v>78</v>
      </c>
      <c r="N879" t="s">
        <v>79</v>
      </c>
      <c r="O879" t="s">
        <v>74</v>
      </c>
      <c r="P879" t="s">
        <v>74</v>
      </c>
      <c r="Q879" t="s">
        <v>74</v>
      </c>
      <c r="R879" t="s">
        <v>74</v>
      </c>
      <c r="S879" t="s">
        <v>74</v>
      </c>
      <c r="T879" t="s">
        <v>16786</v>
      </c>
      <c r="U879" t="s">
        <v>74</v>
      </c>
      <c r="V879" t="s">
        <v>16787</v>
      </c>
      <c r="W879" t="s">
        <v>16788</v>
      </c>
      <c r="X879" t="s">
        <v>16789</v>
      </c>
      <c r="Y879" t="s">
        <v>16790</v>
      </c>
      <c r="Z879" t="s">
        <v>16791</v>
      </c>
      <c r="AA879" t="s">
        <v>16792</v>
      </c>
      <c r="AB879" t="s">
        <v>16793</v>
      </c>
      <c r="AC879" t="s">
        <v>16794</v>
      </c>
      <c r="AD879" t="s">
        <v>16795</v>
      </c>
      <c r="AE879" t="s">
        <v>16796</v>
      </c>
      <c r="AF879" t="s">
        <v>74</v>
      </c>
      <c r="AG879">
        <v>10</v>
      </c>
      <c r="AH879">
        <v>4</v>
      </c>
      <c r="AI879">
        <v>4</v>
      </c>
      <c r="AJ879">
        <v>0</v>
      </c>
      <c r="AK879">
        <v>2</v>
      </c>
      <c r="AL879" t="s">
        <v>2055</v>
      </c>
      <c r="AM879" t="s">
        <v>2056</v>
      </c>
      <c r="AN879" t="s">
        <v>2057</v>
      </c>
      <c r="AO879" t="s">
        <v>16582</v>
      </c>
      <c r="AP879" t="s">
        <v>74</v>
      </c>
      <c r="AQ879" t="s">
        <v>74</v>
      </c>
      <c r="AR879" t="s">
        <v>16583</v>
      </c>
      <c r="AS879" t="s">
        <v>16584</v>
      </c>
      <c r="AT879" t="s">
        <v>16585</v>
      </c>
      <c r="AU879">
        <v>2019</v>
      </c>
      <c r="AV879">
        <v>4</v>
      </c>
      <c r="AW879">
        <v>1</v>
      </c>
      <c r="AX879" t="s">
        <v>74</v>
      </c>
      <c r="AY879" t="s">
        <v>74</v>
      </c>
      <c r="AZ879" t="s">
        <v>74</v>
      </c>
      <c r="BA879" t="s">
        <v>74</v>
      </c>
      <c r="BB879">
        <v>648</v>
      </c>
      <c r="BC879">
        <v>649</v>
      </c>
      <c r="BD879" t="s">
        <v>74</v>
      </c>
      <c r="BE879" t="s">
        <v>16797</v>
      </c>
      <c r="BF879" t="str">
        <f>HYPERLINK("http://dx.doi.org/10.1080/23802359.2018.1553518","http://dx.doi.org/10.1080/23802359.2018.1553518")</f>
        <v>http://dx.doi.org/10.1080/23802359.2018.1553518</v>
      </c>
      <c r="BG879" t="s">
        <v>74</v>
      </c>
      <c r="BH879" t="s">
        <v>74</v>
      </c>
      <c r="BI879">
        <v>2</v>
      </c>
      <c r="BJ879" t="s">
        <v>1543</v>
      </c>
      <c r="BK879" t="s">
        <v>102</v>
      </c>
      <c r="BL879" t="s">
        <v>1543</v>
      </c>
      <c r="BM879" t="s">
        <v>16798</v>
      </c>
      <c r="BN879" t="s">
        <v>74</v>
      </c>
      <c r="BO879" t="s">
        <v>1415</v>
      </c>
      <c r="BP879" t="s">
        <v>74</v>
      </c>
      <c r="BQ879" t="s">
        <v>74</v>
      </c>
      <c r="BR879" t="s">
        <v>107</v>
      </c>
      <c r="BS879" t="s">
        <v>16799</v>
      </c>
      <c r="BT879" t="str">
        <f>HYPERLINK("https%3A%2F%2Fwww.webofscience.com%2Fwos%2Fwoscc%2Ffull-record%2FWOS:000457082500001","View Full Record in Web of Science")</f>
        <v>View Full Record in Web of Science</v>
      </c>
    </row>
    <row r="880" spans="1:72" x14ac:dyDescent="0.15">
      <c r="A880" t="s">
        <v>72</v>
      </c>
      <c r="B880" t="s">
        <v>16800</v>
      </c>
      <c r="C880" t="s">
        <v>74</v>
      </c>
      <c r="D880" t="s">
        <v>74</v>
      </c>
      <c r="E880" t="s">
        <v>74</v>
      </c>
      <c r="F880" t="s">
        <v>16801</v>
      </c>
      <c r="G880" t="s">
        <v>74</v>
      </c>
      <c r="H880" t="s">
        <v>74</v>
      </c>
      <c r="I880" t="s">
        <v>16802</v>
      </c>
      <c r="J880" t="s">
        <v>1938</v>
      </c>
      <c r="K880" t="s">
        <v>74</v>
      </c>
      <c r="L880" t="s">
        <v>74</v>
      </c>
      <c r="M880" t="s">
        <v>78</v>
      </c>
      <c r="N880" t="s">
        <v>79</v>
      </c>
      <c r="O880" t="s">
        <v>74</v>
      </c>
      <c r="P880" t="s">
        <v>74</v>
      </c>
      <c r="Q880" t="s">
        <v>74</v>
      </c>
      <c r="R880" t="s">
        <v>74</v>
      </c>
      <c r="S880" t="s">
        <v>74</v>
      </c>
      <c r="T880" t="s">
        <v>74</v>
      </c>
      <c r="U880" t="s">
        <v>16803</v>
      </c>
      <c r="V880" t="s">
        <v>16804</v>
      </c>
      <c r="W880" t="s">
        <v>16805</v>
      </c>
      <c r="X880" t="s">
        <v>16806</v>
      </c>
      <c r="Y880" t="s">
        <v>16807</v>
      </c>
      <c r="Z880" t="s">
        <v>16808</v>
      </c>
      <c r="AA880" t="s">
        <v>16809</v>
      </c>
      <c r="AB880" t="s">
        <v>16810</v>
      </c>
      <c r="AC880" t="s">
        <v>16811</v>
      </c>
      <c r="AD880" t="s">
        <v>16812</v>
      </c>
      <c r="AE880" t="s">
        <v>16813</v>
      </c>
      <c r="AF880" t="s">
        <v>74</v>
      </c>
      <c r="AG880">
        <v>59</v>
      </c>
      <c r="AH880">
        <v>143</v>
      </c>
      <c r="AI880">
        <v>159</v>
      </c>
      <c r="AJ880">
        <v>3</v>
      </c>
      <c r="AK880">
        <v>51</v>
      </c>
      <c r="AL880" t="s">
        <v>1370</v>
      </c>
      <c r="AM880" t="s">
        <v>1371</v>
      </c>
      <c r="AN880" t="s">
        <v>1372</v>
      </c>
      <c r="AO880" t="s">
        <v>1950</v>
      </c>
      <c r="AP880" t="s">
        <v>74</v>
      </c>
      <c r="AQ880" t="s">
        <v>74</v>
      </c>
      <c r="AR880" t="s">
        <v>1951</v>
      </c>
      <c r="AS880" t="s">
        <v>1952</v>
      </c>
      <c r="AT880" t="s">
        <v>16585</v>
      </c>
      <c r="AU880">
        <v>2019</v>
      </c>
      <c r="AV880">
        <v>10</v>
      </c>
      <c r="AW880" t="s">
        <v>74</v>
      </c>
      <c r="AX880" t="s">
        <v>74</v>
      </c>
      <c r="AY880" t="s">
        <v>74</v>
      </c>
      <c r="AZ880" t="s">
        <v>74</v>
      </c>
      <c r="BA880" t="s">
        <v>74</v>
      </c>
      <c r="BB880" t="s">
        <v>74</v>
      </c>
      <c r="BC880" t="s">
        <v>74</v>
      </c>
      <c r="BD880">
        <v>13</v>
      </c>
      <c r="BE880" t="s">
        <v>16814</v>
      </c>
      <c r="BF880" t="str">
        <f>HYPERLINK("http://dx.doi.org/10.1038/s41467-018-07689-7","http://dx.doi.org/10.1038/s41467-018-07689-7")</f>
        <v>http://dx.doi.org/10.1038/s41467-018-07689-7</v>
      </c>
      <c r="BG880" t="s">
        <v>74</v>
      </c>
      <c r="BH880" t="s">
        <v>74</v>
      </c>
      <c r="BI880">
        <v>9</v>
      </c>
      <c r="BJ880" t="s">
        <v>460</v>
      </c>
      <c r="BK880" t="s">
        <v>102</v>
      </c>
      <c r="BL880" t="s">
        <v>461</v>
      </c>
      <c r="BM880" t="s">
        <v>16815</v>
      </c>
      <c r="BN880">
        <v>30600314</v>
      </c>
      <c r="BO880" t="s">
        <v>2343</v>
      </c>
      <c r="BP880" t="s">
        <v>105</v>
      </c>
      <c r="BQ880" t="s">
        <v>106</v>
      </c>
      <c r="BR880" t="s">
        <v>107</v>
      </c>
      <c r="BS880" t="s">
        <v>16816</v>
      </c>
      <c r="BT880" t="str">
        <f>HYPERLINK("https%3A%2F%2Fwww.webofscience.com%2Fwos%2Fwoscc%2Ffull-record%2FWOS:000454679900013","View Full Record in Web of Science")</f>
        <v>View Full Record in Web of Science</v>
      </c>
    </row>
    <row r="881" spans="1:72" x14ac:dyDescent="0.15">
      <c r="A881" t="s">
        <v>72</v>
      </c>
      <c r="B881" t="s">
        <v>16817</v>
      </c>
      <c r="C881" t="s">
        <v>74</v>
      </c>
      <c r="D881" t="s">
        <v>74</v>
      </c>
      <c r="E881" t="s">
        <v>74</v>
      </c>
      <c r="F881" t="s">
        <v>16818</v>
      </c>
      <c r="G881" t="s">
        <v>74</v>
      </c>
      <c r="H881" t="s">
        <v>74</v>
      </c>
      <c r="I881" t="s">
        <v>16819</v>
      </c>
      <c r="J881" t="s">
        <v>16820</v>
      </c>
      <c r="K881" t="s">
        <v>74</v>
      </c>
      <c r="L881" t="s">
        <v>74</v>
      </c>
      <c r="M881" t="s">
        <v>78</v>
      </c>
      <c r="N881" t="s">
        <v>79</v>
      </c>
      <c r="O881" t="s">
        <v>74</v>
      </c>
      <c r="P881" t="s">
        <v>74</v>
      </c>
      <c r="Q881" t="s">
        <v>74</v>
      </c>
      <c r="R881" t="s">
        <v>74</v>
      </c>
      <c r="S881" t="s">
        <v>74</v>
      </c>
      <c r="T881" t="s">
        <v>16821</v>
      </c>
      <c r="U881" t="s">
        <v>16822</v>
      </c>
      <c r="V881" t="s">
        <v>16823</v>
      </c>
      <c r="W881" t="s">
        <v>16824</v>
      </c>
      <c r="X881" t="s">
        <v>16825</v>
      </c>
      <c r="Y881" t="s">
        <v>16826</v>
      </c>
      <c r="Z881" t="s">
        <v>16827</v>
      </c>
      <c r="AA881" t="s">
        <v>74</v>
      </c>
      <c r="AB881" t="s">
        <v>16828</v>
      </c>
      <c r="AC881" t="s">
        <v>16829</v>
      </c>
      <c r="AD881" t="s">
        <v>16829</v>
      </c>
      <c r="AE881" t="s">
        <v>16830</v>
      </c>
      <c r="AF881" t="s">
        <v>74</v>
      </c>
      <c r="AG881">
        <v>50</v>
      </c>
      <c r="AH881">
        <v>2</v>
      </c>
      <c r="AI881">
        <v>2</v>
      </c>
      <c r="AJ881">
        <v>1</v>
      </c>
      <c r="AK881">
        <v>21</v>
      </c>
      <c r="AL881" t="s">
        <v>16831</v>
      </c>
      <c r="AM881" t="s">
        <v>16832</v>
      </c>
      <c r="AN881" t="s">
        <v>16833</v>
      </c>
      <c r="AO881" t="s">
        <v>16834</v>
      </c>
      <c r="AP881" t="s">
        <v>16835</v>
      </c>
      <c r="AQ881" t="s">
        <v>74</v>
      </c>
      <c r="AR881" t="s">
        <v>16836</v>
      </c>
      <c r="AS881" t="s">
        <v>16837</v>
      </c>
      <c r="AT881" t="s">
        <v>16585</v>
      </c>
      <c r="AU881">
        <v>2019</v>
      </c>
      <c r="AV881">
        <v>119</v>
      </c>
      <c r="AW881">
        <v>1</v>
      </c>
      <c r="AX881" t="s">
        <v>74</v>
      </c>
      <c r="AY881" t="s">
        <v>74</v>
      </c>
      <c r="AZ881" t="s">
        <v>74</v>
      </c>
      <c r="BA881" t="s">
        <v>74</v>
      </c>
      <c r="BB881">
        <v>61</v>
      </c>
      <c r="BC881">
        <v>70</v>
      </c>
      <c r="BD881" t="s">
        <v>74</v>
      </c>
      <c r="BE881" t="s">
        <v>16838</v>
      </c>
      <c r="BF881" t="str">
        <f>HYPERLINK("http://dx.doi.org/10.1080/01584197.2018.1530061","http://dx.doi.org/10.1080/01584197.2018.1530061")</f>
        <v>http://dx.doi.org/10.1080/01584197.2018.1530061</v>
      </c>
      <c r="BG881" t="s">
        <v>74</v>
      </c>
      <c r="BH881" t="s">
        <v>74</v>
      </c>
      <c r="BI881">
        <v>10</v>
      </c>
      <c r="BJ881" t="s">
        <v>3452</v>
      </c>
      <c r="BK881" t="s">
        <v>102</v>
      </c>
      <c r="BL881" t="s">
        <v>1674</v>
      </c>
      <c r="BM881" t="s">
        <v>16839</v>
      </c>
      <c r="BN881" t="s">
        <v>74</v>
      </c>
      <c r="BO881" t="s">
        <v>74</v>
      </c>
      <c r="BP881" t="s">
        <v>74</v>
      </c>
      <c r="BQ881" t="s">
        <v>74</v>
      </c>
      <c r="BR881" t="s">
        <v>107</v>
      </c>
      <c r="BS881" t="s">
        <v>16840</v>
      </c>
      <c r="BT881" t="str">
        <f>HYPERLINK("https%3A%2F%2Fwww.webofscience.com%2Fwos%2Fwoscc%2Ffull-record%2FWOS:000453690200008","View Full Record in Web of Science")</f>
        <v>View Full Record in Web of Science</v>
      </c>
    </row>
    <row r="882" spans="1:72" x14ac:dyDescent="0.15">
      <c r="A882" t="s">
        <v>72</v>
      </c>
      <c r="B882" t="s">
        <v>16841</v>
      </c>
      <c r="C882" t="s">
        <v>74</v>
      </c>
      <c r="D882" t="s">
        <v>74</v>
      </c>
      <c r="E882" t="s">
        <v>74</v>
      </c>
      <c r="F882" t="s">
        <v>16842</v>
      </c>
      <c r="G882" t="s">
        <v>74</v>
      </c>
      <c r="H882" t="s">
        <v>74</v>
      </c>
      <c r="I882" t="s">
        <v>16843</v>
      </c>
      <c r="J882" t="s">
        <v>1938</v>
      </c>
      <c r="K882" t="s">
        <v>74</v>
      </c>
      <c r="L882" t="s">
        <v>74</v>
      </c>
      <c r="M882" t="s">
        <v>78</v>
      </c>
      <c r="N882" t="s">
        <v>79</v>
      </c>
      <c r="O882" t="s">
        <v>74</v>
      </c>
      <c r="P882" t="s">
        <v>74</v>
      </c>
      <c r="Q882" t="s">
        <v>74</v>
      </c>
      <c r="R882" t="s">
        <v>74</v>
      </c>
      <c r="S882" t="s">
        <v>74</v>
      </c>
      <c r="T882" t="s">
        <v>74</v>
      </c>
      <c r="U882" t="s">
        <v>16844</v>
      </c>
      <c r="V882" t="s">
        <v>16845</v>
      </c>
      <c r="W882" t="s">
        <v>16846</v>
      </c>
      <c r="X882" t="s">
        <v>16847</v>
      </c>
      <c r="Y882" t="s">
        <v>16848</v>
      </c>
      <c r="Z882" t="s">
        <v>16849</v>
      </c>
      <c r="AA882" t="s">
        <v>16850</v>
      </c>
      <c r="AB882" t="s">
        <v>16851</v>
      </c>
      <c r="AC882" t="s">
        <v>16852</v>
      </c>
      <c r="AD882" t="s">
        <v>16853</v>
      </c>
      <c r="AE882" t="s">
        <v>16854</v>
      </c>
      <c r="AF882" t="s">
        <v>74</v>
      </c>
      <c r="AG882">
        <v>32</v>
      </c>
      <c r="AH882">
        <v>157</v>
      </c>
      <c r="AI882">
        <v>175</v>
      </c>
      <c r="AJ882">
        <v>6</v>
      </c>
      <c r="AK882">
        <v>61</v>
      </c>
      <c r="AL882" t="s">
        <v>328</v>
      </c>
      <c r="AM882" t="s">
        <v>329</v>
      </c>
      <c r="AN882" t="s">
        <v>330</v>
      </c>
      <c r="AO882" t="s">
        <v>1950</v>
      </c>
      <c r="AP882" t="s">
        <v>74</v>
      </c>
      <c r="AQ882" t="s">
        <v>74</v>
      </c>
      <c r="AR882" t="s">
        <v>1951</v>
      </c>
      <c r="AS882" t="s">
        <v>1952</v>
      </c>
      <c r="AT882" t="s">
        <v>16585</v>
      </c>
      <c r="AU882">
        <v>2019</v>
      </c>
      <c r="AV882">
        <v>10</v>
      </c>
      <c r="AW882" t="s">
        <v>74</v>
      </c>
      <c r="AX882" t="s">
        <v>74</v>
      </c>
      <c r="AY882" t="s">
        <v>74</v>
      </c>
      <c r="AZ882" t="s">
        <v>74</v>
      </c>
      <c r="BA882" t="s">
        <v>74</v>
      </c>
      <c r="BB882" t="s">
        <v>74</v>
      </c>
      <c r="BC882" t="s">
        <v>74</v>
      </c>
      <c r="BD882">
        <v>14</v>
      </c>
      <c r="BE882" t="s">
        <v>16855</v>
      </c>
      <c r="BF882" t="str">
        <f>HYPERLINK("http://dx.doi.org/10.1038/s41467-018-07865-9","http://dx.doi.org/10.1038/s41467-018-07865-9")</f>
        <v>http://dx.doi.org/10.1038/s41467-018-07865-9</v>
      </c>
      <c r="BG882" t="s">
        <v>74</v>
      </c>
      <c r="BH882" t="s">
        <v>74</v>
      </c>
      <c r="BI882">
        <v>9</v>
      </c>
      <c r="BJ882" t="s">
        <v>460</v>
      </c>
      <c r="BK882" t="s">
        <v>102</v>
      </c>
      <c r="BL882" t="s">
        <v>461</v>
      </c>
      <c r="BM882" t="s">
        <v>16815</v>
      </c>
      <c r="BN882">
        <v>30600315</v>
      </c>
      <c r="BO882" t="s">
        <v>879</v>
      </c>
      <c r="BP882" t="s">
        <v>105</v>
      </c>
      <c r="BQ882" t="s">
        <v>106</v>
      </c>
      <c r="BR882" t="s">
        <v>107</v>
      </c>
      <c r="BS882" t="s">
        <v>16856</v>
      </c>
      <c r="BT882" t="str">
        <f>HYPERLINK("https%3A%2F%2Fwww.webofscience.com%2Fwos%2Fwoscc%2Ffull-record%2FWOS:000454679900014","View Full Record in Web of Science")</f>
        <v>View Full Record in Web of Science</v>
      </c>
    </row>
    <row r="883" spans="1:72" x14ac:dyDescent="0.15">
      <c r="A883" t="s">
        <v>72</v>
      </c>
      <c r="B883" t="s">
        <v>16857</v>
      </c>
      <c r="C883" t="s">
        <v>74</v>
      </c>
      <c r="D883" t="s">
        <v>74</v>
      </c>
      <c r="E883" t="s">
        <v>74</v>
      </c>
      <c r="F883" t="s">
        <v>16858</v>
      </c>
      <c r="G883" t="s">
        <v>74</v>
      </c>
      <c r="H883" t="s">
        <v>74</v>
      </c>
      <c r="I883" t="s">
        <v>16859</v>
      </c>
      <c r="J883" t="s">
        <v>16860</v>
      </c>
      <c r="K883" t="s">
        <v>74</v>
      </c>
      <c r="L883" t="s">
        <v>74</v>
      </c>
      <c r="M883" t="s">
        <v>78</v>
      </c>
      <c r="N883" t="s">
        <v>79</v>
      </c>
      <c r="O883" t="s">
        <v>74</v>
      </c>
      <c r="P883" t="s">
        <v>74</v>
      </c>
      <c r="Q883" t="s">
        <v>74</v>
      </c>
      <c r="R883" t="s">
        <v>74</v>
      </c>
      <c r="S883" t="s">
        <v>74</v>
      </c>
      <c r="T883" t="s">
        <v>16861</v>
      </c>
      <c r="U883" t="s">
        <v>16862</v>
      </c>
      <c r="V883" t="s">
        <v>16863</v>
      </c>
      <c r="W883" t="s">
        <v>16864</v>
      </c>
      <c r="X883" t="s">
        <v>16865</v>
      </c>
      <c r="Y883" t="s">
        <v>16866</v>
      </c>
      <c r="Z883" t="s">
        <v>16867</v>
      </c>
      <c r="AA883" t="s">
        <v>16868</v>
      </c>
      <c r="AB883" t="s">
        <v>16869</v>
      </c>
      <c r="AC883" t="s">
        <v>16870</v>
      </c>
      <c r="AD883" t="s">
        <v>16871</v>
      </c>
      <c r="AE883" t="s">
        <v>16872</v>
      </c>
      <c r="AF883" t="s">
        <v>74</v>
      </c>
      <c r="AG883">
        <v>75</v>
      </c>
      <c r="AH883">
        <v>19</v>
      </c>
      <c r="AI883">
        <v>19</v>
      </c>
      <c r="AJ883">
        <v>0</v>
      </c>
      <c r="AK883">
        <v>24</v>
      </c>
      <c r="AL883" t="s">
        <v>2055</v>
      </c>
      <c r="AM883" t="s">
        <v>2056</v>
      </c>
      <c r="AN883" t="s">
        <v>2057</v>
      </c>
      <c r="AO883" t="s">
        <v>16873</v>
      </c>
      <c r="AP883" t="s">
        <v>16874</v>
      </c>
      <c r="AQ883" t="s">
        <v>74</v>
      </c>
      <c r="AR883" t="s">
        <v>16875</v>
      </c>
      <c r="AS883" t="s">
        <v>16876</v>
      </c>
      <c r="AT883" t="s">
        <v>16585</v>
      </c>
      <c r="AU883">
        <v>2019</v>
      </c>
      <c r="AV883">
        <v>35</v>
      </c>
      <c r="AW883">
        <v>1</v>
      </c>
      <c r="AX883" t="s">
        <v>74</v>
      </c>
      <c r="AY883" t="s">
        <v>74</v>
      </c>
      <c r="AZ883" t="s">
        <v>74</v>
      </c>
      <c r="BA883" t="s">
        <v>74</v>
      </c>
      <c r="BB883">
        <v>1</v>
      </c>
      <c r="BC883">
        <v>19</v>
      </c>
      <c r="BD883" t="s">
        <v>74</v>
      </c>
      <c r="BE883" t="s">
        <v>16877</v>
      </c>
      <c r="BF883" t="str">
        <f>HYPERLINK("http://dx.doi.org/10.1080/02757540.2018.1531987","http://dx.doi.org/10.1080/02757540.2018.1531987")</f>
        <v>http://dx.doi.org/10.1080/02757540.2018.1531987</v>
      </c>
      <c r="BG883" t="s">
        <v>74</v>
      </c>
      <c r="BH883" t="s">
        <v>74</v>
      </c>
      <c r="BI883">
        <v>19</v>
      </c>
      <c r="BJ883" t="s">
        <v>16878</v>
      </c>
      <c r="BK883" t="s">
        <v>102</v>
      </c>
      <c r="BL883" t="s">
        <v>16879</v>
      </c>
      <c r="BM883" t="s">
        <v>16880</v>
      </c>
      <c r="BN883" t="s">
        <v>74</v>
      </c>
      <c r="BO883" t="s">
        <v>74</v>
      </c>
      <c r="BP883" t="s">
        <v>74</v>
      </c>
      <c r="BQ883" t="s">
        <v>74</v>
      </c>
      <c r="BR883" t="s">
        <v>107</v>
      </c>
      <c r="BS883" t="s">
        <v>16881</v>
      </c>
      <c r="BT883" t="str">
        <f>HYPERLINK("https%3A%2F%2Fwww.webofscience.com%2Fwos%2Fwoscc%2Ffull-record%2FWOS:000451558100001","View Full Record in Web of Science")</f>
        <v>View Full Record in Web of Science</v>
      </c>
    </row>
    <row r="884" spans="1:72" x14ac:dyDescent="0.15">
      <c r="A884" t="s">
        <v>16882</v>
      </c>
      <c r="B884" t="s">
        <v>74</v>
      </c>
      <c r="C884" t="s">
        <v>16883</v>
      </c>
      <c r="D884" t="s">
        <v>74</v>
      </c>
      <c r="E884" t="s">
        <v>74</v>
      </c>
      <c r="F884" t="s">
        <v>74</v>
      </c>
      <c r="G884" t="s">
        <v>16883</v>
      </c>
      <c r="H884" t="s">
        <v>74</v>
      </c>
      <c r="I884" t="s">
        <v>16884</v>
      </c>
      <c r="J884" t="s">
        <v>16885</v>
      </c>
      <c r="K884" t="s">
        <v>16886</v>
      </c>
      <c r="L884" t="s">
        <v>74</v>
      </c>
      <c r="M884" t="s">
        <v>78</v>
      </c>
      <c r="N884" t="s">
        <v>16887</v>
      </c>
      <c r="O884" t="s">
        <v>74</v>
      </c>
      <c r="P884" t="s">
        <v>74</v>
      </c>
      <c r="Q884" t="s">
        <v>74</v>
      </c>
      <c r="R884" t="s">
        <v>74</v>
      </c>
      <c r="S884" t="s">
        <v>74</v>
      </c>
      <c r="T884" t="s">
        <v>74</v>
      </c>
      <c r="U884" t="s">
        <v>74</v>
      </c>
      <c r="V884" t="s">
        <v>74</v>
      </c>
      <c r="W884" t="s">
        <v>74</v>
      </c>
      <c r="X884" t="s">
        <v>74</v>
      </c>
      <c r="Y884" t="s">
        <v>74</v>
      </c>
      <c r="Z884" t="s">
        <v>74</v>
      </c>
      <c r="AA884" t="s">
        <v>74</v>
      </c>
      <c r="AB884" t="s">
        <v>74</v>
      </c>
      <c r="AC884" t="s">
        <v>74</v>
      </c>
      <c r="AD884" t="s">
        <v>74</v>
      </c>
      <c r="AE884" t="s">
        <v>74</v>
      </c>
      <c r="AF884" t="s">
        <v>74</v>
      </c>
      <c r="AG884">
        <v>0</v>
      </c>
      <c r="AH884">
        <v>0</v>
      </c>
      <c r="AI884">
        <v>0</v>
      </c>
      <c r="AJ884">
        <v>0</v>
      </c>
      <c r="AK884">
        <v>0</v>
      </c>
      <c r="AL884" t="s">
        <v>16888</v>
      </c>
      <c r="AM884" t="s">
        <v>16889</v>
      </c>
      <c r="AN884" t="s">
        <v>16890</v>
      </c>
      <c r="AO884" t="s">
        <v>74</v>
      </c>
      <c r="AP884" t="s">
        <v>74</v>
      </c>
      <c r="AQ884" t="s">
        <v>16891</v>
      </c>
      <c r="AR884" t="s">
        <v>16892</v>
      </c>
      <c r="AS884" t="s">
        <v>74</v>
      </c>
      <c r="AT884" t="s">
        <v>74</v>
      </c>
      <c r="AU884">
        <v>2019</v>
      </c>
      <c r="AV884" t="s">
        <v>74</v>
      </c>
      <c r="AW884" t="s">
        <v>74</v>
      </c>
      <c r="AX884" t="s">
        <v>74</v>
      </c>
      <c r="AY884" t="s">
        <v>74</v>
      </c>
      <c r="AZ884" t="s">
        <v>74</v>
      </c>
      <c r="BA884" t="s">
        <v>74</v>
      </c>
      <c r="BB884">
        <v>1</v>
      </c>
      <c r="BC884" t="s">
        <v>1394</v>
      </c>
      <c r="BD884" t="s">
        <v>74</v>
      </c>
      <c r="BE884" t="s">
        <v>74</v>
      </c>
      <c r="BF884" t="s">
        <v>74</v>
      </c>
      <c r="BG884" t="s">
        <v>74</v>
      </c>
      <c r="BH884" t="s">
        <v>74</v>
      </c>
      <c r="BI884">
        <v>41</v>
      </c>
      <c r="BJ884" t="s">
        <v>16893</v>
      </c>
      <c r="BK884" t="s">
        <v>16894</v>
      </c>
      <c r="BL884" t="s">
        <v>16893</v>
      </c>
      <c r="BM884" t="s">
        <v>16895</v>
      </c>
      <c r="BN884" t="s">
        <v>74</v>
      </c>
      <c r="BO884" t="s">
        <v>74</v>
      </c>
      <c r="BP884" t="s">
        <v>74</v>
      </c>
      <c r="BQ884" t="s">
        <v>74</v>
      </c>
      <c r="BR884" t="s">
        <v>107</v>
      </c>
      <c r="BS884" t="s">
        <v>16896</v>
      </c>
      <c r="BT884" t="str">
        <f>HYPERLINK("https%3A%2F%2Fwww.webofscience.com%2Fwos%2Fwoscc%2Ffull-record%2FWOS:000517520900001","View Full Record in Web of Science")</f>
        <v>View Full Record in Web of Science</v>
      </c>
    </row>
    <row r="885" spans="1:72" x14ac:dyDescent="0.15">
      <c r="A885" t="s">
        <v>16897</v>
      </c>
      <c r="B885" t="s">
        <v>16898</v>
      </c>
      <c r="C885" t="s">
        <v>74</v>
      </c>
      <c r="D885" t="s">
        <v>16899</v>
      </c>
      <c r="E885" t="s">
        <v>74</v>
      </c>
      <c r="F885" t="s">
        <v>16900</v>
      </c>
      <c r="G885" t="s">
        <v>74</v>
      </c>
      <c r="H885" t="s">
        <v>74</v>
      </c>
      <c r="I885" t="s">
        <v>16901</v>
      </c>
      <c r="J885" t="s">
        <v>16902</v>
      </c>
      <c r="K885" t="s">
        <v>16903</v>
      </c>
      <c r="L885" t="s">
        <v>74</v>
      </c>
      <c r="M885" t="s">
        <v>78</v>
      </c>
      <c r="N885" t="s">
        <v>16887</v>
      </c>
      <c r="O885" t="s">
        <v>74</v>
      </c>
      <c r="P885" t="s">
        <v>74</v>
      </c>
      <c r="Q885" t="s">
        <v>74</v>
      </c>
      <c r="R885" t="s">
        <v>74</v>
      </c>
      <c r="S885" t="s">
        <v>74</v>
      </c>
      <c r="T885" t="s">
        <v>74</v>
      </c>
      <c r="U885" t="s">
        <v>74</v>
      </c>
      <c r="V885" t="s">
        <v>74</v>
      </c>
      <c r="W885" t="s">
        <v>16904</v>
      </c>
      <c r="X885" t="s">
        <v>16905</v>
      </c>
      <c r="Y885" t="s">
        <v>16906</v>
      </c>
      <c r="Z885" t="s">
        <v>74</v>
      </c>
      <c r="AA885" t="s">
        <v>74</v>
      </c>
      <c r="AB885" t="s">
        <v>74</v>
      </c>
      <c r="AC885" t="s">
        <v>74</v>
      </c>
      <c r="AD885" t="s">
        <v>74</v>
      </c>
      <c r="AE885" t="s">
        <v>74</v>
      </c>
      <c r="AF885" t="s">
        <v>74</v>
      </c>
      <c r="AG885">
        <v>0</v>
      </c>
      <c r="AH885">
        <v>3</v>
      </c>
      <c r="AI885">
        <v>3</v>
      </c>
      <c r="AJ885">
        <v>0</v>
      </c>
      <c r="AK885">
        <v>0</v>
      </c>
      <c r="AL885" t="s">
        <v>4213</v>
      </c>
      <c r="AM885" t="s">
        <v>4214</v>
      </c>
      <c r="AN885" t="s">
        <v>4215</v>
      </c>
      <c r="AO885" t="s">
        <v>16907</v>
      </c>
      <c r="AP885" t="s">
        <v>16908</v>
      </c>
      <c r="AQ885" t="s">
        <v>16909</v>
      </c>
      <c r="AR885" t="s">
        <v>16910</v>
      </c>
      <c r="AS885" t="s">
        <v>74</v>
      </c>
      <c r="AT885" t="s">
        <v>74</v>
      </c>
      <c r="AU885">
        <v>2019</v>
      </c>
      <c r="AV885" t="s">
        <v>74</v>
      </c>
      <c r="AW885" t="s">
        <v>74</v>
      </c>
      <c r="AX885" t="s">
        <v>74</v>
      </c>
      <c r="AY885" t="s">
        <v>74</v>
      </c>
      <c r="AZ885" t="s">
        <v>74</v>
      </c>
      <c r="BA885" t="s">
        <v>74</v>
      </c>
      <c r="BB885" t="s">
        <v>16911</v>
      </c>
      <c r="BC885" t="s">
        <v>16912</v>
      </c>
      <c r="BD885" t="s">
        <v>74</v>
      </c>
      <c r="BE885" t="s">
        <v>74</v>
      </c>
      <c r="BF885" t="s">
        <v>74</v>
      </c>
      <c r="BG885" t="s">
        <v>16913</v>
      </c>
      <c r="BH885" t="s">
        <v>74</v>
      </c>
      <c r="BI885">
        <v>2</v>
      </c>
      <c r="BJ885" t="s">
        <v>10554</v>
      </c>
      <c r="BK885" t="s">
        <v>16914</v>
      </c>
      <c r="BL885" t="s">
        <v>4969</v>
      </c>
      <c r="BM885" t="s">
        <v>16915</v>
      </c>
      <c r="BN885" t="s">
        <v>74</v>
      </c>
      <c r="BO885" t="s">
        <v>403</v>
      </c>
      <c r="BP885" t="s">
        <v>74</v>
      </c>
      <c r="BQ885" t="s">
        <v>74</v>
      </c>
      <c r="BR885" t="s">
        <v>107</v>
      </c>
      <c r="BS885" t="s">
        <v>16916</v>
      </c>
      <c r="BT885" t="str">
        <f>HYPERLINK("https%3A%2F%2Fwww.webofscience.com%2Fwos%2Fwoscc%2Ffull-record%2FWOS:000468822300001","View Full Record in Web of Science")</f>
        <v>View Full Record in Web of Science</v>
      </c>
    </row>
    <row r="886" spans="1:72" x14ac:dyDescent="0.15">
      <c r="A886" t="s">
        <v>16897</v>
      </c>
      <c r="B886" t="s">
        <v>16917</v>
      </c>
      <c r="C886" t="s">
        <v>74</v>
      </c>
      <c r="D886" t="s">
        <v>16918</v>
      </c>
      <c r="E886" t="s">
        <v>74</v>
      </c>
      <c r="F886" t="s">
        <v>16919</v>
      </c>
      <c r="G886" t="s">
        <v>74</v>
      </c>
      <c r="H886" t="s">
        <v>74</v>
      </c>
      <c r="I886" t="s">
        <v>16920</v>
      </c>
      <c r="J886" t="s">
        <v>16921</v>
      </c>
      <c r="K886" t="s">
        <v>16922</v>
      </c>
      <c r="L886" t="s">
        <v>74</v>
      </c>
      <c r="M886" t="s">
        <v>78</v>
      </c>
      <c r="N886" t="s">
        <v>16887</v>
      </c>
      <c r="O886" t="s">
        <v>74</v>
      </c>
      <c r="P886" t="s">
        <v>74</v>
      </c>
      <c r="Q886" t="s">
        <v>74</v>
      </c>
      <c r="R886" t="s">
        <v>74</v>
      </c>
      <c r="S886" t="s">
        <v>74</v>
      </c>
      <c r="T886" t="s">
        <v>74</v>
      </c>
      <c r="U886" t="s">
        <v>16923</v>
      </c>
      <c r="V886" t="s">
        <v>16924</v>
      </c>
      <c r="W886" t="s">
        <v>16925</v>
      </c>
      <c r="X886" t="s">
        <v>16926</v>
      </c>
      <c r="Y886" t="s">
        <v>16927</v>
      </c>
      <c r="Z886" t="s">
        <v>16928</v>
      </c>
      <c r="AA886" t="s">
        <v>16929</v>
      </c>
      <c r="AB886" t="s">
        <v>16930</v>
      </c>
      <c r="AC886" t="s">
        <v>16931</v>
      </c>
      <c r="AD886" t="s">
        <v>3239</v>
      </c>
      <c r="AE886" t="s">
        <v>74</v>
      </c>
      <c r="AF886" t="s">
        <v>74</v>
      </c>
      <c r="AG886">
        <v>59</v>
      </c>
      <c r="AH886">
        <v>3</v>
      </c>
      <c r="AI886">
        <v>3</v>
      </c>
      <c r="AJ886">
        <v>0</v>
      </c>
      <c r="AK886">
        <v>1</v>
      </c>
      <c r="AL886" t="s">
        <v>16932</v>
      </c>
      <c r="AM886" t="s">
        <v>16933</v>
      </c>
      <c r="AN886" t="s">
        <v>16934</v>
      </c>
      <c r="AO886" t="s">
        <v>16935</v>
      </c>
      <c r="AP886" t="s">
        <v>74</v>
      </c>
      <c r="AQ886" t="s">
        <v>16936</v>
      </c>
      <c r="AR886" t="s">
        <v>16937</v>
      </c>
      <c r="AS886" t="s">
        <v>16938</v>
      </c>
      <c r="AT886" t="s">
        <v>74</v>
      </c>
      <c r="AU886">
        <v>2019</v>
      </c>
      <c r="AV886">
        <v>475</v>
      </c>
      <c r="AW886" t="s">
        <v>74</v>
      </c>
      <c r="AX886" t="s">
        <v>74</v>
      </c>
      <c r="AY886" t="s">
        <v>74</v>
      </c>
      <c r="AZ886" t="s">
        <v>74</v>
      </c>
      <c r="BA886" t="s">
        <v>74</v>
      </c>
      <c r="BB886">
        <v>1</v>
      </c>
      <c r="BC886">
        <v>8</v>
      </c>
      <c r="BD886" t="s">
        <v>74</v>
      </c>
      <c r="BE886" t="s">
        <v>16939</v>
      </c>
      <c r="BF886" t="str">
        <f>HYPERLINK("http://dx.doi.org/10.1144/SP475.12","http://dx.doi.org/10.1144/SP475.12")</f>
        <v>http://dx.doi.org/10.1144/SP475.12</v>
      </c>
      <c r="BG886" t="s">
        <v>74</v>
      </c>
      <c r="BH886" t="s">
        <v>74</v>
      </c>
      <c r="BI886">
        <v>8</v>
      </c>
      <c r="BJ886" t="s">
        <v>923</v>
      </c>
      <c r="BK886" t="s">
        <v>16914</v>
      </c>
      <c r="BL886" t="s">
        <v>923</v>
      </c>
      <c r="BM886" t="s">
        <v>16940</v>
      </c>
      <c r="BN886" t="s">
        <v>74</v>
      </c>
      <c r="BO886" t="s">
        <v>2783</v>
      </c>
      <c r="BP886" t="s">
        <v>74</v>
      </c>
      <c r="BQ886" t="s">
        <v>74</v>
      </c>
      <c r="BR886" t="s">
        <v>107</v>
      </c>
      <c r="BS886" t="s">
        <v>16941</v>
      </c>
      <c r="BT886" t="str">
        <f>HYPERLINK("https%3A%2F%2Fwww.webofscience.com%2Fwos%2Fwoscc%2Ffull-record%2FWOS:000473224700001","View Full Record in Web of Science")</f>
        <v>View Full Record in Web of Science</v>
      </c>
    </row>
    <row r="887" spans="1:72" x14ac:dyDescent="0.15">
      <c r="A887" t="s">
        <v>72</v>
      </c>
      <c r="B887" t="s">
        <v>16942</v>
      </c>
      <c r="C887" t="s">
        <v>74</v>
      </c>
      <c r="D887" t="s">
        <v>74</v>
      </c>
      <c r="E887" t="s">
        <v>74</v>
      </c>
      <c r="F887" t="s">
        <v>16943</v>
      </c>
      <c r="G887" t="s">
        <v>74</v>
      </c>
      <c r="H887" t="s">
        <v>74</v>
      </c>
      <c r="I887" t="s">
        <v>16944</v>
      </c>
      <c r="J887" t="s">
        <v>9281</v>
      </c>
      <c r="K887" t="s">
        <v>74</v>
      </c>
      <c r="L887" t="s">
        <v>74</v>
      </c>
      <c r="M887" t="s">
        <v>78</v>
      </c>
      <c r="N887" t="s">
        <v>168</v>
      </c>
      <c r="O887" t="s">
        <v>74</v>
      </c>
      <c r="P887" t="s">
        <v>74</v>
      </c>
      <c r="Q887" t="s">
        <v>74</v>
      </c>
      <c r="R887" t="s">
        <v>74</v>
      </c>
      <c r="S887" t="s">
        <v>74</v>
      </c>
      <c r="T887" t="s">
        <v>74</v>
      </c>
      <c r="U887" t="s">
        <v>16945</v>
      </c>
      <c r="V887" t="s">
        <v>74</v>
      </c>
      <c r="W887" t="s">
        <v>16946</v>
      </c>
      <c r="X887" t="s">
        <v>16947</v>
      </c>
      <c r="Y887" t="s">
        <v>16948</v>
      </c>
      <c r="Z887" t="s">
        <v>16949</v>
      </c>
      <c r="AA887" t="s">
        <v>16950</v>
      </c>
      <c r="AB887" t="s">
        <v>16951</v>
      </c>
      <c r="AC887" t="s">
        <v>16952</v>
      </c>
      <c r="AD887" t="s">
        <v>16952</v>
      </c>
      <c r="AE887" t="s">
        <v>16953</v>
      </c>
      <c r="AF887" t="s">
        <v>74</v>
      </c>
      <c r="AG887">
        <v>17</v>
      </c>
      <c r="AH887">
        <v>0</v>
      </c>
      <c r="AI887">
        <v>0</v>
      </c>
      <c r="AJ887">
        <v>0</v>
      </c>
      <c r="AK887">
        <v>0</v>
      </c>
      <c r="AL887" t="s">
        <v>634</v>
      </c>
      <c r="AM887" t="s">
        <v>635</v>
      </c>
      <c r="AN887" t="s">
        <v>636</v>
      </c>
      <c r="AO887" t="s">
        <v>9294</v>
      </c>
      <c r="AP887" t="s">
        <v>9295</v>
      </c>
      <c r="AQ887" t="s">
        <v>74</v>
      </c>
      <c r="AR887" t="s">
        <v>9296</v>
      </c>
      <c r="AS887" t="s">
        <v>9297</v>
      </c>
      <c r="AT887" t="s">
        <v>16954</v>
      </c>
      <c r="AU887">
        <v>2019</v>
      </c>
      <c r="AV887">
        <v>172</v>
      </c>
      <c r="AW887" t="s">
        <v>74</v>
      </c>
      <c r="AX887" t="s">
        <v>74</v>
      </c>
      <c r="AY887" t="s">
        <v>74</v>
      </c>
      <c r="AZ887" t="s">
        <v>74</v>
      </c>
      <c r="BA887" t="s">
        <v>74</v>
      </c>
      <c r="BB887">
        <v>479</v>
      </c>
      <c r="BC887">
        <v>481</v>
      </c>
      <c r="BD887" t="s">
        <v>74</v>
      </c>
      <c r="BE887" t="s">
        <v>16955</v>
      </c>
      <c r="BF887" t="str">
        <f>HYPERLINK("http://dx.doi.org/10.1016/j.gloplacha.2018.10.003","http://dx.doi.org/10.1016/j.gloplacha.2018.10.003")</f>
        <v>http://dx.doi.org/10.1016/j.gloplacha.2018.10.003</v>
      </c>
      <c r="BG887" t="s">
        <v>74</v>
      </c>
      <c r="BH887" t="s">
        <v>74</v>
      </c>
      <c r="BI887">
        <v>3</v>
      </c>
      <c r="BJ887" t="s">
        <v>1142</v>
      </c>
      <c r="BK887" t="s">
        <v>102</v>
      </c>
      <c r="BL887" t="s">
        <v>1143</v>
      </c>
      <c r="BM887" t="s">
        <v>16956</v>
      </c>
      <c r="BN887" t="s">
        <v>74</v>
      </c>
      <c r="BO887" t="s">
        <v>74</v>
      </c>
      <c r="BP887" t="s">
        <v>74</v>
      </c>
      <c r="BQ887" t="s">
        <v>74</v>
      </c>
      <c r="BR887" t="s">
        <v>107</v>
      </c>
      <c r="BS887" t="s">
        <v>16957</v>
      </c>
      <c r="BT887" t="str">
        <f>HYPERLINK("https%3A%2F%2Fwww.webofscience.com%2Fwos%2Fwoscc%2Ffull-record%2FWOS:000456222800037","View Full Record in Web of Science")</f>
        <v>View Full Record in Web of Science</v>
      </c>
    </row>
    <row r="888" spans="1:72" x14ac:dyDescent="0.15">
      <c r="A888" t="s">
        <v>16882</v>
      </c>
      <c r="B888" t="s">
        <v>16958</v>
      </c>
      <c r="C888" t="s">
        <v>74</v>
      </c>
      <c r="D888" t="s">
        <v>16959</v>
      </c>
      <c r="E888" t="s">
        <v>74</v>
      </c>
      <c r="F888" t="s">
        <v>16960</v>
      </c>
      <c r="G888" t="s">
        <v>74</v>
      </c>
      <c r="H888" t="s">
        <v>74</v>
      </c>
      <c r="I888" t="s">
        <v>16961</v>
      </c>
      <c r="J888" t="s">
        <v>16962</v>
      </c>
      <c r="K888" t="s">
        <v>16963</v>
      </c>
      <c r="L888" t="s">
        <v>74</v>
      </c>
      <c r="M888" t="s">
        <v>78</v>
      </c>
      <c r="N888" t="s">
        <v>16887</v>
      </c>
      <c r="O888" t="s">
        <v>74</v>
      </c>
      <c r="P888" t="s">
        <v>74</v>
      </c>
      <c r="Q888" t="s">
        <v>74</v>
      </c>
      <c r="R888" t="s">
        <v>74</v>
      </c>
      <c r="S888" t="s">
        <v>74</v>
      </c>
      <c r="T888" t="s">
        <v>74</v>
      </c>
      <c r="U888" t="s">
        <v>16964</v>
      </c>
      <c r="V888" t="s">
        <v>74</v>
      </c>
      <c r="W888" t="s">
        <v>16965</v>
      </c>
      <c r="X888" t="s">
        <v>16966</v>
      </c>
      <c r="Y888" t="s">
        <v>16967</v>
      </c>
      <c r="Z888" t="s">
        <v>74</v>
      </c>
      <c r="AA888" t="s">
        <v>74</v>
      </c>
      <c r="AB888" t="s">
        <v>74</v>
      </c>
      <c r="AC888" t="s">
        <v>74</v>
      </c>
      <c r="AD888" t="s">
        <v>74</v>
      </c>
      <c r="AE888" t="s">
        <v>74</v>
      </c>
      <c r="AF888" t="s">
        <v>74</v>
      </c>
      <c r="AG888">
        <v>12</v>
      </c>
      <c r="AH888">
        <v>2</v>
      </c>
      <c r="AI888">
        <v>2</v>
      </c>
      <c r="AJ888">
        <v>0</v>
      </c>
      <c r="AK888">
        <v>0</v>
      </c>
      <c r="AL888" t="s">
        <v>16968</v>
      </c>
      <c r="AM888" t="s">
        <v>16969</v>
      </c>
      <c r="AN888" t="s">
        <v>16970</v>
      </c>
      <c r="AO888" t="s">
        <v>74</v>
      </c>
      <c r="AP888" t="s">
        <v>74</v>
      </c>
      <c r="AQ888" t="s">
        <v>16971</v>
      </c>
      <c r="AR888" t="s">
        <v>16972</v>
      </c>
      <c r="AS888" t="s">
        <v>74</v>
      </c>
      <c r="AT888" t="s">
        <v>74</v>
      </c>
      <c r="AU888">
        <v>2019</v>
      </c>
      <c r="AV888" t="s">
        <v>74</v>
      </c>
      <c r="AW888" t="s">
        <v>74</v>
      </c>
      <c r="AX888" t="s">
        <v>74</v>
      </c>
      <c r="AY888" t="s">
        <v>74</v>
      </c>
      <c r="AZ888" t="s">
        <v>74</v>
      </c>
      <c r="BA888" t="s">
        <v>74</v>
      </c>
      <c r="BB888">
        <v>1</v>
      </c>
      <c r="BC888">
        <v>7</v>
      </c>
      <c r="BD888" t="s">
        <v>74</v>
      </c>
      <c r="BE888" t="s">
        <v>74</v>
      </c>
      <c r="BF888" t="s">
        <v>74</v>
      </c>
      <c r="BG888" t="s">
        <v>16973</v>
      </c>
      <c r="BH888" t="s">
        <v>74</v>
      </c>
      <c r="BI888">
        <v>7</v>
      </c>
      <c r="BJ888" t="s">
        <v>16974</v>
      </c>
      <c r="BK888" t="s">
        <v>16894</v>
      </c>
      <c r="BL888" t="s">
        <v>16975</v>
      </c>
      <c r="BM888" t="s">
        <v>16976</v>
      </c>
      <c r="BN888" t="s">
        <v>74</v>
      </c>
      <c r="BO888" t="s">
        <v>74</v>
      </c>
      <c r="BP888" t="s">
        <v>74</v>
      </c>
      <c r="BQ888" t="s">
        <v>74</v>
      </c>
      <c r="BR888" t="s">
        <v>107</v>
      </c>
      <c r="BS888" t="s">
        <v>16977</v>
      </c>
      <c r="BT888" t="str">
        <f>HYPERLINK("https%3A%2F%2Fwww.webofscience.com%2Fwos%2Fwoscc%2Ffull-record%2FWOS:000566265600003","View Full Record in Web of Science")</f>
        <v>View Full Record in Web of Science</v>
      </c>
    </row>
    <row r="889" spans="1:72" x14ac:dyDescent="0.15">
      <c r="A889" t="s">
        <v>72</v>
      </c>
      <c r="B889" t="s">
        <v>16978</v>
      </c>
      <c r="C889" t="s">
        <v>74</v>
      </c>
      <c r="D889" t="s">
        <v>74</v>
      </c>
      <c r="E889" t="s">
        <v>74</v>
      </c>
      <c r="F889" t="s">
        <v>16979</v>
      </c>
      <c r="G889" t="s">
        <v>74</v>
      </c>
      <c r="H889" t="s">
        <v>74</v>
      </c>
      <c r="I889" t="s">
        <v>16980</v>
      </c>
      <c r="J889" t="s">
        <v>16981</v>
      </c>
      <c r="K889" t="s">
        <v>74</v>
      </c>
      <c r="L889" t="s">
        <v>74</v>
      </c>
      <c r="M889" t="s">
        <v>78</v>
      </c>
      <c r="N889" t="s">
        <v>168</v>
      </c>
      <c r="O889" t="s">
        <v>74</v>
      </c>
      <c r="P889" t="s">
        <v>74</v>
      </c>
      <c r="Q889" t="s">
        <v>74</v>
      </c>
      <c r="R889" t="s">
        <v>74</v>
      </c>
      <c r="S889" t="s">
        <v>74</v>
      </c>
      <c r="T889" t="s">
        <v>74</v>
      </c>
      <c r="U889" t="s">
        <v>16982</v>
      </c>
      <c r="V889" t="s">
        <v>74</v>
      </c>
      <c r="W889" t="s">
        <v>16983</v>
      </c>
      <c r="X889" t="s">
        <v>16984</v>
      </c>
      <c r="Y889" t="s">
        <v>16985</v>
      </c>
      <c r="Z889" t="s">
        <v>16986</v>
      </c>
      <c r="AA889" t="s">
        <v>74</v>
      </c>
      <c r="AB889" t="s">
        <v>16987</v>
      </c>
      <c r="AC889" t="s">
        <v>16988</v>
      </c>
      <c r="AD889" t="s">
        <v>16989</v>
      </c>
      <c r="AE889" t="s">
        <v>16990</v>
      </c>
      <c r="AF889" t="s">
        <v>74</v>
      </c>
      <c r="AG889">
        <v>14</v>
      </c>
      <c r="AH889">
        <v>5</v>
      </c>
      <c r="AI889">
        <v>6</v>
      </c>
      <c r="AJ889">
        <v>0</v>
      </c>
      <c r="AK889">
        <v>4</v>
      </c>
      <c r="AL889" t="s">
        <v>2055</v>
      </c>
      <c r="AM889" t="s">
        <v>2056</v>
      </c>
      <c r="AN889" t="s">
        <v>2057</v>
      </c>
      <c r="AO889" t="s">
        <v>16991</v>
      </c>
      <c r="AP889" t="s">
        <v>16992</v>
      </c>
      <c r="AQ889" t="s">
        <v>74</v>
      </c>
      <c r="AR889" t="s">
        <v>16981</v>
      </c>
      <c r="AS889" t="s">
        <v>16993</v>
      </c>
      <c r="AT889" t="s">
        <v>74</v>
      </c>
      <c r="AU889">
        <v>2019</v>
      </c>
      <c r="AV889">
        <v>9</v>
      </c>
      <c r="AW889">
        <v>2</v>
      </c>
      <c r="AX889" t="s">
        <v>74</v>
      </c>
      <c r="AY889" t="s">
        <v>74</v>
      </c>
      <c r="AZ889" t="s">
        <v>247</v>
      </c>
      <c r="BA889" t="s">
        <v>74</v>
      </c>
      <c r="BB889">
        <v>125</v>
      </c>
      <c r="BC889">
        <v>129</v>
      </c>
      <c r="BD889" t="s">
        <v>74</v>
      </c>
      <c r="BE889" t="s">
        <v>16994</v>
      </c>
      <c r="BF889" t="str">
        <f>HYPERLINK("http://dx.doi.org/10.1080/20442041.2019.1634450","http://dx.doi.org/10.1080/20442041.2019.1634450")</f>
        <v>http://dx.doi.org/10.1080/20442041.2019.1634450</v>
      </c>
      <c r="BG889" t="s">
        <v>74</v>
      </c>
      <c r="BH889" t="s">
        <v>74</v>
      </c>
      <c r="BI889">
        <v>5</v>
      </c>
      <c r="BJ889" t="s">
        <v>16995</v>
      </c>
      <c r="BK889" t="s">
        <v>102</v>
      </c>
      <c r="BL889" t="s">
        <v>558</v>
      </c>
      <c r="BM889" t="s">
        <v>16996</v>
      </c>
      <c r="BN889" t="s">
        <v>74</v>
      </c>
      <c r="BO889" t="s">
        <v>2614</v>
      </c>
      <c r="BP889" t="s">
        <v>74</v>
      </c>
      <c r="BQ889" t="s">
        <v>74</v>
      </c>
      <c r="BR889" t="s">
        <v>107</v>
      </c>
      <c r="BS889" t="s">
        <v>16997</v>
      </c>
      <c r="BT889" t="str">
        <f>HYPERLINK("https%3A%2F%2Fwww.webofscience.com%2Fwos%2Fwoscc%2Ffull-record%2FWOS:000482317700001","View Full Record in Web of Science")</f>
        <v>View Full Record in Web of Science</v>
      </c>
    </row>
    <row r="890" spans="1:72" x14ac:dyDescent="0.15">
      <c r="A890" t="s">
        <v>72</v>
      </c>
      <c r="B890" t="s">
        <v>5197</v>
      </c>
      <c r="C890" t="s">
        <v>74</v>
      </c>
      <c r="D890" t="s">
        <v>74</v>
      </c>
      <c r="E890" t="s">
        <v>74</v>
      </c>
      <c r="F890" t="s">
        <v>5197</v>
      </c>
      <c r="G890" t="s">
        <v>74</v>
      </c>
      <c r="H890" t="s">
        <v>74</v>
      </c>
      <c r="I890" t="s">
        <v>16998</v>
      </c>
      <c r="J890" t="s">
        <v>16999</v>
      </c>
      <c r="K890" t="s">
        <v>74</v>
      </c>
      <c r="L890" t="s">
        <v>74</v>
      </c>
      <c r="M890" t="s">
        <v>17000</v>
      </c>
      <c r="N890" t="s">
        <v>168</v>
      </c>
      <c r="O890" t="s">
        <v>74</v>
      </c>
      <c r="P890" t="s">
        <v>74</v>
      </c>
      <c r="Q890" t="s">
        <v>74</v>
      </c>
      <c r="R890" t="s">
        <v>74</v>
      </c>
      <c r="S890" t="s">
        <v>74</v>
      </c>
      <c r="T890" t="s">
        <v>74</v>
      </c>
      <c r="U890" t="s">
        <v>74</v>
      </c>
      <c r="V890" t="s">
        <v>74</v>
      </c>
      <c r="W890" t="s">
        <v>74</v>
      </c>
      <c r="X890" t="s">
        <v>74</v>
      </c>
      <c r="Y890" t="s">
        <v>74</v>
      </c>
      <c r="Z890" t="s">
        <v>74</v>
      </c>
      <c r="AA890" t="s">
        <v>74</v>
      </c>
      <c r="AB890" t="s">
        <v>74</v>
      </c>
      <c r="AC890" t="s">
        <v>74</v>
      </c>
      <c r="AD890" t="s">
        <v>74</v>
      </c>
      <c r="AE890" t="s">
        <v>74</v>
      </c>
      <c r="AF890" t="s">
        <v>74</v>
      </c>
      <c r="AG890">
        <v>1</v>
      </c>
      <c r="AH890">
        <v>0</v>
      </c>
      <c r="AI890">
        <v>0</v>
      </c>
      <c r="AJ890">
        <v>0</v>
      </c>
      <c r="AK890">
        <v>0</v>
      </c>
      <c r="AL890" t="s">
        <v>17001</v>
      </c>
      <c r="AM890" t="s">
        <v>17002</v>
      </c>
      <c r="AN890" t="s">
        <v>17003</v>
      </c>
      <c r="AO890" t="s">
        <v>17004</v>
      </c>
      <c r="AP890" t="s">
        <v>17005</v>
      </c>
      <c r="AQ890" t="s">
        <v>74</v>
      </c>
      <c r="AR890" t="s">
        <v>17006</v>
      </c>
      <c r="AS890" t="s">
        <v>17007</v>
      </c>
      <c r="AT890" t="s">
        <v>74</v>
      </c>
      <c r="AU890">
        <v>2019</v>
      </c>
      <c r="AV890">
        <v>68</v>
      </c>
      <c r="AW890" t="s">
        <v>9919</v>
      </c>
      <c r="AX890" t="s">
        <v>74</v>
      </c>
      <c r="AY890" t="s">
        <v>74</v>
      </c>
      <c r="AZ890" t="s">
        <v>74</v>
      </c>
      <c r="BA890" t="s">
        <v>74</v>
      </c>
      <c r="BB890">
        <v>141</v>
      </c>
      <c r="BC890">
        <v>142</v>
      </c>
      <c r="BD890" t="s">
        <v>74</v>
      </c>
      <c r="BE890" t="s">
        <v>74</v>
      </c>
      <c r="BF890" t="s">
        <v>74</v>
      </c>
      <c r="BG890" t="s">
        <v>74</v>
      </c>
      <c r="BH890" t="s">
        <v>74</v>
      </c>
      <c r="BI890">
        <v>2</v>
      </c>
      <c r="BJ890" t="s">
        <v>6033</v>
      </c>
      <c r="BK890" t="s">
        <v>2712</v>
      </c>
      <c r="BL890" t="s">
        <v>1494</v>
      </c>
      <c r="BM890" t="s">
        <v>17008</v>
      </c>
      <c r="BN890" t="s">
        <v>74</v>
      </c>
      <c r="BO890" t="s">
        <v>74</v>
      </c>
      <c r="BP890" t="s">
        <v>74</v>
      </c>
      <c r="BQ890" t="s">
        <v>74</v>
      </c>
      <c r="BR890" t="s">
        <v>107</v>
      </c>
      <c r="BS890" t="s">
        <v>17009</v>
      </c>
      <c r="BT890" t="str">
        <f>HYPERLINK("https%3A%2F%2Fwww.webofscience.com%2Fwos%2Fwoscc%2Ffull-record%2FWOS:000468375200010","View Full Record in Web of Science")</f>
        <v>View Full Record in Web of Science</v>
      </c>
    </row>
    <row r="891" spans="1:72" x14ac:dyDescent="0.15">
      <c r="A891" t="s">
        <v>72</v>
      </c>
      <c r="B891" t="s">
        <v>5197</v>
      </c>
      <c r="C891" t="s">
        <v>74</v>
      </c>
      <c r="D891" t="s">
        <v>74</v>
      </c>
      <c r="E891" t="s">
        <v>74</v>
      </c>
      <c r="F891" t="s">
        <v>5197</v>
      </c>
      <c r="G891" t="s">
        <v>74</v>
      </c>
      <c r="H891" t="s">
        <v>74</v>
      </c>
      <c r="I891" t="s">
        <v>17010</v>
      </c>
      <c r="J891" t="s">
        <v>16999</v>
      </c>
      <c r="K891" t="s">
        <v>74</v>
      </c>
      <c r="L891" t="s">
        <v>74</v>
      </c>
      <c r="M891" t="s">
        <v>17000</v>
      </c>
      <c r="N891" t="s">
        <v>168</v>
      </c>
      <c r="O891" t="s">
        <v>74</v>
      </c>
      <c r="P891" t="s">
        <v>74</v>
      </c>
      <c r="Q891" t="s">
        <v>74</v>
      </c>
      <c r="R891" t="s">
        <v>74</v>
      </c>
      <c r="S891" t="s">
        <v>74</v>
      </c>
      <c r="T891" t="s">
        <v>74</v>
      </c>
      <c r="U891" t="s">
        <v>74</v>
      </c>
      <c r="V891" t="s">
        <v>74</v>
      </c>
      <c r="W891" t="s">
        <v>74</v>
      </c>
      <c r="X891" t="s">
        <v>74</v>
      </c>
      <c r="Y891" t="s">
        <v>74</v>
      </c>
      <c r="Z891" t="s">
        <v>74</v>
      </c>
      <c r="AA891" t="s">
        <v>74</v>
      </c>
      <c r="AB891" t="s">
        <v>74</v>
      </c>
      <c r="AC891" t="s">
        <v>74</v>
      </c>
      <c r="AD891" t="s">
        <v>74</v>
      </c>
      <c r="AE891" t="s">
        <v>74</v>
      </c>
      <c r="AF891" t="s">
        <v>74</v>
      </c>
      <c r="AG891">
        <v>1</v>
      </c>
      <c r="AH891">
        <v>0</v>
      </c>
      <c r="AI891">
        <v>0</v>
      </c>
      <c r="AJ891">
        <v>0</v>
      </c>
      <c r="AK891">
        <v>1</v>
      </c>
      <c r="AL891" t="s">
        <v>17001</v>
      </c>
      <c r="AM891" t="s">
        <v>17002</v>
      </c>
      <c r="AN891" t="s">
        <v>17003</v>
      </c>
      <c r="AO891" t="s">
        <v>17004</v>
      </c>
      <c r="AP891" t="s">
        <v>17005</v>
      </c>
      <c r="AQ891" t="s">
        <v>74</v>
      </c>
      <c r="AR891" t="s">
        <v>17006</v>
      </c>
      <c r="AS891" t="s">
        <v>17007</v>
      </c>
      <c r="AT891" t="s">
        <v>74</v>
      </c>
      <c r="AU891">
        <v>2019</v>
      </c>
      <c r="AV891">
        <v>68</v>
      </c>
      <c r="AW891" t="s">
        <v>9919</v>
      </c>
      <c r="AX891" t="s">
        <v>74</v>
      </c>
      <c r="AY891" t="s">
        <v>74</v>
      </c>
      <c r="AZ891" t="s">
        <v>74</v>
      </c>
      <c r="BA891" t="s">
        <v>74</v>
      </c>
      <c r="BB891">
        <v>142</v>
      </c>
      <c r="BC891">
        <v>142</v>
      </c>
      <c r="BD891" t="s">
        <v>74</v>
      </c>
      <c r="BE891" t="s">
        <v>74</v>
      </c>
      <c r="BF891" t="s">
        <v>74</v>
      </c>
      <c r="BG891" t="s">
        <v>74</v>
      </c>
      <c r="BH891" t="s">
        <v>74</v>
      </c>
      <c r="BI891">
        <v>1</v>
      </c>
      <c r="BJ891" t="s">
        <v>6033</v>
      </c>
      <c r="BK891" t="s">
        <v>2712</v>
      </c>
      <c r="BL891" t="s">
        <v>1494</v>
      </c>
      <c r="BM891" t="s">
        <v>17008</v>
      </c>
      <c r="BN891" t="s">
        <v>74</v>
      </c>
      <c r="BO891" t="s">
        <v>74</v>
      </c>
      <c r="BP891" t="s">
        <v>74</v>
      </c>
      <c r="BQ891" t="s">
        <v>74</v>
      </c>
      <c r="BR891" t="s">
        <v>107</v>
      </c>
      <c r="BS891" t="s">
        <v>17011</v>
      </c>
      <c r="BT891" t="str">
        <f>HYPERLINK("https%3A%2F%2Fwww.webofscience.com%2Fwos%2Fwoscc%2Ffull-record%2FWOS:000468375200011","View Full Record in Web of Science")</f>
        <v>View Full Record in Web of Science</v>
      </c>
    </row>
    <row r="892" spans="1:72" x14ac:dyDescent="0.15">
      <c r="A892" t="s">
        <v>16882</v>
      </c>
      <c r="B892" t="s">
        <v>17012</v>
      </c>
      <c r="C892" t="s">
        <v>17012</v>
      </c>
      <c r="D892" t="s">
        <v>74</v>
      </c>
      <c r="E892" t="s">
        <v>74</v>
      </c>
      <c r="F892" t="s">
        <v>17013</v>
      </c>
      <c r="G892" t="s">
        <v>17012</v>
      </c>
      <c r="H892" t="s">
        <v>74</v>
      </c>
      <c r="I892" t="s">
        <v>17014</v>
      </c>
      <c r="J892" t="s">
        <v>17015</v>
      </c>
      <c r="K892" t="s">
        <v>74</v>
      </c>
      <c r="L892" t="s">
        <v>74</v>
      </c>
      <c r="M892" t="s">
        <v>78</v>
      </c>
      <c r="N892" t="s">
        <v>16887</v>
      </c>
      <c r="O892" t="s">
        <v>74</v>
      </c>
      <c r="P892" t="s">
        <v>74</v>
      </c>
      <c r="Q892" t="s">
        <v>74</v>
      </c>
      <c r="R892" t="s">
        <v>74</v>
      </c>
      <c r="S892" t="s">
        <v>74</v>
      </c>
      <c r="T892" t="s">
        <v>74</v>
      </c>
      <c r="U892" t="s">
        <v>17016</v>
      </c>
      <c r="V892" t="s">
        <v>74</v>
      </c>
      <c r="W892" t="s">
        <v>74</v>
      </c>
      <c r="X892" t="s">
        <v>74</v>
      </c>
      <c r="Y892" t="s">
        <v>74</v>
      </c>
      <c r="Z892" t="s">
        <v>74</v>
      </c>
      <c r="AA892" t="s">
        <v>74</v>
      </c>
      <c r="AB892" t="s">
        <v>74</v>
      </c>
      <c r="AC892" t="s">
        <v>74</v>
      </c>
      <c r="AD892" t="s">
        <v>74</v>
      </c>
      <c r="AE892" t="s">
        <v>74</v>
      </c>
      <c r="AF892" t="s">
        <v>74</v>
      </c>
      <c r="AG892">
        <v>124</v>
      </c>
      <c r="AH892">
        <v>0</v>
      </c>
      <c r="AI892">
        <v>0</v>
      </c>
      <c r="AJ892">
        <v>0</v>
      </c>
      <c r="AK892">
        <v>0</v>
      </c>
      <c r="AL892" t="s">
        <v>17017</v>
      </c>
      <c r="AM892" t="s">
        <v>17018</v>
      </c>
      <c r="AN892" t="s">
        <v>17019</v>
      </c>
      <c r="AO892" t="s">
        <v>74</v>
      </c>
      <c r="AP892" t="s">
        <v>74</v>
      </c>
      <c r="AQ892" t="s">
        <v>17020</v>
      </c>
      <c r="AR892" t="s">
        <v>74</v>
      </c>
      <c r="AS892" t="s">
        <v>74</v>
      </c>
      <c r="AT892" t="s">
        <v>74</v>
      </c>
      <c r="AU892">
        <v>2019</v>
      </c>
      <c r="AV892" t="s">
        <v>74</v>
      </c>
      <c r="AW892" t="s">
        <v>74</v>
      </c>
      <c r="AX892" t="s">
        <v>74</v>
      </c>
      <c r="AY892" t="s">
        <v>74</v>
      </c>
      <c r="AZ892" t="s">
        <v>74</v>
      </c>
      <c r="BA892" t="s">
        <v>74</v>
      </c>
      <c r="BB892" t="s">
        <v>17021</v>
      </c>
      <c r="BC892" t="s">
        <v>1394</v>
      </c>
      <c r="BD892" t="s">
        <v>74</v>
      </c>
      <c r="BE892" t="s">
        <v>74</v>
      </c>
      <c r="BF892" t="s">
        <v>74</v>
      </c>
      <c r="BG892" t="s">
        <v>17022</v>
      </c>
      <c r="BH892" t="s">
        <v>74</v>
      </c>
      <c r="BI892">
        <v>11</v>
      </c>
      <c r="BJ892" t="s">
        <v>17023</v>
      </c>
      <c r="BK892" t="s">
        <v>17024</v>
      </c>
      <c r="BL892" t="s">
        <v>17025</v>
      </c>
      <c r="BM892" t="s">
        <v>17026</v>
      </c>
      <c r="BN892" t="s">
        <v>74</v>
      </c>
      <c r="BO892" t="s">
        <v>403</v>
      </c>
      <c r="BP892" t="s">
        <v>74</v>
      </c>
      <c r="BQ892" t="s">
        <v>74</v>
      </c>
      <c r="BR892" t="s">
        <v>107</v>
      </c>
      <c r="BS892" t="s">
        <v>17027</v>
      </c>
      <c r="BT892" t="str">
        <f>HYPERLINK("https%3A%2F%2Fwww.webofscience.com%2Fwos%2Fwoscc%2Ffull-record%2FWOS:000505954100001","View Full Record in Web of Science")</f>
        <v>View Full Record in Web of Science</v>
      </c>
    </row>
    <row r="893" spans="1:72" x14ac:dyDescent="0.15">
      <c r="A893" t="s">
        <v>16882</v>
      </c>
      <c r="B893" t="s">
        <v>17012</v>
      </c>
      <c r="C893" t="s">
        <v>17012</v>
      </c>
      <c r="D893" t="s">
        <v>74</v>
      </c>
      <c r="E893" t="s">
        <v>74</v>
      </c>
      <c r="F893" t="s">
        <v>17013</v>
      </c>
      <c r="G893" t="s">
        <v>17012</v>
      </c>
      <c r="H893" t="s">
        <v>74</v>
      </c>
      <c r="I893" t="s">
        <v>17028</v>
      </c>
      <c r="J893" t="s">
        <v>17015</v>
      </c>
      <c r="K893" t="s">
        <v>74</v>
      </c>
      <c r="L893" t="s">
        <v>74</v>
      </c>
      <c r="M893" t="s">
        <v>78</v>
      </c>
      <c r="N893" t="s">
        <v>16887</v>
      </c>
      <c r="O893" t="s">
        <v>74</v>
      </c>
      <c r="P893" t="s">
        <v>74</v>
      </c>
      <c r="Q893" t="s">
        <v>74</v>
      </c>
      <c r="R893" t="s">
        <v>74</v>
      </c>
      <c r="S893" t="s">
        <v>74</v>
      </c>
      <c r="T893" t="s">
        <v>74</v>
      </c>
      <c r="U893" t="s">
        <v>74</v>
      </c>
      <c r="V893" t="s">
        <v>74</v>
      </c>
      <c r="W893" t="s">
        <v>74</v>
      </c>
      <c r="X893" t="s">
        <v>74</v>
      </c>
      <c r="Y893" t="s">
        <v>74</v>
      </c>
      <c r="Z893" t="s">
        <v>74</v>
      </c>
      <c r="AA893" t="s">
        <v>74</v>
      </c>
      <c r="AB893" t="s">
        <v>74</v>
      </c>
      <c r="AC893" t="s">
        <v>74</v>
      </c>
      <c r="AD893" t="s">
        <v>74</v>
      </c>
      <c r="AE893" t="s">
        <v>74</v>
      </c>
      <c r="AF893" t="s">
        <v>74</v>
      </c>
      <c r="AG893">
        <v>0</v>
      </c>
      <c r="AH893">
        <v>0</v>
      </c>
      <c r="AI893">
        <v>0</v>
      </c>
      <c r="AJ893">
        <v>0</v>
      </c>
      <c r="AK893">
        <v>0</v>
      </c>
      <c r="AL893" t="s">
        <v>17017</v>
      </c>
      <c r="AM893" t="s">
        <v>17018</v>
      </c>
      <c r="AN893" t="s">
        <v>17019</v>
      </c>
      <c r="AO893" t="s">
        <v>74</v>
      </c>
      <c r="AP893" t="s">
        <v>74</v>
      </c>
      <c r="AQ893" t="s">
        <v>17020</v>
      </c>
      <c r="AR893" t="s">
        <v>74</v>
      </c>
      <c r="AS893" t="s">
        <v>74</v>
      </c>
      <c r="AT893" t="s">
        <v>74</v>
      </c>
      <c r="AU893">
        <v>2019</v>
      </c>
      <c r="AV893" t="s">
        <v>74</v>
      </c>
      <c r="AW893" t="s">
        <v>74</v>
      </c>
      <c r="AX893" t="s">
        <v>74</v>
      </c>
      <c r="AY893" t="s">
        <v>74</v>
      </c>
      <c r="AZ893" t="s">
        <v>74</v>
      </c>
      <c r="BA893" t="s">
        <v>74</v>
      </c>
      <c r="BB893" t="s">
        <v>17029</v>
      </c>
      <c r="BC893" t="s">
        <v>17030</v>
      </c>
      <c r="BD893" t="s">
        <v>74</v>
      </c>
      <c r="BE893" t="s">
        <v>74</v>
      </c>
      <c r="BF893" t="s">
        <v>74</v>
      </c>
      <c r="BG893" t="s">
        <v>17022</v>
      </c>
      <c r="BH893" t="s">
        <v>74</v>
      </c>
      <c r="BI893">
        <v>6</v>
      </c>
      <c r="BJ893" t="s">
        <v>17023</v>
      </c>
      <c r="BK893" t="s">
        <v>17024</v>
      </c>
      <c r="BL893" t="s">
        <v>17025</v>
      </c>
      <c r="BM893" t="s">
        <v>17026</v>
      </c>
      <c r="BN893" t="s">
        <v>74</v>
      </c>
      <c r="BO893" t="s">
        <v>403</v>
      </c>
      <c r="BP893" t="s">
        <v>74</v>
      </c>
      <c r="BQ893" t="s">
        <v>74</v>
      </c>
      <c r="BR893" t="s">
        <v>107</v>
      </c>
      <c r="BS893" t="s">
        <v>17031</v>
      </c>
      <c r="BT893" t="str">
        <f>HYPERLINK("https%3A%2F%2Fwww.webofscience.com%2Fwos%2Fwoscc%2Ffull-record%2FWOS:000505954100002","View Full Record in Web of Science")</f>
        <v>View Full Record in Web of Science</v>
      </c>
    </row>
    <row r="894" spans="1:72" x14ac:dyDescent="0.15">
      <c r="A894" t="s">
        <v>72</v>
      </c>
      <c r="B894" t="s">
        <v>17032</v>
      </c>
      <c r="C894" t="s">
        <v>74</v>
      </c>
      <c r="D894" t="s">
        <v>74</v>
      </c>
      <c r="E894" t="s">
        <v>74</v>
      </c>
      <c r="F894" t="s">
        <v>17033</v>
      </c>
      <c r="G894" t="s">
        <v>74</v>
      </c>
      <c r="H894" t="s">
        <v>74</v>
      </c>
      <c r="I894" t="s">
        <v>17034</v>
      </c>
      <c r="J894" t="s">
        <v>468</v>
      </c>
      <c r="K894" t="s">
        <v>74</v>
      </c>
      <c r="L894" t="s">
        <v>74</v>
      </c>
      <c r="M894" t="s">
        <v>78</v>
      </c>
      <c r="N894" t="s">
        <v>168</v>
      </c>
      <c r="O894" t="s">
        <v>74</v>
      </c>
      <c r="P894" t="s">
        <v>74</v>
      </c>
      <c r="Q894" t="s">
        <v>74</v>
      </c>
      <c r="R894" t="s">
        <v>74</v>
      </c>
      <c r="S894" t="s">
        <v>74</v>
      </c>
      <c r="T894" t="s">
        <v>74</v>
      </c>
      <c r="U894" t="s">
        <v>17035</v>
      </c>
      <c r="V894" t="s">
        <v>17036</v>
      </c>
      <c r="W894" t="s">
        <v>17037</v>
      </c>
      <c r="X894" t="s">
        <v>17038</v>
      </c>
      <c r="Y894" t="s">
        <v>17039</v>
      </c>
      <c r="Z894" t="s">
        <v>17040</v>
      </c>
      <c r="AA894" t="s">
        <v>17041</v>
      </c>
      <c r="AB894" t="s">
        <v>17042</v>
      </c>
      <c r="AC894" t="s">
        <v>17043</v>
      </c>
      <c r="AD894" t="s">
        <v>17044</v>
      </c>
      <c r="AE894" t="s">
        <v>17045</v>
      </c>
      <c r="AF894" t="s">
        <v>74</v>
      </c>
      <c r="AG894">
        <v>14</v>
      </c>
      <c r="AH894">
        <v>7</v>
      </c>
      <c r="AI894">
        <v>7</v>
      </c>
      <c r="AJ894">
        <v>1</v>
      </c>
      <c r="AK894">
        <v>16</v>
      </c>
      <c r="AL894" t="s">
        <v>481</v>
      </c>
      <c r="AM894" t="s">
        <v>329</v>
      </c>
      <c r="AN894" t="s">
        <v>482</v>
      </c>
      <c r="AO894" t="s">
        <v>483</v>
      </c>
      <c r="AP894" t="s">
        <v>484</v>
      </c>
      <c r="AQ894" t="s">
        <v>74</v>
      </c>
      <c r="AR894" t="s">
        <v>485</v>
      </c>
      <c r="AS894" t="s">
        <v>486</v>
      </c>
      <c r="AT894" t="s">
        <v>16954</v>
      </c>
      <c r="AU894">
        <v>2019</v>
      </c>
      <c r="AV894">
        <v>34</v>
      </c>
      <c r="AW894">
        <v>1</v>
      </c>
      <c r="AX894" t="s">
        <v>74</v>
      </c>
      <c r="AY894" t="s">
        <v>74</v>
      </c>
      <c r="AZ894" t="s">
        <v>74</v>
      </c>
      <c r="BA894" t="s">
        <v>74</v>
      </c>
      <c r="BB894">
        <v>2</v>
      </c>
      <c r="BC894">
        <v>5</v>
      </c>
      <c r="BD894" t="s">
        <v>74</v>
      </c>
      <c r="BE894" t="s">
        <v>17046</v>
      </c>
      <c r="BF894" t="str">
        <f>HYPERLINK("http://dx.doi.org/10.1016/j.tree.2018.10.007","http://dx.doi.org/10.1016/j.tree.2018.10.007")</f>
        <v>http://dx.doi.org/10.1016/j.tree.2018.10.007</v>
      </c>
      <c r="BG894" t="s">
        <v>74</v>
      </c>
      <c r="BH894" t="s">
        <v>74</v>
      </c>
      <c r="BI894">
        <v>4</v>
      </c>
      <c r="BJ894" t="s">
        <v>488</v>
      </c>
      <c r="BK894" t="s">
        <v>102</v>
      </c>
      <c r="BL894" t="s">
        <v>489</v>
      </c>
      <c r="BM894" t="s">
        <v>17047</v>
      </c>
      <c r="BN894">
        <v>30446409</v>
      </c>
      <c r="BO894" t="s">
        <v>403</v>
      </c>
      <c r="BP894" t="s">
        <v>74</v>
      </c>
      <c r="BQ894" t="s">
        <v>74</v>
      </c>
      <c r="BR894" t="s">
        <v>107</v>
      </c>
      <c r="BS894" t="s">
        <v>17048</v>
      </c>
      <c r="BT894" t="str">
        <f>HYPERLINK("https%3A%2F%2Fwww.webofscience.com%2Fwos%2Fwoscc%2Ffull-record%2FWOS:000454871000008","View Full Record in Web of Science")</f>
        <v>View Full Record in Web of Science</v>
      </c>
    </row>
    <row r="895" spans="1:72" x14ac:dyDescent="0.15">
      <c r="A895" t="s">
        <v>72</v>
      </c>
      <c r="B895" t="s">
        <v>17049</v>
      </c>
      <c r="C895" t="s">
        <v>74</v>
      </c>
      <c r="D895" t="s">
        <v>74</v>
      </c>
      <c r="E895" t="s">
        <v>74</v>
      </c>
      <c r="F895" t="s">
        <v>17050</v>
      </c>
      <c r="G895" t="s">
        <v>74</v>
      </c>
      <c r="H895" t="s">
        <v>74</v>
      </c>
      <c r="I895" t="s">
        <v>17051</v>
      </c>
      <c r="J895" t="s">
        <v>17052</v>
      </c>
      <c r="K895" t="s">
        <v>74</v>
      </c>
      <c r="L895" t="s">
        <v>74</v>
      </c>
      <c r="M895" t="s">
        <v>78</v>
      </c>
      <c r="N895" t="s">
        <v>168</v>
      </c>
      <c r="O895" t="s">
        <v>74</v>
      </c>
      <c r="P895" t="s">
        <v>74</v>
      </c>
      <c r="Q895" t="s">
        <v>74</v>
      </c>
      <c r="R895" t="s">
        <v>74</v>
      </c>
      <c r="S895" t="s">
        <v>74</v>
      </c>
      <c r="T895" t="s">
        <v>74</v>
      </c>
      <c r="U895" t="s">
        <v>74</v>
      </c>
      <c r="V895" t="s">
        <v>74</v>
      </c>
      <c r="W895" t="s">
        <v>17053</v>
      </c>
      <c r="X895" t="s">
        <v>74</v>
      </c>
      <c r="Y895" t="s">
        <v>17054</v>
      </c>
      <c r="Z895" t="s">
        <v>17055</v>
      </c>
      <c r="AA895" t="s">
        <v>17056</v>
      </c>
      <c r="AB895" t="s">
        <v>17057</v>
      </c>
      <c r="AC895" t="s">
        <v>74</v>
      </c>
      <c r="AD895" t="s">
        <v>74</v>
      </c>
      <c r="AE895" t="s">
        <v>74</v>
      </c>
      <c r="AF895" t="s">
        <v>74</v>
      </c>
      <c r="AG895">
        <v>5</v>
      </c>
      <c r="AH895">
        <v>1</v>
      </c>
      <c r="AI895">
        <v>1</v>
      </c>
      <c r="AJ895">
        <v>0</v>
      </c>
      <c r="AK895">
        <v>10</v>
      </c>
      <c r="AL895" t="s">
        <v>153</v>
      </c>
      <c r="AM895" t="s">
        <v>154</v>
      </c>
      <c r="AN895" t="s">
        <v>155</v>
      </c>
      <c r="AO895" t="s">
        <v>17058</v>
      </c>
      <c r="AP895" t="s">
        <v>17059</v>
      </c>
      <c r="AQ895" t="s">
        <v>74</v>
      </c>
      <c r="AR895" t="s">
        <v>17052</v>
      </c>
      <c r="AS895" t="s">
        <v>17060</v>
      </c>
      <c r="AT895" t="s">
        <v>16954</v>
      </c>
      <c r="AU895">
        <v>2019</v>
      </c>
      <c r="AV895">
        <v>74</v>
      </c>
      <c r="AW895">
        <v>1</v>
      </c>
      <c r="AX895" t="s">
        <v>74</v>
      </c>
      <c r="AY895" t="s">
        <v>74</v>
      </c>
      <c r="AZ895" t="s">
        <v>74</v>
      </c>
      <c r="BA895" t="s">
        <v>74</v>
      </c>
      <c r="BB895">
        <v>30</v>
      </c>
      <c r="BC895">
        <v>30</v>
      </c>
      <c r="BD895" t="s">
        <v>74</v>
      </c>
      <c r="BE895" t="s">
        <v>17061</v>
      </c>
      <c r="BF895" t="str">
        <f>HYPERLINK("http://dx.doi.org/10.1002/wea.3381","http://dx.doi.org/10.1002/wea.3381")</f>
        <v>http://dx.doi.org/10.1002/wea.3381</v>
      </c>
      <c r="BG895" t="s">
        <v>74</v>
      </c>
      <c r="BH895" t="s">
        <v>74</v>
      </c>
      <c r="BI895">
        <v>1</v>
      </c>
      <c r="BJ895" t="s">
        <v>133</v>
      </c>
      <c r="BK895" t="s">
        <v>102</v>
      </c>
      <c r="BL895" t="s">
        <v>133</v>
      </c>
      <c r="BM895" t="s">
        <v>17062</v>
      </c>
      <c r="BN895" t="s">
        <v>74</v>
      </c>
      <c r="BO895" t="s">
        <v>279</v>
      </c>
      <c r="BP895" t="s">
        <v>74</v>
      </c>
      <c r="BQ895" t="s">
        <v>74</v>
      </c>
      <c r="BR895" t="s">
        <v>107</v>
      </c>
      <c r="BS895" t="s">
        <v>17063</v>
      </c>
      <c r="BT895" t="str">
        <f>HYPERLINK("https%3A%2F%2Fwww.webofscience.com%2Fwos%2Fwoscc%2Ffull-record%2FWOS:000454605800011","View Full Record in Web of Science")</f>
        <v>View Full Record in Web of Science</v>
      </c>
    </row>
    <row r="896" spans="1:72" x14ac:dyDescent="0.15">
      <c r="A896" t="s">
        <v>16882</v>
      </c>
      <c r="B896" t="s">
        <v>17012</v>
      </c>
      <c r="C896" t="s">
        <v>17012</v>
      </c>
      <c r="D896" t="s">
        <v>74</v>
      </c>
      <c r="E896" t="s">
        <v>74</v>
      </c>
      <c r="F896" t="s">
        <v>17013</v>
      </c>
      <c r="G896" t="s">
        <v>17012</v>
      </c>
      <c r="H896" t="s">
        <v>74</v>
      </c>
      <c r="I896" t="s">
        <v>17064</v>
      </c>
      <c r="J896" t="s">
        <v>17015</v>
      </c>
      <c r="K896" t="s">
        <v>74</v>
      </c>
      <c r="L896" t="s">
        <v>74</v>
      </c>
      <c r="M896" t="s">
        <v>78</v>
      </c>
      <c r="N896" t="s">
        <v>17065</v>
      </c>
      <c r="O896" t="s">
        <v>74</v>
      </c>
      <c r="P896" t="s">
        <v>74</v>
      </c>
      <c r="Q896" t="s">
        <v>74</v>
      </c>
      <c r="R896" t="s">
        <v>74</v>
      </c>
      <c r="S896" t="s">
        <v>74</v>
      </c>
      <c r="T896" t="s">
        <v>74</v>
      </c>
      <c r="U896" t="s">
        <v>74</v>
      </c>
      <c r="V896" t="s">
        <v>74</v>
      </c>
      <c r="W896" t="s">
        <v>74</v>
      </c>
      <c r="X896" t="s">
        <v>74</v>
      </c>
      <c r="Y896" t="s">
        <v>74</v>
      </c>
      <c r="Z896" t="s">
        <v>74</v>
      </c>
      <c r="AA896" t="s">
        <v>74</v>
      </c>
      <c r="AB896" t="s">
        <v>74</v>
      </c>
      <c r="AC896" t="s">
        <v>74</v>
      </c>
      <c r="AD896" t="s">
        <v>74</v>
      </c>
      <c r="AE896" t="s">
        <v>74</v>
      </c>
      <c r="AF896" t="s">
        <v>74</v>
      </c>
      <c r="AG896">
        <v>0</v>
      </c>
      <c r="AH896">
        <v>0</v>
      </c>
      <c r="AI896">
        <v>0</v>
      </c>
      <c r="AJ896">
        <v>0</v>
      </c>
      <c r="AK896">
        <v>0</v>
      </c>
      <c r="AL896" t="s">
        <v>17017</v>
      </c>
      <c r="AM896" t="s">
        <v>17018</v>
      </c>
      <c r="AN896" t="s">
        <v>17019</v>
      </c>
      <c r="AO896" t="s">
        <v>74</v>
      </c>
      <c r="AP896" t="s">
        <v>74</v>
      </c>
      <c r="AQ896" t="s">
        <v>17020</v>
      </c>
      <c r="AR896" t="s">
        <v>74</v>
      </c>
      <c r="AS896" t="s">
        <v>74</v>
      </c>
      <c r="AT896" t="s">
        <v>74</v>
      </c>
      <c r="AU896">
        <v>2019</v>
      </c>
      <c r="AV896" t="s">
        <v>74</v>
      </c>
      <c r="AW896" t="s">
        <v>74</v>
      </c>
      <c r="AX896" t="s">
        <v>74</v>
      </c>
      <c r="AY896" t="s">
        <v>74</v>
      </c>
      <c r="AZ896" t="s">
        <v>74</v>
      </c>
      <c r="BA896" t="s">
        <v>74</v>
      </c>
      <c r="BB896">
        <v>1</v>
      </c>
      <c r="BC896">
        <v>26</v>
      </c>
      <c r="BD896" t="s">
        <v>74</v>
      </c>
      <c r="BE896" t="s">
        <v>74</v>
      </c>
      <c r="BF896" t="s">
        <v>74</v>
      </c>
      <c r="BG896" t="s">
        <v>17022</v>
      </c>
      <c r="BH896" t="s">
        <v>74</v>
      </c>
      <c r="BI896">
        <v>26</v>
      </c>
      <c r="BJ896" t="s">
        <v>17023</v>
      </c>
      <c r="BK896" t="s">
        <v>17024</v>
      </c>
      <c r="BL896" t="s">
        <v>17025</v>
      </c>
      <c r="BM896" t="s">
        <v>17026</v>
      </c>
      <c r="BN896" t="s">
        <v>74</v>
      </c>
      <c r="BO896" t="s">
        <v>403</v>
      </c>
      <c r="BP896" t="s">
        <v>74</v>
      </c>
      <c r="BQ896" t="s">
        <v>74</v>
      </c>
      <c r="BR896" t="s">
        <v>107</v>
      </c>
      <c r="BS896" t="s">
        <v>17066</v>
      </c>
      <c r="BT896" t="str">
        <f>HYPERLINK("https%3A%2F%2Fwww.webofscience.com%2Fwos%2Fwoscc%2Ffull-record%2FWOS:000505954100003","View Full Record in Web of Science")</f>
        <v>View Full Record in Web of Science</v>
      </c>
    </row>
    <row r="897" spans="1:72" x14ac:dyDescent="0.15">
      <c r="A897" t="s">
        <v>16882</v>
      </c>
      <c r="B897" t="s">
        <v>17067</v>
      </c>
      <c r="C897" t="s">
        <v>74</v>
      </c>
      <c r="D897" t="s">
        <v>17068</v>
      </c>
      <c r="E897" t="s">
        <v>74</v>
      </c>
      <c r="F897" t="s">
        <v>17069</v>
      </c>
      <c r="G897" t="s">
        <v>74</v>
      </c>
      <c r="H897" t="s">
        <v>74</v>
      </c>
      <c r="I897" t="s">
        <v>17070</v>
      </c>
      <c r="J897" t="s">
        <v>17071</v>
      </c>
      <c r="K897" t="s">
        <v>74</v>
      </c>
      <c r="L897" t="s">
        <v>74</v>
      </c>
      <c r="M897" t="s">
        <v>78</v>
      </c>
      <c r="N897" t="s">
        <v>17065</v>
      </c>
      <c r="O897" t="s">
        <v>74</v>
      </c>
      <c r="P897" t="s">
        <v>74</v>
      </c>
      <c r="Q897" t="s">
        <v>74</v>
      </c>
      <c r="R897" t="s">
        <v>74</v>
      </c>
      <c r="S897" t="s">
        <v>74</v>
      </c>
      <c r="T897" t="s">
        <v>74</v>
      </c>
      <c r="U897" t="s">
        <v>17072</v>
      </c>
      <c r="V897" t="s">
        <v>74</v>
      </c>
      <c r="W897" t="s">
        <v>17073</v>
      </c>
      <c r="X897" t="s">
        <v>17074</v>
      </c>
      <c r="Y897" t="s">
        <v>17075</v>
      </c>
      <c r="Z897" t="s">
        <v>74</v>
      </c>
      <c r="AA897" t="s">
        <v>17076</v>
      </c>
      <c r="AB897" t="s">
        <v>17077</v>
      </c>
      <c r="AC897" t="s">
        <v>74</v>
      </c>
      <c r="AD897" t="s">
        <v>74</v>
      </c>
      <c r="AE897" t="s">
        <v>74</v>
      </c>
      <c r="AF897" t="s">
        <v>74</v>
      </c>
      <c r="AG897">
        <v>1391</v>
      </c>
      <c r="AH897">
        <v>11</v>
      </c>
      <c r="AI897">
        <v>11</v>
      </c>
      <c r="AJ897">
        <v>1</v>
      </c>
      <c r="AK897">
        <v>13</v>
      </c>
      <c r="AL897" t="s">
        <v>2960</v>
      </c>
      <c r="AM897" t="s">
        <v>1004</v>
      </c>
      <c r="AN897" t="s">
        <v>17078</v>
      </c>
      <c r="AO897" t="s">
        <v>74</v>
      </c>
      <c r="AP897" t="s">
        <v>74</v>
      </c>
      <c r="AQ897" t="s">
        <v>17079</v>
      </c>
      <c r="AR897" t="s">
        <v>74</v>
      </c>
      <c r="AS897" t="s">
        <v>74</v>
      </c>
      <c r="AT897" t="s">
        <v>74</v>
      </c>
      <c r="AU897">
        <v>2019</v>
      </c>
      <c r="AV897" t="s">
        <v>74</v>
      </c>
      <c r="AW897" t="s">
        <v>74</v>
      </c>
      <c r="AX897" t="s">
        <v>74</v>
      </c>
      <c r="AY897" t="s">
        <v>74</v>
      </c>
      <c r="AZ897" t="s">
        <v>74</v>
      </c>
      <c r="BA897" t="s">
        <v>74</v>
      </c>
      <c r="BB897">
        <v>1</v>
      </c>
      <c r="BC897" t="s">
        <v>1394</v>
      </c>
      <c r="BD897" t="s">
        <v>74</v>
      </c>
      <c r="BE897" t="s">
        <v>74</v>
      </c>
      <c r="BF897" t="s">
        <v>74</v>
      </c>
      <c r="BG897" t="s">
        <v>17080</v>
      </c>
      <c r="BH897" t="s">
        <v>74</v>
      </c>
      <c r="BI897">
        <v>109</v>
      </c>
      <c r="BJ897" t="s">
        <v>17081</v>
      </c>
      <c r="BK897" t="s">
        <v>16914</v>
      </c>
      <c r="BL897" t="s">
        <v>221</v>
      </c>
      <c r="BM897" t="s">
        <v>17082</v>
      </c>
      <c r="BN897" t="s">
        <v>74</v>
      </c>
      <c r="BO897" t="s">
        <v>74</v>
      </c>
      <c r="BP897" t="s">
        <v>74</v>
      </c>
      <c r="BQ897" t="s">
        <v>74</v>
      </c>
      <c r="BR897" t="s">
        <v>107</v>
      </c>
      <c r="BS897" t="s">
        <v>17083</v>
      </c>
      <c r="BT897" t="str">
        <f>HYPERLINK("https%3A%2F%2Fwww.webofscience.com%2Fwos%2Fwoscc%2Ffull-record%2FWOS:000589171200001","View Full Record in Web of Science")</f>
        <v>View Full Record in Web of Science</v>
      </c>
    </row>
    <row r="898" spans="1:72" x14ac:dyDescent="0.15">
      <c r="A898" t="s">
        <v>17084</v>
      </c>
      <c r="B898" t="s">
        <v>17085</v>
      </c>
      <c r="C898" t="s">
        <v>74</v>
      </c>
      <c r="D898" t="s">
        <v>74</v>
      </c>
      <c r="E898" t="s">
        <v>17086</v>
      </c>
      <c r="F898" t="s">
        <v>17087</v>
      </c>
      <c r="G898" t="s">
        <v>74</v>
      </c>
      <c r="H898" t="s">
        <v>74</v>
      </c>
      <c r="I898" t="s">
        <v>17088</v>
      </c>
      <c r="J898" t="s">
        <v>17089</v>
      </c>
      <c r="K898" t="s">
        <v>74</v>
      </c>
      <c r="L898" t="s">
        <v>74</v>
      </c>
      <c r="M898" t="s">
        <v>78</v>
      </c>
      <c r="N898" t="s">
        <v>17090</v>
      </c>
      <c r="O898" t="s">
        <v>17091</v>
      </c>
      <c r="P898" t="s">
        <v>17092</v>
      </c>
      <c r="Q898" t="s">
        <v>17093</v>
      </c>
      <c r="R898" t="s">
        <v>74</v>
      </c>
      <c r="S898" t="s">
        <v>74</v>
      </c>
      <c r="T898" t="s">
        <v>17094</v>
      </c>
      <c r="U898" t="s">
        <v>17095</v>
      </c>
      <c r="V898" t="s">
        <v>17096</v>
      </c>
      <c r="W898" t="s">
        <v>17097</v>
      </c>
      <c r="X898" t="s">
        <v>17098</v>
      </c>
      <c r="Y898" t="s">
        <v>17099</v>
      </c>
      <c r="Z898" t="s">
        <v>17100</v>
      </c>
      <c r="AA898" t="s">
        <v>17101</v>
      </c>
      <c r="AB898" t="s">
        <v>74</v>
      </c>
      <c r="AC898" t="s">
        <v>17102</v>
      </c>
      <c r="AD898" t="s">
        <v>17103</v>
      </c>
      <c r="AE898" t="s">
        <v>17104</v>
      </c>
      <c r="AF898" t="s">
        <v>74</v>
      </c>
      <c r="AG898">
        <v>21</v>
      </c>
      <c r="AH898">
        <v>0</v>
      </c>
      <c r="AI898">
        <v>0</v>
      </c>
      <c r="AJ898">
        <v>0</v>
      </c>
      <c r="AK898">
        <v>0</v>
      </c>
      <c r="AL898" t="s">
        <v>17086</v>
      </c>
      <c r="AM898" t="s">
        <v>607</v>
      </c>
      <c r="AN898" t="s">
        <v>17105</v>
      </c>
      <c r="AO898" t="s">
        <v>74</v>
      </c>
      <c r="AP898" t="s">
        <v>74</v>
      </c>
      <c r="AQ898" t="s">
        <v>17106</v>
      </c>
      <c r="AR898" t="s">
        <v>74</v>
      </c>
      <c r="AS898" t="s">
        <v>74</v>
      </c>
      <c r="AT898" t="s">
        <v>74</v>
      </c>
      <c r="AU898">
        <v>2019</v>
      </c>
      <c r="AV898" t="s">
        <v>74</v>
      </c>
      <c r="AW898" t="s">
        <v>74</v>
      </c>
      <c r="AX898" t="s">
        <v>74</v>
      </c>
      <c r="AY898" t="s">
        <v>74</v>
      </c>
      <c r="AZ898" t="s">
        <v>74</v>
      </c>
      <c r="BA898" t="s">
        <v>74</v>
      </c>
      <c r="BB898" t="s">
        <v>74</v>
      </c>
      <c r="BC898" t="s">
        <v>74</v>
      </c>
      <c r="BD898" t="s">
        <v>74</v>
      </c>
      <c r="BE898" t="s">
        <v>17107</v>
      </c>
      <c r="BF898" t="str">
        <f>HYPERLINK("http://dx.doi.org/10.1109/multi-temp.2019.8866984","http://dx.doi.org/10.1109/multi-temp.2019.8866984")</f>
        <v>http://dx.doi.org/10.1109/multi-temp.2019.8866984</v>
      </c>
      <c r="BG898" t="s">
        <v>74</v>
      </c>
      <c r="BH898" t="s">
        <v>74</v>
      </c>
      <c r="BI898">
        <v>4</v>
      </c>
      <c r="BJ898" t="s">
        <v>5089</v>
      </c>
      <c r="BK898" t="s">
        <v>17108</v>
      </c>
      <c r="BL898" t="s">
        <v>5089</v>
      </c>
      <c r="BM898" t="s">
        <v>17109</v>
      </c>
      <c r="BN898" t="s">
        <v>74</v>
      </c>
      <c r="BO898" t="s">
        <v>74</v>
      </c>
      <c r="BP898" t="s">
        <v>74</v>
      </c>
      <c r="BQ898" t="s">
        <v>74</v>
      </c>
      <c r="BR898" t="s">
        <v>107</v>
      </c>
      <c r="BS898" t="s">
        <v>17110</v>
      </c>
      <c r="BT898" t="str">
        <f>HYPERLINK("https%3A%2F%2Fwww.webofscience.com%2Fwos%2Fwoscc%2Ffull-record%2FWOS:000587591800066","View Full Record in Web of Science")</f>
        <v>View Full Record in Web of Science</v>
      </c>
    </row>
    <row r="899" spans="1:72" x14ac:dyDescent="0.15">
      <c r="A899" t="s">
        <v>17084</v>
      </c>
      <c r="B899" t="s">
        <v>17111</v>
      </c>
      <c r="C899" t="s">
        <v>74</v>
      </c>
      <c r="D899" t="s">
        <v>74</v>
      </c>
      <c r="E899" t="s">
        <v>17086</v>
      </c>
      <c r="F899" t="s">
        <v>17112</v>
      </c>
      <c r="G899" t="s">
        <v>74</v>
      </c>
      <c r="H899" t="s">
        <v>74</v>
      </c>
      <c r="I899" t="s">
        <v>17113</v>
      </c>
      <c r="J899" t="s">
        <v>17089</v>
      </c>
      <c r="K899" t="s">
        <v>74</v>
      </c>
      <c r="L899" t="s">
        <v>74</v>
      </c>
      <c r="M899" t="s">
        <v>78</v>
      </c>
      <c r="N899" t="s">
        <v>17090</v>
      </c>
      <c r="O899" t="s">
        <v>17091</v>
      </c>
      <c r="P899" t="s">
        <v>17092</v>
      </c>
      <c r="Q899" t="s">
        <v>17093</v>
      </c>
      <c r="R899" t="s">
        <v>74</v>
      </c>
      <c r="S899" t="s">
        <v>74</v>
      </c>
      <c r="T899" t="s">
        <v>17114</v>
      </c>
      <c r="U899" t="s">
        <v>17115</v>
      </c>
      <c r="V899" t="s">
        <v>17116</v>
      </c>
      <c r="W899" t="s">
        <v>17117</v>
      </c>
      <c r="X899" t="s">
        <v>17118</v>
      </c>
      <c r="Y899" t="s">
        <v>17119</v>
      </c>
      <c r="Z899" t="s">
        <v>17120</v>
      </c>
      <c r="AA899" t="s">
        <v>17121</v>
      </c>
      <c r="AB899" t="s">
        <v>17122</v>
      </c>
      <c r="AC899" t="s">
        <v>17123</v>
      </c>
      <c r="AD899" t="s">
        <v>17124</v>
      </c>
      <c r="AE899" t="s">
        <v>17125</v>
      </c>
      <c r="AF899" t="s">
        <v>74</v>
      </c>
      <c r="AG899">
        <v>17</v>
      </c>
      <c r="AH899">
        <v>0</v>
      </c>
      <c r="AI899">
        <v>0</v>
      </c>
      <c r="AJ899">
        <v>0</v>
      </c>
      <c r="AK899">
        <v>1</v>
      </c>
      <c r="AL899" t="s">
        <v>17086</v>
      </c>
      <c r="AM899" t="s">
        <v>607</v>
      </c>
      <c r="AN899" t="s">
        <v>17105</v>
      </c>
      <c r="AO899" t="s">
        <v>74</v>
      </c>
      <c r="AP899" t="s">
        <v>74</v>
      </c>
      <c r="AQ899" t="s">
        <v>17106</v>
      </c>
      <c r="AR899" t="s">
        <v>74</v>
      </c>
      <c r="AS899" t="s">
        <v>74</v>
      </c>
      <c r="AT899" t="s">
        <v>74</v>
      </c>
      <c r="AU899">
        <v>2019</v>
      </c>
      <c r="AV899" t="s">
        <v>74</v>
      </c>
      <c r="AW899" t="s">
        <v>74</v>
      </c>
      <c r="AX899" t="s">
        <v>74</v>
      </c>
      <c r="AY899" t="s">
        <v>74</v>
      </c>
      <c r="AZ899" t="s">
        <v>74</v>
      </c>
      <c r="BA899" t="s">
        <v>74</v>
      </c>
      <c r="BB899" t="s">
        <v>74</v>
      </c>
      <c r="BC899" t="s">
        <v>74</v>
      </c>
      <c r="BD899" t="s">
        <v>74</v>
      </c>
      <c r="BE899" t="s">
        <v>17126</v>
      </c>
      <c r="BF899" t="str">
        <f>HYPERLINK("http://dx.doi.org/10.1109/multi-temp.2019.8866931","http://dx.doi.org/10.1109/multi-temp.2019.8866931")</f>
        <v>http://dx.doi.org/10.1109/multi-temp.2019.8866931</v>
      </c>
      <c r="BG899" t="s">
        <v>74</v>
      </c>
      <c r="BH899" t="s">
        <v>74</v>
      </c>
      <c r="BI899">
        <v>4</v>
      </c>
      <c r="BJ899" t="s">
        <v>5089</v>
      </c>
      <c r="BK899" t="s">
        <v>17108</v>
      </c>
      <c r="BL899" t="s">
        <v>5089</v>
      </c>
      <c r="BM899" t="s">
        <v>17109</v>
      </c>
      <c r="BN899" t="s">
        <v>74</v>
      </c>
      <c r="BO899" t="s">
        <v>74</v>
      </c>
      <c r="BP899" t="s">
        <v>74</v>
      </c>
      <c r="BQ899" t="s">
        <v>74</v>
      </c>
      <c r="BR899" t="s">
        <v>107</v>
      </c>
      <c r="BS899" t="s">
        <v>17127</v>
      </c>
      <c r="BT899" t="str">
        <f>HYPERLINK("https%3A%2F%2Fwww.webofscience.com%2Fwos%2Fwoscc%2Ffull-record%2FWOS:000587591800033","View Full Record in Web of Science")</f>
        <v>View Full Record in Web of Science</v>
      </c>
    </row>
    <row r="900" spans="1:72" x14ac:dyDescent="0.15">
      <c r="A900" t="s">
        <v>16882</v>
      </c>
      <c r="B900" t="s">
        <v>17128</v>
      </c>
      <c r="C900" t="s">
        <v>74</v>
      </c>
      <c r="D900" t="s">
        <v>17129</v>
      </c>
      <c r="E900" t="s">
        <v>74</v>
      </c>
      <c r="F900" t="s">
        <v>17130</v>
      </c>
      <c r="G900" t="s">
        <v>74</v>
      </c>
      <c r="H900" t="s">
        <v>74</v>
      </c>
      <c r="I900" t="s">
        <v>17131</v>
      </c>
      <c r="J900" t="s">
        <v>17132</v>
      </c>
      <c r="K900" t="s">
        <v>74</v>
      </c>
      <c r="L900" t="s">
        <v>74</v>
      </c>
      <c r="M900" t="s">
        <v>78</v>
      </c>
      <c r="N900" t="s">
        <v>17065</v>
      </c>
      <c r="O900" t="s">
        <v>74</v>
      </c>
      <c r="P900" t="s">
        <v>74</v>
      </c>
      <c r="Q900" t="s">
        <v>74</v>
      </c>
      <c r="R900" t="s">
        <v>74</v>
      </c>
      <c r="S900" t="s">
        <v>74</v>
      </c>
      <c r="T900" t="s">
        <v>74</v>
      </c>
      <c r="U900" t="s">
        <v>74</v>
      </c>
      <c r="V900" t="s">
        <v>74</v>
      </c>
      <c r="W900" t="s">
        <v>17133</v>
      </c>
      <c r="X900" t="s">
        <v>2352</v>
      </c>
      <c r="Y900" t="s">
        <v>17134</v>
      </c>
      <c r="Z900" t="s">
        <v>74</v>
      </c>
      <c r="AA900" t="s">
        <v>17135</v>
      </c>
      <c r="AB900" t="s">
        <v>14912</v>
      </c>
      <c r="AC900" t="s">
        <v>74</v>
      </c>
      <c r="AD900" t="s">
        <v>74</v>
      </c>
      <c r="AE900" t="s">
        <v>74</v>
      </c>
      <c r="AF900" t="s">
        <v>74</v>
      </c>
      <c r="AG900">
        <v>42</v>
      </c>
      <c r="AH900">
        <v>2</v>
      </c>
      <c r="AI900">
        <v>2</v>
      </c>
      <c r="AJ900">
        <v>0</v>
      </c>
      <c r="AK900">
        <v>4</v>
      </c>
      <c r="AL900" t="s">
        <v>2960</v>
      </c>
      <c r="AM900" t="s">
        <v>1004</v>
      </c>
      <c r="AN900" t="s">
        <v>17078</v>
      </c>
      <c r="AO900" t="s">
        <v>74</v>
      </c>
      <c r="AP900" t="s">
        <v>74</v>
      </c>
      <c r="AQ900" t="s">
        <v>17136</v>
      </c>
      <c r="AR900" t="s">
        <v>74</v>
      </c>
      <c r="AS900" t="s">
        <v>74</v>
      </c>
      <c r="AT900" t="s">
        <v>74</v>
      </c>
      <c r="AU900">
        <v>2019</v>
      </c>
      <c r="AV900" t="s">
        <v>74</v>
      </c>
      <c r="AW900" t="s">
        <v>74</v>
      </c>
      <c r="AX900" t="s">
        <v>74</v>
      </c>
      <c r="AY900" t="s">
        <v>74</v>
      </c>
      <c r="AZ900" t="s">
        <v>74</v>
      </c>
      <c r="BA900" t="s">
        <v>74</v>
      </c>
      <c r="BB900">
        <v>201</v>
      </c>
      <c r="BC900">
        <v>214</v>
      </c>
      <c r="BD900" t="s">
        <v>74</v>
      </c>
      <c r="BE900" t="s">
        <v>74</v>
      </c>
      <c r="BF900" t="s">
        <v>74</v>
      </c>
      <c r="BG900" t="s">
        <v>17137</v>
      </c>
      <c r="BH900" t="s">
        <v>74</v>
      </c>
      <c r="BI900">
        <v>14</v>
      </c>
      <c r="BJ900" t="s">
        <v>17138</v>
      </c>
      <c r="BK900" t="s">
        <v>17024</v>
      </c>
      <c r="BL900" t="s">
        <v>17139</v>
      </c>
      <c r="BM900" t="s">
        <v>17140</v>
      </c>
      <c r="BN900" t="s">
        <v>74</v>
      </c>
      <c r="BO900" t="s">
        <v>403</v>
      </c>
      <c r="BP900" t="s">
        <v>74</v>
      </c>
      <c r="BQ900" t="s">
        <v>74</v>
      </c>
      <c r="BR900" t="s">
        <v>107</v>
      </c>
      <c r="BS900" t="s">
        <v>17141</v>
      </c>
      <c r="BT900" t="str">
        <f>HYPERLINK("https%3A%2F%2Fwww.webofscience.com%2Fwos%2Fwoscc%2Ffull-record%2FWOS:000585262300013","View Full Record in Web of Science")</f>
        <v>View Full Record in Web of Science</v>
      </c>
    </row>
    <row r="901" spans="1:72" x14ac:dyDescent="0.15">
      <c r="A901" t="s">
        <v>17084</v>
      </c>
      <c r="B901" t="s">
        <v>17142</v>
      </c>
      <c r="C901" t="s">
        <v>74</v>
      </c>
      <c r="D901" t="s">
        <v>17143</v>
      </c>
      <c r="E901" t="s">
        <v>74</v>
      </c>
      <c r="F901" t="s">
        <v>17144</v>
      </c>
      <c r="G901" t="s">
        <v>74</v>
      </c>
      <c r="H901" t="s">
        <v>17145</v>
      </c>
      <c r="I901" t="s">
        <v>17146</v>
      </c>
      <c r="J901" t="s">
        <v>17147</v>
      </c>
      <c r="K901" t="s">
        <v>17148</v>
      </c>
      <c r="L901" t="s">
        <v>74</v>
      </c>
      <c r="M901" t="s">
        <v>78</v>
      </c>
      <c r="N901" t="s">
        <v>17090</v>
      </c>
      <c r="O901" t="s">
        <v>17149</v>
      </c>
      <c r="P901" t="s">
        <v>17150</v>
      </c>
      <c r="Q901" t="s">
        <v>17151</v>
      </c>
      <c r="R901" t="s">
        <v>74</v>
      </c>
      <c r="S901" t="s">
        <v>17152</v>
      </c>
      <c r="T901" t="s">
        <v>74</v>
      </c>
      <c r="U901" t="s">
        <v>74</v>
      </c>
      <c r="V901" t="s">
        <v>17153</v>
      </c>
      <c r="W901" t="s">
        <v>17154</v>
      </c>
      <c r="X901" t="s">
        <v>17155</v>
      </c>
      <c r="Y901" t="s">
        <v>17156</v>
      </c>
      <c r="Z901" t="s">
        <v>17157</v>
      </c>
      <c r="AA901" t="s">
        <v>74</v>
      </c>
      <c r="AB901" t="s">
        <v>74</v>
      </c>
      <c r="AC901" t="s">
        <v>74</v>
      </c>
      <c r="AD901" t="s">
        <v>74</v>
      </c>
      <c r="AE901" t="s">
        <v>74</v>
      </c>
      <c r="AF901" t="s">
        <v>74</v>
      </c>
      <c r="AG901">
        <v>8</v>
      </c>
      <c r="AH901">
        <v>0</v>
      </c>
      <c r="AI901">
        <v>0</v>
      </c>
      <c r="AJ901">
        <v>0</v>
      </c>
      <c r="AK901">
        <v>0</v>
      </c>
      <c r="AL901" t="s">
        <v>17158</v>
      </c>
      <c r="AM901" t="s">
        <v>17159</v>
      </c>
      <c r="AN901" t="s">
        <v>17160</v>
      </c>
      <c r="AO901" t="s">
        <v>17161</v>
      </c>
      <c r="AP901" t="s">
        <v>74</v>
      </c>
      <c r="AQ901" t="s">
        <v>17162</v>
      </c>
      <c r="AR901" t="s">
        <v>17163</v>
      </c>
      <c r="AS901" t="s">
        <v>74</v>
      </c>
      <c r="AT901" t="s">
        <v>74</v>
      </c>
      <c r="AU901">
        <v>2019</v>
      </c>
      <c r="AV901">
        <v>216</v>
      </c>
      <c r="AW901" t="s">
        <v>74</v>
      </c>
      <c r="AX901" t="s">
        <v>74</v>
      </c>
      <c r="AY901" t="s">
        <v>74</v>
      </c>
      <c r="AZ901" t="s">
        <v>74</v>
      </c>
      <c r="BA901" t="s">
        <v>74</v>
      </c>
      <c r="BB901" t="s">
        <v>74</v>
      </c>
      <c r="BC901" t="s">
        <v>74</v>
      </c>
      <c r="BD901">
        <v>2009</v>
      </c>
      <c r="BE901" t="s">
        <v>17164</v>
      </c>
      <c r="BF901" t="str">
        <f>HYPERLINK("http://dx.doi.org/10.1051/epjconf/201921602009","http://dx.doi.org/10.1051/epjconf/201921602009")</f>
        <v>http://dx.doi.org/10.1051/epjconf/201921602009</v>
      </c>
      <c r="BG901" t="s">
        <v>74</v>
      </c>
      <c r="BH901" t="s">
        <v>74</v>
      </c>
      <c r="BI901">
        <v>3</v>
      </c>
      <c r="BJ901" t="s">
        <v>17165</v>
      </c>
      <c r="BK901" t="s">
        <v>17108</v>
      </c>
      <c r="BL901" t="s">
        <v>6951</v>
      </c>
      <c r="BM901" t="s">
        <v>17166</v>
      </c>
      <c r="BN901" t="s">
        <v>74</v>
      </c>
      <c r="BO901" t="s">
        <v>463</v>
      </c>
      <c r="BP901" t="s">
        <v>74</v>
      </c>
      <c r="BQ901" t="s">
        <v>74</v>
      </c>
      <c r="BR901" t="s">
        <v>107</v>
      </c>
      <c r="BS901" t="s">
        <v>17167</v>
      </c>
      <c r="BT901" t="str">
        <f>HYPERLINK("https%3A%2F%2Fwww.webofscience.com%2Fwos%2Fwoscc%2Ffull-record%2FWOS:000570244200019","View Full Record in Web of Science")</f>
        <v>View Full Record in Web of Science</v>
      </c>
    </row>
    <row r="902" spans="1:72" x14ac:dyDescent="0.15">
      <c r="A902" t="s">
        <v>17084</v>
      </c>
      <c r="B902" t="s">
        <v>17168</v>
      </c>
      <c r="C902" t="s">
        <v>74</v>
      </c>
      <c r="D902" t="s">
        <v>17143</v>
      </c>
      <c r="E902" t="s">
        <v>74</v>
      </c>
      <c r="F902" t="s">
        <v>17169</v>
      </c>
      <c r="G902" t="s">
        <v>74</v>
      </c>
      <c r="H902" t="s">
        <v>17170</v>
      </c>
      <c r="I902" t="s">
        <v>17171</v>
      </c>
      <c r="J902" t="s">
        <v>17147</v>
      </c>
      <c r="K902" t="s">
        <v>17148</v>
      </c>
      <c r="L902" t="s">
        <v>74</v>
      </c>
      <c r="M902" t="s">
        <v>78</v>
      </c>
      <c r="N902" t="s">
        <v>17090</v>
      </c>
      <c r="O902" t="s">
        <v>17149</v>
      </c>
      <c r="P902" t="s">
        <v>17150</v>
      </c>
      <c r="Q902" t="s">
        <v>17151</v>
      </c>
      <c r="R902" t="s">
        <v>74</v>
      </c>
      <c r="S902" t="s">
        <v>17152</v>
      </c>
      <c r="T902" t="s">
        <v>74</v>
      </c>
      <c r="U902" t="s">
        <v>74</v>
      </c>
      <c r="V902" t="s">
        <v>17172</v>
      </c>
      <c r="W902" t="s">
        <v>17173</v>
      </c>
      <c r="X902" t="s">
        <v>4779</v>
      </c>
      <c r="Y902" t="s">
        <v>17174</v>
      </c>
      <c r="Z902" t="s">
        <v>17175</v>
      </c>
      <c r="AA902" t="s">
        <v>17176</v>
      </c>
      <c r="AB902" t="s">
        <v>17177</v>
      </c>
      <c r="AC902" t="s">
        <v>74</v>
      </c>
      <c r="AD902" t="s">
        <v>74</v>
      </c>
      <c r="AE902" t="s">
        <v>74</v>
      </c>
      <c r="AF902" t="s">
        <v>74</v>
      </c>
      <c r="AG902">
        <v>5</v>
      </c>
      <c r="AH902">
        <v>0</v>
      </c>
      <c r="AI902">
        <v>0</v>
      </c>
      <c r="AJ902">
        <v>0</v>
      </c>
      <c r="AK902">
        <v>0</v>
      </c>
      <c r="AL902" t="s">
        <v>17158</v>
      </c>
      <c r="AM902" t="s">
        <v>17159</v>
      </c>
      <c r="AN902" t="s">
        <v>17160</v>
      </c>
      <c r="AO902" t="s">
        <v>17161</v>
      </c>
      <c r="AP902" t="s">
        <v>74</v>
      </c>
      <c r="AQ902" t="s">
        <v>17162</v>
      </c>
      <c r="AR902" t="s">
        <v>17163</v>
      </c>
      <c r="AS902" t="s">
        <v>74</v>
      </c>
      <c r="AT902" t="s">
        <v>74</v>
      </c>
      <c r="AU902">
        <v>2019</v>
      </c>
      <c r="AV902">
        <v>216</v>
      </c>
      <c r="AW902" t="s">
        <v>74</v>
      </c>
      <c r="AX902" t="s">
        <v>74</v>
      </c>
      <c r="AY902" t="s">
        <v>74</v>
      </c>
      <c r="AZ902" t="s">
        <v>74</v>
      </c>
      <c r="BA902" t="s">
        <v>74</v>
      </c>
      <c r="BB902" t="s">
        <v>74</v>
      </c>
      <c r="BC902" t="s">
        <v>74</v>
      </c>
      <c r="BD902">
        <v>2008</v>
      </c>
      <c r="BE902" t="s">
        <v>17178</v>
      </c>
      <c r="BF902" t="str">
        <f>HYPERLINK("http://dx.doi.org/10.1051/epjconf/201921602008","http://dx.doi.org/10.1051/epjconf/201921602008")</f>
        <v>http://dx.doi.org/10.1051/epjconf/201921602008</v>
      </c>
      <c r="BG902" t="s">
        <v>74</v>
      </c>
      <c r="BH902" t="s">
        <v>74</v>
      </c>
      <c r="BI902">
        <v>3</v>
      </c>
      <c r="BJ902" t="s">
        <v>17165</v>
      </c>
      <c r="BK902" t="s">
        <v>17108</v>
      </c>
      <c r="BL902" t="s">
        <v>6951</v>
      </c>
      <c r="BM902" t="s">
        <v>17166</v>
      </c>
      <c r="BN902" t="s">
        <v>74</v>
      </c>
      <c r="BO902" t="s">
        <v>879</v>
      </c>
      <c r="BP902" t="s">
        <v>74</v>
      </c>
      <c r="BQ902" t="s">
        <v>74</v>
      </c>
      <c r="BR902" t="s">
        <v>107</v>
      </c>
      <c r="BS902" t="s">
        <v>17179</v>
      </c>
      <c r="BT902" t="str">
        <f>HYPERLINK("https%3A%2F%2Fwww.webofscience.com%2Fwos%2Fwoscc%2Ffull-record%2FWOS:000570244200018","View Full Record in Web of Science")</f>
        <v>View Full Record in Web of Science</v>
      </c>
    </row>
    <row r="903" spans="1:72" x14ac:dyDescent="0.15">
      <c r="A903" t="s">
        <v>17084</v>
      </c>
      <c r="B903" t="s">
        <v>17180</v>
      </c>
      <c r="C903" t="s">
        <v>74</v>
      </c>
      <c r="D903" t="s">
        <v>17143</v>
      </c>
      <c r="E903" t="s">
        <v>74</v>
      </c>
      <c r="F903" t="s">
        <v>17181</v>
      </c>
      <c r="G903" t="s">
        <v>74</v>
      </c>
      <c r="H903" t="s">
        <v>17182</v>
      </c>
      <c r="I903" t="s">
        <v>17183</v>
      </c>
      <c r="J903" t="s">
        <v>17147</v>
      </c>
      <c r="K903" t="s">
        <v>17148</v>
      </c>
      <c r="L903" t="s">
        <v>74</v>
      </c>
      <c r="M903" t="s">
        <v>78</v>
      </c>
      <c r="N903" t="s">
        <v>17090</v>
      </c>
      <c r="O903" t="s">
        <v>17149</v>
      </c>
      <c r="P903" t="s">
        <v>17150</v>
      </c>
      <c r="Q903" t="s">
        <v>17151</v>
      </c>
      <c r="R903" t="s">
        <v>74</v>
      </c>
      <c r="S903" t="s">
        <v>17152</v>
      </c>
      <c r="T903" t="s">
        <v>74</v>
      </c>
      <c r="U903" t="s">
        <v>74</v>
      </c>
      <c r="V903" t="s">
        <v>17184</v>
      </c>
      <c r="W903" t="s">
        <v>17185</v>
      </c>
      <c r="X903" t="s">
        <v>17186</v>
      </c>
      <c r="Y903" t="s">
        <v>17187</v>
      </c>
      <c r="Z903" t="s">
        <v>17188</v>
      </c>
      <c r="AA903" t="s">
        <v>74</v>
      </c>
      <c r="AB903" t="s">
        <v>74</v>
      </c>
      <c r="AC903" t="s">
        <v>74</v>
      </c>
      <c r="AD903" t="s">
        <v>74</v>
      </c>
      <c r="AE903" t="s">
        <v>74</v>
      </c>
      <c r="AF903" t="s">
        <v>74</v>
      </c>
      <c r="AG903">
        <v>11</v>
      </c>
      <c r="AH903">
        <v>0</v>
      </c>
      <c r="AI903">
        <v>0</v>
      </c>
      <c r="AJ903">
        <v>0</v>
      </c>
      <c r="AK903">
        <v>0</v>
      </c>
      <c r="AL903" t="s">
        <v>17158</v>
      </c>
      <c r="AM903" t="s">
        <v>17159</v>
      </c>
      <c r="AN903" t="s">
        <v>17160</v>
      </c>
      <c r="AO903" t="s">
        <v>17161</v>
      </c>
      <c r="AP903" t="s">
        <v>74</v>
      </c>
      <c r="AQ903" t="s">
        <v>17162</v>
      </c>
      <c r="AR903" t="s">
        <v>17163</v>
      </c>
      <c r="AS903" t="s">
        <v>74</v>
      </c>
      <c r="AT903" t="s">
        <v>74</v>
      </c>
      <c r="AU903">
        <v>2019</v>
      </c>
      <c r="AV903">
        <v>216</v>
      </c>
      <c r="AW903" t="s">
        <v>74</v>
      </c>
      <c r="AX903" t="s">
        <v>74</v>
      </c>
      <c r="AY903" t="s">
        <v>74</v>
      </c>
      <c r="AZ903" t="s">
        <v>74</v>
      </c>
      <c r="BA903" t="s">
        <v>74</v>
      </c>
      <c r="BB903" t="s">
        <v>74</v>
      </c>
      <c r="BC903" t="s">
        <v>74</v>
      </c>
      <c r="BD903">
        <v>1009</v>
      </c>
      <c r="BE903" t="s">
        <v>17189</v>
      </c>
      <c r="BF903" t="str">
        <f>HYPERLINK("http://dx.doi.org/10.1051/epjconf/201921601009","http://dx.doi.org/10.1051/epjconf/201921601009")</f>
        <v>http://dx.doi.org/10.1051/epjconf/201921601009</v>
      </c>
      <c r="BG903" t="s">
        <v>74</v>
      </c>
      <c r="BH903" t="s">
        <v>74</v>
      </c>
      <c r="BI903">
        <v>3</v>
      </c>
      <c r="BJ903" t="s">
        <v>17165</v>
      </c>
      <c r="BK903" t="s">
        <v>17108</v>
      </c>
      <c r="BL903" t="s">
        <v>6951</v>
      </c>
      <c r="BM903" t="s">
        <v>17166</v>
      </c>
      <c r="BN903" t="s">
        <v>74</v>
      </c>
      <c r="BO903" t="s">
        <v>851</v>
      </c>
      <c r="BP903" t="s">
        <v>74</v>
      </c>
      <c r="BQ903" t="s">
        <v>74</v>
      </c>
      <c r="BR903" t="s">
        <v>107</v>
      </c>
      <c r="BS903" t="s">
        <v>17190</v>
      </c>
      <c r="BT903" t="str">
        <f>HYPERLINK("https%3A%2F%2Fwww.webofscience.com%2Fwos%2Fwoscc%2Ffull-record%2FWOS:000570244200009","View Full Record in Web of Science")</f>
        <v>View Full Record in Web of Science</v>
      </c>
    </row>
    <row r="904" spans="1:72" x14ac:dyDescent="0.15">
      <c r="A904" t="s">
        <v>16882</v>
      </c>
      <c r="B904" t="s">
        <v>17191</v>
      </c>
      <c r="C904" t="s">
        <v>74</v>
      </c>
      <c r="D904" t="s">
        <v>17192</v>
      </c>
      <c r="E904" t="s">
        <v>74</v>
      </c>
      <c r="F904" t="s">
        <v>17193</v>
      </c>
      <c r="G904" t="s">
        <v>74</v>
      </c>
      <c r="H904" t="s">
        <v>74</v>
      </c>
      <c r="I904" t="s">
        <v>17194</v>
      </c>
      <c r="J904" t="s">
        <v>17195</v>
      </c>
      <c r="K904" t="s">
        <v>74</v>
      </c>
      <c r="L904" t="s">
        <v>74</v>
      </c>
      <c r="M904" t="s">
        <v>78</v>
      </c>
      <c r="N904" t="s">
        <v>17065</v>
      </c>
      <c r="O904" t="s">
        <v>74</v>
      </c>
      <c r="P904" t="s">
        <v>74</v>
      </c>
      <c r="Q904" t="s">
        <v>74</v>
      </c>
      <c r="R904" t="s">
        <v>74</v>
      </c>
      <c r="S904" t="s">
        <v>74</v>
      </c>
      <c r="T904" t="s">
        <v>74</v>
      </c>
      <c r="U904" t="s">
        <v>17196</v>
      </c>
      <c r="V904" t="s">
        <v>17197</v>
      </c>
      <c r="W904" t="s">
        <v>17198</v>
      </c>
      <c r="X904" t="s">
        <v>17199</v>
      </c>
      <c r="Y904" t="s">
        <v>17200</v>
      </c>
      <c r="Z904" t="s">
        <v>17201</v>
      </c>
      <c r="AA904" t="s">
        <v>74</v>
      </c>
      <c r="AB904" t="s">
        <v>17202</v>
      </c>
      <c r="AC904" t="s">
        <v>17203</v>
      </c>
      <c r="AD904" t="s">
        <v>17204</v>
      </c>
      <c r="AE904" t="s">
        <v>17205</v>
      </c>
      <c r="AF904" t="s">
        <v>74</v>
      </c>
      <c r="AG904">
        <v>162</v>
      </c>
      <c r="AH904">
        <v>2</v>
      </c>
      <c r="AI904">
        <v>2</v>
      </c>
      <c r="AJ904">
        <v>1</v>
      </c>
      <c r="AK904">
        <v>7</v>
      </c>
      <c r="AL904" t="s">
        <v>17206</v>
      </c>
      <c r="AM904" t="s">
        <v>17207</v>
      </c>
      <c r="AN904" t="s">
        <v>17208</v>
      </c>
      <c r="AO904" t="s">
        <v>74</v>
      </c>
      <c r="AP904" t="s">
        <v>74</v>
      </c>
      <c r="AQ904" t="s">
        <v>17209</v>
      </c>
      <c r="AR904" t="s">
        <v>74</v>
      </c>
      <c r="AS904" t="s">
        <v>74</v>
      </c>
      <c r="AT904" t="s">
        <v>74</v>
      </c>
      <c r="AU904">
        <v>2019</v>
      </c>
      <c r="AV904" t="s">
        <v>74</v>
      </c>
      <c r="AW904" t="s">
        <v>74</v>
      </c>
      <c r="AX904" t="s">
        <v>74</v>
      </c>
      <c r="AY904" t="s">
        <v>74</v>
      </c>
      <c r="AZ904" t="s">
        <v>74</v>
      </c>
      <c r="BA904" t="s">
        <v>74</v>
      </c>
      <c r="BB904">
        <v>65</v>
      </c>
      <c r="BC904">
        <v>106</v>
      </c>
      <c r="BD904" t="s">
        <v>74</v>
      </c>
      <c r="BE904" t="s">
        <v>17210</v>
      </c>
      <c r="BF904" t="str">
        <f>HYPERLINK("http://dx.doi.org/10.21775/9781912530021.05","http://dx.doi.org/10.21775/9781912530021.05")</f>
        <v>http://dx.doi.org/10.21775/9781912530021.05</v>
      </c>
      <c r="BG904" t="s">
        <v>17211</v>
      </c>
      <c r="BH904" t="s">
        <v>74</v>
      </c>
      <c r="BI904">
        <v>42</v>
      </c>
      <c r="BJ904" t="s">
        <v>17212</v>
      </c>
      <c r="BK904" t="s">
        <v>16914</v>
      </c>
      <c r="BL904" t="s">
        <v>17213</v>
      </c>
      <c r="BM904" t="s">
        <v>17214</v>
      </c>
      <c r="BN904" t="s">
        <v>74</v>
      </c>
      <c r="BO904" t="s">
        <v>279</v>
      </c>
      <c r="BP904" t="s">
        <v>74</v>
      </c>
      <c r="BQ904" t="s">
        <v>74</v>
      </c>
      <c r="BR904" t="s">
        <v>107</v>
      </c>
      <c r="BS904" t="s">
        <v>17215</v>
      </c>
      <c r="BT904" t="str">
        <f>HYPERLINK("https%3A%2F%2Fwww.webofscience.com%2Fwos%2Fwoscc%2Ffull-record%2FWOS:000573228500006","View Full Record in Web of Science")</f>
        <v>View Full Record in Web of Science</v>
      </c>
    </row>
    <row r="905" spans="1:72" x14ac:dyDescent="0.15">
      <c r="A905" t="s">
        <v>17084</v>
      </c>
      <c r="B905" t="s">
        <v>17216</v>
      </c>
      <c r="C905" t="s">
        <v>74</v>
      </c>
      <c r="D905" t="s">
        <v>74</v>
      </c>
      <c r="E905" t="s">
        <v>17217</v>
      </c>
      <c r="F905" t="s">
        <v>17218</v>
      </c>
      <c r="G905" t="s">
        <v>74</v>
      </c>
      <c r="H905" t="s">
        <v>74</v>
      </c>
      <c r="I905" t="s">
        <v>17219</v>
      </c>
      <c r="J905" t="s">
        <v>17220</v>
      </c>
      <c r="K905" t="s">
        <v>17221</v>
      </c>
      <c r="L905" t="s">
        <v>74</v>
      </c>
      <c r="M905" t="s">
        <v>78</v>
      </c>
      <c r="N905" t="s">
        <v>17090</v>
      </c>
      <c r="O905" t="s">
        <v>17222</v>
      </c>
      <c r="P905" t="s">
        <v>17223</v>
      </c>
      <c r="Q905" t="s">
        <v>17224</v>
      </c>
      <c r="R905" t="s">
        <v>74</v>
      </c>
      <c r="S905" t="s">
        <v>74</v>
      </c>
      <c r="T905" t="s">
        <v>74</v>
      </c>
      <c r="U905" t="s">
        <v>17225</v>
      </c>
      <c r="V905" t="s">
        <v>17226</v>
      </c>
      <c r="W905" t="s">
        <v>17227</v>
      </c>
      <c r="X905" t="s">
        <v>17228</v>
      </c>
      <c r="Y905" t="s">
        <v>17229</v>
      </c>
      <c r="Z905" t="s">
        <v>74</v>
      </c>
      <c r="AA905" t="s">
        <v>17230</v>
      </c>
      <c r="AB905" t="s">
        <v>17231</v>
      </c>
      <c r="AC905" t="s">
        <v>17232</v>
      </c>
      <c r="AD905" t="s">
        <v>17233</v>
      </c>
      <c r="AE905" t="s">
        <v>17234</v>
      </c>
      <c r="AF905" t="s">
        <v>74</v>
      </c>
      <c r="AG905">
        <v>31</v>
      </c>
      <c r="AH905">
        <v>11</v>
      </c>
      <c r="AI905">
        <v>13</v>
      </c>
      <c r="AJ905">
        <v>2</v>
      </c>
      <c r="AK905">
        <v>6</v>
      </c>
      <c r="AL905" t="s">
        <v>17235</v>
      </c>
      <c r="AM905" t="s">
        <v>126</v>
      </c>
      <c r="AN905" t="s">
        <v>17236</v>
      </c>
      <c r="AO905" t="s">
        <v>17237</v>
      </c>
      <c r="AP905" t="s">
        <v>17238</v>
      </c>
      <c r="AQ905" t="s">
        <v>74</v>
      </c>
      <c r="AR905" t="s">
        <v>17239</v>
      </c>
      <c r="AS905" t="s">
        <v>74</v>
      </c>
      <c r="AT905" t="s">
        <v>74</v>
      </c>
      <c r="AU905">
        <v>2019</v>
      </c>
      <c r="AV905" t="s">
        <v>74</v>
      </c>
      <c r="AW905" t="s">
        <v>74</v>
      </c>
      <c r="AX905" t="s">
        <v>74</v>
      </c>
      <c r="AY905" t="s">
        <v>74</v>
      </c>
      <c r="AZ905" t="s">
        <v>74</v>
      </c>
      <c r="BA905" t="s">
        <v>74</v>
      </c>
      <c r="BB905">
        <v>3801</v>
      </c>
      <c r="BC905">
        <v>3811</v>
      </c>
      <c r="BD905" t="s">
        <v>74</v>
      </c>
      <c r="BE905" t="s">
        <v>17240</v>
      </c>
      <c r="BF905" t="str">
        <f>HYPERLINK("http://dx.doi.org/10.33012/2019.17028","http://dx.doi.org/10.33012/2019.17028")</f>
        <v>http://dx.doi.org/10.33012/2019.17028</v>
      </c>
      <c r="BG905" t="s">
        <v>74</v>
      </c>
      <c r="BH905" t="s">
        <v>74</v>
      </c>
      <c r="BI905">
        <v>11</v>
      </c>
      <c r="BJ905" t="s">
        <v>17241</v>
      </c>
      <c r="BK905" t="s">
        <v>17108</v>
      </c>
      <c r="BL905" t="s">
        <v>17241</v>
      </c>
      <c r="BM905" t="s">
        <v>17242</v>
      </c>
      <c r="BN905" t="s">
        <v>74</v>
      </c>
      <c r="BO905" t="s">
        <v>74</v>
      </c>
      <c r="BP905" t="s">
        <v>74</v>
      </c>
      <c r="BQ905" t="s">
        <v>74</v>
      </c>
      <c r="BR905" t="s">
        <v>107</v>
      </c>
      <c r="BS905" t="s">
        <v>17243</v>
      </c>
      <c r="BT905" t="str">
        <f>HYPERLINK("https%3A%2F%2Fwww.webofscience.com%2Fwos%2Fwoscc%2Ffull-record%2FWOS:000568618903069","View Full Record in Web of Science")</f>
        <v>View Full Record in Web of Science</v>
      </c>
    </row>
    <row r="906" spans="1:72" x14ac:dyDescent="0.15">
      <c r="A906" t="s">
        <v>17084</v>
      </c>
      <c r="B906" t="s">
        <v>17244</v>
      </c>
      <c r="C906" t="s">
        <v>74</v>
      </c>
      <c r="D906" t="s">
        <v>17245</v>
      </c>
      <c r="E906" t="s">
        <v>74</v>
      </c>
      <c r="F906" t="s">
        <v>17246</v>
      </c>
      <c r="G906" t="s">
        <v>74</v>
      </c>
      <c r="H906" t="s">
        <v>74</v>
      </c>
      <c r="I906" t="s">
        <v>17247</v>
      </c>
      <c r="J906" t="s">
        <v>17248</v>
      </c>
      <c r="K906" t="s">
        <v>74</v>
      </c>
      <c r="L906" t="s">
        <v>74</v>
      </c>
      <c r="M906" t="s">
        <v>78</v>
      </c>
      <c r="N906" t="s">
        <v>17090</v>
      </c>
      <c r="O906" t="s">
        <v>17249</v>
      </c>
      <c r="P906" t="s">
        <v>17250</v>
      </c>
      <c r="Q906" t="s">
        <v>17251</v>
      </c>
      <c r="R906" t="s">
        <v>74</v>
      </c>
      <c r="S906" t="s">
        <v>74</v>
      </c>
      <c r="T906" t="s">
        <v>17252</v>
      </c>
      <c r="U906" t="s">
        <v>74</v>
      </c>
      <c r="V906" t="s">
        <v>17253</v>
      </c>
      <c r="W906" t="s">
        <v>17254</v>
      </c>
      <c r="X906" t="s">
        <v>17255</v>
      </c>
      <c r="Y906" t="s">
        <v>17256</v>
      </c>
      <c r="Z906" t="s">
        <v>17257</v>
      </c>
      <c r="AA906" t="s">
        <v>17258</v>
      </c>
      <c r="AB906" t="s">
        <v>17259</v>
      </c>
      <c r="AC906" t="s">
        <v>74</v>
      </c>
      <c r="AD906" t="s">
        <v>74</v>
      </c>
      <c r="AE906" t="s">
        <v>74</v>
      </c>
      <c r="AF906" t="s">
        <v>74</v>
      </c>
      <c r="AG906">
        <v>33</v>
      </c>
      <c r="AH906">
        <v>4</v>
      </c>
      <c r="AI906">
        <v>4</v>
      </c>
      <c r="AJ906">
        <v>0</v>
      </c>
      <c r="AK906">
        <v>3</v>
      </c>
      <c r="AL906" t="s">
        <v>17260</v>
      </c>
      <c r="AM906" t="s">
        <v>17261</v>
      </c>
      <c r="AN906" t="s">
        <v>17262</v>
      </c>
      <c r="AO906" t="s">
        <v>74</v>
      </c>
      <c r="AP906" t="s">
        <v>74</v>
      </c>
      <c r="AQ906" t="s">
        <v>17263</v>
      </c>
      <c r="AR906" t="s">
        <v>74</v>
      </c>
      <c r="AS906" t="s">
        <v>74</v>
      </c>
      <c r="AT906" t="s">
        <v>74</v>
      </c>
      <c r="AU906">
        <v>2019</v>
      </c>
      <c r="AV906" t="s">
        <v>74</v>
      </c>
      <c r="AW906" t="s">
        <v>74</v>
      </c>
      <c r="AX906" t="s">
        <v>74</v>
      </c>
      <c r="AY906" t="s">
        <v>74</v>
      </c>
      <c r="AZ906" t="s">
        <v>74</v>
      </c>
      <c r="BA906" t="s">
        <v>74</v>
      </c>
      <c r="BB906">
        <v>10132</v>
      </c>
      <c r="BC906">
        <v>10141</v>
      </c>
      <c r="BD906" t="s">
        <v>74</v>
      </c>
      <c r="BE906" t="s">
        <v>74</v>
      </c>
      <c r="BF906" t="s">
        <v>74</v>
      </c>
      <c r="BG906" t="s">
        <v>74</v>
      </c>
      <c r="BH906" t="s">
        <v>74</v>
      </c>
      <c r="BI906">
        <v>10</v>
      </c>
      <c r="BJ906" t="s">
        <v>17264</v>
      </c>
      <c r="BK906" t="s">
        <v>17265</v>
      </c>
      <c r="BL906" t="s">
        <v>17266</v>
      </c>
      <c r="BM906" t="s">
        <v>17267</v>
      </c>
      <c r="BN906" t="s">
        <v>74</v>
      </c>
      <c r="BO906" t="s">
        <v>74</v>
      </c>
      <c r="BP906" t="s">
        <v>74</v>
      </c>
      <c r="BQ906" t="s">
        <v>74</v>
      </c>
      <c r="BR906" t="s">
        <v>107</v>
      </c>
      <c r="BS906" t="s">
        <v>17268</v>
      </c>
      <c r="BT906" t="str">
        <f>HYPERLINK("https%3A%2F%2Fwww.webofscience.com%2Fwos%2Fwoscc%2Ffull-record%2FWOS:000561117204033","View Full Record in Web of Science")</f>
        <v>View Full Record in Web of Science</v>
      </c>
    </row>
    <row r="907" spans="1:72" x14ac:dyDescent="0.15">
      <c r="A907" t="s">
        <v>17084</v>
      </c>
      <c r="B907" t="s">
        <v>17269</v>
      </c>
      <c r="C907" t="s">
        <v>74</v>
      </c>
      <c r="D907" t="s">
        <v>74</v>
      </c>
      <c r="E907" t="s">
        <v>17086</v>
      </c>
      <c r="F907" t="s">
        <v>17270</v>
      </c>
      <c r="G907" t="s">
        <v>74</v>
      </c>
      <c r="H907" t="s">
        <v>74</v>
      </c>
      <c r="I907" t="s">
        <v>17271</v>
      </c>
      <c r="J907" t="s">
        <v>17272</v>
      </c>
      <c r="K907" t="s">
        <v>17273</v>
      </c>
      <c r="L907" t="s">
        <v>74</v>
      </c>
      <c r="M907" t="s">
        <v>78</v>
      </c>
      <c r="N907" t="s">
        <v>17090</v>
      </c>
      <c r="O907" t="s">
        <v>17274</v>
      </c>
      <c r="P907" t="s">
        <v>17275</v>
      </c>
      <c r="Q907" t="s">
        <v>17276</v>
      </c>
      <c r="R907" t="s">
        <v>74</v>
      </c>
      <c r="S907" t="s">
        <v>74</v>
      </c>
      <c r="T907" t="s">
        <v>74</v>
      </c>
      <c r="U907" t="s">
        <v>74</v>
      </c>
      <c r="V907" t="s">
        <v>17277</v>
      </c>
      <c r="W907" t="s">
        <v>17278</v>
      </c>
      <c r="X907" t="s">
        <v>17279</v>
      </c>
      <c r="Y907" t="s">
        <v>17280</v>
      </c>
      <c r="Z907" t="s">
        <v>74</v>
      </c>
      <c r="AA907" t="s">
        <v>17281</v>
      </c>
      <c r="AB907" t="s">
        <v>17282</v>
      </c>
      <c r="AC907" t="s">
        <v>17283</v>
      </c>
      <c r="AD907" t="s">
        <v>17284</v>
      </c>
      <c r="AE907" t="s">
        <v>17285</v>
      </c>
      <c r="AF907" t="s">
        <v>74</v>
      </c>
      <c r="AG907">
        <v>13</v>
      </c>
      <c r="AH907">
        <v>1</v>
      </c>
      <c r="AI907">
        <v>1</v>
      </c>
      <c r="AJ907">
        <v>2</v>
      </c>
      <c r="AK907">
        <v>11</v>
      </c>
      <c r="AL907" t="s">
        <v>17086</v>
      </c>
      <c r="AM907" t="s">
        <v>607</v>
      </c>
      <c r="AN907" t="s">
        <v>17105</v>
      </c>
      <c r="AO907" t="s">
        <v>17286</v>
      </c>
      <c r="AP907" t="s">
        <v>74</v>
      </c>
      <c r="AQ907" t="s">
        <v>17287</v>
      </c>
      <c r="AR907" t="s">
        <v>17288</v>
      </c>
      <c r="AS907" t="s">
        <v>74</v>
      </c>
      <c r="AT907" t="s">
        <v>74</v>
      </c>
      <c r="AU907">
        <v>2019</v>
      </c>
      <c r="AV907" t="s">
        <v>74</v>
      </c>
      <c r="AW907" t="s">
        <v>74</v>
      </c>
      <c r="AX907" t="s">
        <v>74</v>
      </c>
      <c r="AY907" t="s">
        <v>74</v>
      </c>
      <c r="AZ907" t="s">
        <v>74</v>
      </c>
      <c r="BA907" t="s">
        <v>74</v>
      </c>
      <c r="BB907">
        <v>3222</v>
      </c>
      <c r="BC907">
        <v>3228</v>
      </c>
      <c r="BD907" t="s">
        <v>74</v>
      </c>
      <c r="BE907" t="s">
        <v>74</v>
      </c>
      <c r="BF907" t="s">
        <v>74</v>
      </c>
      <c r="BG907" t="s">
        <v>74</v>
      </c>
      <c r="BH907" t="s">
        <v>74</v>
      </c>
      <c r="BI907">
        <v>7</v>
      </c>
      <c r="BJ907" t="s">
        <v>17289</v>
      </c>
      <c r="BK907" t="s">
        <v>17108</v>
      </c>
      <c r="BL907" t="s">
        <v>8022</v>
      </c>
      <c r="BM907" t="s">
        <v>17290</v>
      </c>
      <c r="BN907" t="s">
        <v>74</v>
      </c>
      <c r="BO907" t="s">
        <v>74</v>
      </c>
      <c r="BP907" t="s">
        <v>74</v>
      </c>
      <c r="BQ907" t="s">
        <v>74</v>
      </c>
      <c r="BR907" t="s">
        <v>107</v>
      </c>
      <c r="BS907" t="s">
        <v>17291</v>
      </c>
      <c r="BT907" t="str">
        <f>HYPERLINK("https%3A%2F%2Fwww.webofscience.com%2Fwos%2Fwoscc%2Ffull-record%2FWOS:000560305103048","View Full Record in Web of Science")</f>
        <v>View Full Record in Web of Science</v>
      </c>
    </row>
    <row r="908" spans="1:72" x14ac:dyDescent="0.15">
      <c r="A908" t="s">
        <v>72</v>
      </c>
      <c r="B908" t="s">
        <v>17292</v>
      </c>
      <c r="C908" t="s">
        <v>74</v>
      </c>
      <c r="D908" t="s">
        <v>74</v>
      </c>
      <c r="E908" t="s">
        <v>74</v>
      </c>
      <c r="F908" t="s">
        <v>17293</v>
      </c>
      <c r="G908" t="s">
        <v>74</v>
      </c>
      <c r="H908" t="s">
        <v>74</v>
      </c>
      <c r="I908" t="s">
        <v>17294</v>
      </c>
      <c r="J908" t="s">
        <v>17295</v>
      </c>
      <c r="K908" t="s">
        <v>74</v>
      </c>
      <c r="L908" t="s">
        <v>74</v>
      </c>
      <c r="M908" t="s">
        <v>78</v>
      </c>
      <c r="N908" t="s">
        <v>79</v>
      </c>
      <c r="O908" t="s">
        <v>74</v>
      </c>
      <c r="P908" t="s">
        <v>74</v>
      </c>
      <c r="Q908" t="s">
        <v>74</v>
      </c>
      <c r="R908" t="s">
        <v>74</v>
      </c>
      <c r="S908" t="s">
        <v>74</v>
      </c>
      <c r="T908" t="s">
        <v>17296</v>
      </c>
      <c r="U908" t="s">
        <v>17297</v>
      </c>
      <c r="V908" t="s">
        <v>17298</v>
      </c>
      <c r="W908" t="s">
        <v>17299</v>
      </c>
      <c r="X908" t="s">
        <v>17300</v>
      </c>
      <c r="Y908" t="s">
        <v>17301</v>
      </c>
      <c r="Z908" t="s">
        <v>17302</v>
      </c>
      <c r="AA908" t="s">
        <v>17303</v>
      </c>
      <c r="AB908" t="s">
        <v>17304</v>
      </c>
      <c r="AC908" t="s">
        <v>17305</v>
      </c>
      <c r="AD908" t="s">
        <v>17305</v>
      </c>
      <c r="AE908" t="s">
        <v>17306</v>
      </c>
      <c r="AF908" t="s">
        <v>74</v>
      </c>
      <c r="AG908">
        <v>37</v>
      </c>
      <c r="AH908">
        <v>6</v>
      </c>
      <c r="AI908">
        <v>6</v>
      </c>
      <c r="AJ908">
        <v>3</v>
      </c>
      <c r="AK908">
        <v>11</v>
      </c>
      <c r="AL908" t="s">
        <v>17307</v>
      </c>
      <c r="AM908" t="s">
        <v>17308</v>
      </c>
      <c r="AN908" t="s">
        <v>17309</v>
      </c>
      <c r="AO908" t="s">
        <v>17310</v>
      </c>
      <c r="AP908" t="s">
        <v>17311</v>
      </c>
      <c r="AQ908" t="s">
        <v>74</v>
      </c>
      <c r="AR908" t="s">
        <v>17312</v>
      </c>
      <c r="AS908" t="s">
        <v>17313</v>
      </c>
      <c r="AT908" t="s">
        <v>74</v>
      </c>
      <c r="AU908">
        <v>2019</v>
      </c>
      <c r="AV908">
        <v>42</v>
      </c>
      <c r="AW908">
        <v>2</v>
      </c>
      <c r="AX908" t="s">
        <v>74</v>
      </c>
      <c r="AY908" t="s">
        <v>74</v>
      </c>
      <c r="AZ908" t="s">
        <v>74</v>
      </c>
      <c r="BA908" t="s">
        <v>74</v>
      </c>
      <c r="BB908">
        <v>245</v>
      </c>
      <c r="BC908">
        <v>254</v>
      </c>
      <c r="BD908" t="s">
        <v>74</v>
      </c>
      <c r="BE908" t="s">
        <v>17314</v>
      </c>
      <c r="BF908" t="str">
        <f>HYPERLINK("http://dx.doi.org/10.4461/GFDQ.2019.42.14","http://dx.doi.org/10.4461/GFDQ.2019.42.14")</f>
        <v>http://dx.doi.org/10.4461/GFDQ.2019.42.14</v>
      </c>
      <c r="BG908" t="s">
        <v>74</v>
      </c>
      <c r="BH908" t="s">
        <v>74</v>
      </c>
      <c r="BI908">
        <v>10</v>
      </c>
      <c r="BJ908" t="s">
        <v>12670</v>
      </c>
      <c r="BK908" t="s">
        <v>102</v>
      </c>
      <c r="BL908" t="s">
        <v>12671</v>
      </c>
      <c r="BM908" t="s">
        <v>17315</v>
      </c>
      <c r="BN908" t="s">
        <v>74</v>
      </c>
      <c r="BO908" t="s">
        <v>74</v>
      </c>
      <c r="BP908" t="s">
        <v>74</v>
      </c>
      <c r="BQ908" t="s">
        <v>74</v>
      </c>
      <c r="BR908" t="s">
        <v>107</v>
      </c>
      <c r="BS908" t="s">
        <v>17316</v>
      </c>
      <c r="BT908" t="str">
        <f>HYPERLINK("https%3A%2F%2Fwww.webofscience.com%2Fwos%2Fwoscc%2Ffull-record%2FWOS:000566905100006","View Full Record in Web of Science")</f>
        <v>View Full Record in Web of Science</v>
      </c>
    </row>
    <row r="909" spans="1:72" x14ac:dyDescent="0.15">
      <c r="A909" t="s">
        <v>16882</v>
      </c>
      <c r="B909" t="s">
        <v>17317</v>
      </c>
      <c r="C909" t="s">
        <v>74</v>
      </c>
      <c r="D909" t="s">
        <v>16959</v>
      </c>
      <c r="E909" t="s">
        <v>74</v>
      </c>
      <c r="F909" t="s">
        <v>17318</v>
      </c>
      <c r="G909" t="s">
        <v>74</v>
      </c>
      <c r="H909" t="s">
        <v>74</v>
      </c>
      <c r="I909" t="s">
        <v>17319</v>
      </c>
      <c r="J909" t="s">
        <v>16962</v>
      </c>
      <c r="K909" t="s">
        <v>16963</v>
      </c>
      <c r="L909" t="s">
        <v>74</v>
      </c>
      <c r="M909" t="s">
        <v>78</v>
      </c>
      <c r="N909" t="s">
        <v>17065</v>
      </c>
      <c r="O909" t="s">
        <v>74</v>
      </c>
      <c r="P909" t="s">
        <v>74</v>
      </c>
      <c r="Q909" t="s">
        <v>74</v>
      </c>
      <c r="R909" t="s">
        <v>74</v>
      </c>
      <c r="S909" t="s">
        <v>74</v>
      </c>
      <c r="T909" t="s">
        <v>74</v>
      </c>
      <c r="U909" t="s">
        <v>74</v>
      </c>
      <c r="V909" t="s">
        <v>74</v>
      </c>
      <c r="W909" t="s">
        <v>17320</v>
      </c>
      <c r="X909" t="s">
        <v>17321</v>
      </c>
      <c r="Y909" t="s">
        <v>17322</v>
      </c>
      <c r="Z909" t="s">
        <v>74</v>
      </c>
      <c r="AA909" t="s">
        <v>17323</v>
      </c>
      <c r="AB909" t="s">
        <v>17324</v>
      </c>
      <c r="AC909" t="s">
        <v>74</v>
      </c>
      <c r="AD909" t="s">
        <v>74</v>
      </c>
      <c r="AE909" t="s">
        <v>74</v>
      </c>
      <c r="AF909" t="s">
        <v>74</v>
      </c>
      <c r="AG909">
        <v>35</v>
      </c>
      <c r="AH909">
        <v>12</v>
      </c>
      <c r="AI909">
        <v>12</v>
      </c>
      <c r="AJ909">
        <v>0</v>
      </c>
      <c r="AK909">
        <v>0</v>
      </c>
      <c r="AL909" t="s">
        <v>16968</v>
      </c>
      <c r="AM909" t="s">
        <v>16969</v>
      </c>
      <c r="AN909" t="s">
        <v>16970</v>
      </c>
      <c r="AO909" t="s">
        <v>74</v>
      </c>
      <c r="AP909" t="s">
        <v>74</v>
      </c>
      <c r="AQ909" t="s">
        <v>16971</v>
      </c>
      <c r="AR909" t="s">
        <v>16972</v>
      </c>
      <c r="AS909" t="s">
        <v>74</v>
      </c>
      <c r="AT909" t="s">
        <v>74</v>
      </c>
      <c r="AU909">
        <v>2019</v>
      </c>
      <c r="AV909" t="s">
        <v>74</v>
      </c>
      <c r="AW909" t="s">
        <v>74</v>
      </c>
      <c r="AX909" t="s">
        <v>74</v>
      </c>
      <c r="AY909" t="s">
        <v>74</v>
      </c>
      <c r="AZ909" t="s">
        <v>74</v>
      </c>
      <c r="BA909" t="s">
        <v>74</v>
      </c>
      <c r="BB909">
        <v>9</v>
      </c>
      <c r="BC909">
        <v>29</v>
      </c>
      <c r="BD909" t="s">
        <v>74</v>
      </c>
      <c r="BE909" t="s">
        <v>74</v>
      </c>
      <c r="BF909" t="s">
        <v>74</v>
      </c>
      <c r="BG909" t="s">
        <v>16973</v>
      </c>
      <c r="BH909" t="s">
        <v>74</v>
      </c>
      <c r="BI909">
        <v>21</v>
      </c>
      <c r="BJ909" t="s">
        <v>16974</v>
      </c>
      <c r="BK909" t="s">
        <v>16894</v>
      </c>
      <c r="BL909" t="s">
        <v>16975</v>
      </c>
      <c r="BM909" t="s">
        <v>16976</v>
      </c>
      <c r="BN909" t="s">
        <v>74</v>
      </c>
      <c r="BO909" t="s">
        <v>74</v>
      </c>
      <c r="BP909" t="s">
        <v>74</v>
      </c>
      <c r="BQ909" t="s">
        <v>74</v>
      </c>
      <c r="BR909" t="s">
        <v>107</v>
      </c>
      <c r="BS909" t="s">
        <v>17325</v>
      </c>
      <c r="BT909" t="str">
        <f>HYPERLINK("https%3A%2F%2Fwww.webofscience.com%2Fwos%2Fwoscc%2Ffull-record%2FWOS:000566265600004","View Full Record in Web of Science")</f>
        <v>View Full Record in Web of Science</v>
      </c>
    </row>
    <row r="910" spans="1:72" x14ac:dyDescent="0.15">
      <c r="A910" t="s">
        <v>16882</v>
      </c>
      <c r="B910" t="s">
        <v>17326</v>
      </c>
      <c r="C910" t="s">
        <v>74</v>
      </c>
      <c r="D910" t="s">
        <v>16959</v>
      </c>
      <c r="E910" t="s">
        <v>74</v>
      </c>
      <c r="F910" t="s">
        <v>17327</v>
      </c>
      <c r="G910" t="s">
        <v>74</v>
      </c>
      <c r="H910" t="s">
        <v>74</v>
      </c>
      <c r="I910" t="s">
        <v>17328</v>
      </c>
      <c r="J910" t="s">
        <v>16962</v>
      </c>
      <c r="K910" t="s">
        <v>16963</v>
      </c>
      <c r="L910" t="s">
        <v>74</v>
      </c>
      <c r="M910" t="s">
        <v>78</v>
      </c>
      <c r="N910" t="s">
        <v>17065</v>
      </c>
      <c r="O910" t="s">
        <v>74</v>
      </c>
      <c r="P910" t="s">
        <v>74</v>
      </c>
      <c r="Q910" t="s">
        <v>74</v>
      </c>
      <c r="R910" t="s">
        <v>74</v>
      </c>
      <c r="S910" t="s">
        <v>74</v>
      </c>
      <c r="T910" t="s">
        <v>74</v>
      </c>
      <c r="U910" t="s">
        <v>17329</v>
      </c>
      <c r="V910" t="s">
        <v>74</v>
      </c>
      <c r="W910" t="s">
        <v>17330</v>
      </c>
      <c r="X910" t="s">
        <v>17331</v>
      </c>
      <c r="Y910" t="s">
        <v>17332</v>
      </c>
      <c r="Z910" t="s">
        <v>74</v>
      </c>
      <c r="AA910" t="s">
        <v>74</v>
      </c>
      <c r="AB910" t="s">
        <v>74</v>
      </c>
      <c r="AC910" t="s">
        <v>74</v>
      </c>
      <c r="AD910" t="s">
        <v>74</v>
      </c>
      <c r="AE910" t="s">
        <v>74</v>
      </c>
      <c r="AF910" t="s">
        <v>74</v>
      </c>
      <c r="AG910">
        <v>21</v>
      </c>
      <c r="AH910">
        <v>6</v>
      </c>
      <c r="AI910">
        <v>6</v>
      </c>
      <c r="AJ910">
        <v>0</v>
      </c>
      <c r="AK910">
        <v>0</v>
      </c>
      <c r="AL910" t="s">
        <v>16968</v>
      </c>
      <c r="AM910" t="s">
        <v>16969</v>
      </c>
      <c r="AN910" t="s">
        <v>16970</v>
      </c>
      <c r="AO910" t="s">
        <v>74</v>
      </c>
      <c r="AP910" t="s">
        <v>74</v>
      </c>
      <c r="AQ910" t="s">
        <v>16971</v>
      </c>
      <c r="AR910" t="s">
        <v>16972</v>
      </c>
      <c r="AS910" t="s">
        <v>74</v>
      </c>
      <c r="AT910" t="s">
        <v>74</v>
      </c>
      <c r="AU910">
        <v>2019</v>
      </c>
      <c r="AV910" t="s">
        <v>74</v>
      </c>
      <c r="AW910" t="s">
        <v>74</v>
      </c>
      <c r="AX910" t="s">
        <v>74</v>
      </c>
      <c r="AY910" t="s">
        <v>74</v>
      </c>
      <c r="AZ910" t="s">
        <v>74</v>
      </c>
      <c r="BA910" t="s">
        <v>74</v>
      </c>
      <c r="BB910">
        <v>30</v>
      </c>
      <c r="BC910">
        <v>42</v>
      </c>
      <c r="BD910" t="s">
        <v>74</v>
      </c>
      <c r="BE910" t="s">
        <v>74</v>
      </c>
      <c r="BF910" t="s">
        <v>74</v>
      </c>
      <c r="BG910" t="s">
        <v>16973</v>
      </c>
      <c r="BH910" t="s">
        <v>74</v>
      </c>
      <c r="BI910">
        <v>13</v>
      </c>
      <c r="BJ910" t="s">
        <v>16974</v>
      </c>
      <c r="BK910" t="s">
        <v>16894</v>
      </c>
      <c r="BL910" t="s">
        <v>16975</v>
      </c>
      <c r="BM910" t="s">
        <v>16976</v>
      </c>
      <c r="BN910" t="s">
        <v>74</v>
      </c>
      <c r="BO910" t="s">
        <v>74</v>
      </c>
      <c r="BP910" t="s">
        <v>74</v>
      </c>
      <c r="BQ910" t="s">
        <v>74</v>
      </c>
      <c r="BR910" t="s">
        <v>107</v>
      </c>
      <c r="BS910" t="s">
        <v>17333</v>
      </c>
      <c r="BT910" t="str">
        <f>HYPERLINK("https%3A%2F%2Fwww.webofscience.com%2Fwos%2Fwoscc%2Ffull-record%2FWOS:000566265600005","View Full Record in Web of Science")</f>
        <v>View Full Record in Web of Science</v>
      </c>
    </row>
    <row r="911" spans="1:72" x14ac:dyDescent="0.15">
      <c r="A911" t="s">
        <v>16882</v>
      </c>
      <c r="B911" t="s">
        <v>17334</v>
      </c>
      <c r="C911" t="s">
        <v>74</v>
      </c>
      <c r="D911" t="s">
        <v>16959</v>
      </c>
      <c r="E911" t="s">
        <v>74</v>
      </c>
      <c r="F911" t="s">
        <v>17335</v>
      </c>
      <c r="G911" t="s">
        <v>74</v>
      </c>
      <c r="H911" t="s">
        <v>74</v>
      </c>
      <c r="I911" t="s">
        <v>17336</v>
      </c>
      <c r="J911" t="s">
        <v>16962</v>
      </c>
      <c r="K911" t="s">
        <v>16963</v>
      </c>
      <c r="L911" t="s">
        <v>74</v>
      </c>
      <c r="M911" t="s">
        <v>78</v>
      </c>
      <c r="N911" t="s">
        <v>17065</v>
      </c>
      <c r="O911" t="s">
        <v>74</v>
      </c>
      <c r="P911" t="s">
        <v>74</v>
      </c>
      <c r="Q911" t="s">
        <v>74</v>
      </c>
      <c r="R911" t="s">
        <v>74</v>
      </c>
      <c r="S911" t="s">
        <v>74</v>
      </c>
      <c r="T911" t="s">
        <v>74</v>
      </c>
      <c r="U911" t="s">
        <v>17337</v>
      </c>
      <c r="V911" t="s">
        <v>74</v>
      </c>
      <c r="W911" t="s">
        <v>17338</v>
      </c>
      <c r="X911" t="s">
        <v>17339</v>
      </c>
      <c r="Y911" t="s">
        <v>17340</v>
      </c>
      <c r="Z911" t="s">
        <v>74</v>
      </c>
      <c r="AA911" t="s">
        <v>74</v>
      </c>
      <c r="AB911" t="s">
        <v>17341</v>
      </c>
      <c r="AC911" t="s">
        <v>74</v>
      </c>
      <c r="AD911" t="s">
        <v>74</v>
      </c>
      <c r="AE911" t="s">
        <v>74</v>
      </c>
      <c r="AF911" t="s">
        <v>74</v>
      </c>
      <c r="AG911">
        <v>42</v>
      </c>
      <c r="AH911">
        <v>1</v>
      </c>
      <c r="AI911">
        <v>1</v>
      </c>
      <c r="AJ911">
        <v>0</v>
      </c>
      <c r="AK911">
        <v>2</v>
      </c>
      <c r="AL911" t="s">
        <v>16968</v>
      </c>
      <c r="AM911" t="s">
        <v>16969</v>
      </c>
      <c r="AN911" t="s">
        <v>16970</v>
      </c>
      <c r="AO911" t="s">
        <v>74</v>
      </c>
      <c r="AP911" t="s">
        <v>74</v>
      </c>
      <c r="AQ911" t="s">
        <v>16971</v>
      </c>
      <c r="AR911" t="s">
        <v>16972</v>
      </c>
      <c r="AS911" t="s">
        <v>74</v>
      </c>
      <c r="AT911" t="s">
        <v>74</v>
      </c>
      <c r="AU911">
        <v>2019</v>
      </c>
      <c r="AV911" t="s">
        <v>74</v>
      </c>
      <c r="AW911" t="s">
        <v>74</v>
      </c>
      <c r="AX911" t="s">
        <v>74</v>
      </c>
      <c r="AY911" t="s">
        <v>74</v>
      </c>
      <c r="AZ911" t="s">
        <v>74</v>
      </c>
      <c r="BA911" t="s">
        <v>74</v>
      </c>
      <c r="BB911">
        <v>158</v>
      </c>
      <c r="BC911">
        <v>176</v>
      </c>
      <c r="BD911" t="s">
        <v>74</v>
      </c>
      <c r="BE911" t="s">
        <v>74</v>
      </c>
      <c r="BF911" t="s">
        <v>74</v>
      </c>
      <c r="BG911" t="s">
        <v>16973</v>
      </c>
      <c r="BH911" t="s">
        <v>74</v>
      </c>
      <c r="BI911">
        <v>19</v>
      </c>
      <c r="BJ911" t="s">
        <v>16974</v>
      </c>
      <c r="BK911" t="s">
        <v>16894</v>
      </c>
      <c r="BL911" t="s">
        <v>16975</v>
      </c>
      <c r="BM911" t="s">
        <v>16976</v>
      </c>
      <c r="BN911" t="s">
        <v>74</v>
      </c>
      <c r="BO911" t="s">
        <v>74</v>
      </c>
      <c r="BP911" t="s">
        <v>74</v>
      </c>
      <c r="BQ911" t="s">
        <v>74</v>
      </c>
      <c r="BR911" t="s">
        <v>107</v>
      </c>
      <c r="BS911" t="s">
        <v>17342</v>
      </c>
      <c r="BT911" t="str">
        <f>HYPERLINK("https%3A%2F%2Fwww.webofscience.com%2Fwos%2Fwoscc%2Ffull-record%2FWOS:000566265600011","View Full Record in Web of Science")</f>
        <v>View Full Record in Web of Science</v>
      </c>
    </row>
    <row r="912" spans="1:72" x14ac:dyDescent="0.15">
      <c r="A912" t="s">
        <v>16882</v>
      </c>
      <c r="B912" t="s">
        <v>17343</v>
      </c>
      <c r="C912" t="s">
        <v>74</v>
      </c>
      <c r="D912" t="s">
        <v>16959</v>
      </c>
      <c r="E912" t="s">
        <v>74</v>
      </c>
      <c r="F912" t="s">
        <v>17344</v>
      </c>
      <c r="G912" t="s">
        <v>74</v>
      </c>
      <c r="H912" t="s">
        <v>74</v>
      </c>
      <c r="I912" t="s">
        <v>17345</v>
      </c>
      <c r="J912" t="s">
        <v>16962</v>
      </c>
      <c r="K912" t="s">
        <v>16963</v>
      </c>
      <c r="L912" t="s">
        <v>74</v>
      </c>
      <c r="M912" t="s">
        <v>78</v>
      </c>
      <c r="N912" t="s">
        <v>17065</v>
      </c>
      <c r="O912" t="s">
        <v>74</v>
      </c>
      <c r="P912" t="s">
        <v>74</v>
      </c>
      <c r="Q912" t="s">
        <v>74</v>
      </c>
      <c r="R912" t="s">
        <v>74</v>
      </c>
      <c r="S912" t="s">
        <v>74</v>
      </c>
      <c r="T912" t="s">
        <v>74</v>
      </c>
      <c r="U912" t="s">
        <v>17346</v>
      </c>
      <c r="V912" t="s">
        <v>74</v>
      </c>
      <c r="W912" t="s">
        <v>17347</v>
      </c>
      <c r="X912" t="s">
        <v>17348</v>
      </c>
      <c r="Y912" t="s">
        <v>17349</v>
      </c>
      <c r="Z912" t="s">
        <v>74</v>
      </c>
      <c r="AA912" t="s">
        <v>74</v>
      </c>
      <c r="AB912" t="s">
        <v>17350</v>
      </c>
      <c r="AC912" t="s">
        <v>74</v>
      </c>
      <c r="AD912" t="s">
        <v>74</v>
      </c>
      <c r="AE912" t="s">
        <v>74</v>
      </c>
      <c r="AF912" t="s">
        <v>74</v>
      </c>
      <c r="AG912">
        <v>57</v>
      </c>
      <c r="AH912">
        <v>1</v>
      </c>
      <c r="AI912">
        <v>1</v>
      </c>
      <c r="AJ912">
        <v>0</v>
      </c>
      <c r="AK912">
        <v>0</v>
      </c>
      <c r="AL912" t="s">
        <v>16968</v>
      </c>
      <c r="AM912" t="s">
        <v>16969</v>
      </c>
      <c r="AN912" t="s">
        <v>16970</v>
      </c>
      <c r="AO912" t="s">
        <v>74</v>
      </c>
      <c r="AP912" t="s">
        <v>74</v>
      </c>
      <c r="AQ912" t="s">
        <v>16971</v>
      </c>
      <c r="AR912" t="s">
        <v>16972</v>
      </c>
      <c r="AS912" t="s">
        <v>74</v>
      </c>
      <c r="AT912" t="s">
        <v>74</v>
      </c>
      <c r="AU912">
        <v>2019</v>
      </c>
      <c r="AV912" t="s">
        <v>74</v>
      </c>
      <c r="AW912" t="s">
        <v>74</v>
      </c>
      <c r="AX912" t="s">
        <v>74</v>
      </c>
      <c r="AY912" t="s">
        <v>74</v>
      </c>
      <c r="AZ912" t="s">
        <v>74</v>
      </c>
      <c r="BA912" t="s">
        <v>74</v>
      </c>
      <c r="BB912">
        <v>196</v>
      </c>
      <c r="BC912">
        <v>221</v>
      </c>
      <c r="BD912" t="s">
        <v>74</v>
      </c>
      <c r="BE912" t="s">
        <v>74</v>
      </c>
      <c r="BF912" t="s">
        <v>74</v>
      </c>
      <c r="BG912" t="s">
        <v>16973</v>
      </c>
      <c r="BH912" t="s">
        <v>74</v>
      </c>
      <c r="BI912">
        <v>26</v>
      </c>
      <c r="BJ912" t="s">
        <v>16974</v>
      </c>
      <c r="BK912" t="s">
        <v>16894</v>
      </c>
      <c r="BL912" t="s">
        <v>16975</v>
      </c>
      <c r="BM912" t="s">
        <v>16976</v>
      </c>
      <c r="BN912" t="s">
        <v>74</v>
      </c>
      <c r="BO912" t="s">
        <v>74</v>
      </c>
      <c r="BP912" t="s">
        <v>74</v>
      </c>
      <c r="BQ912" t="s">
        <v>74</v>
      </c>
      <c r="BR912" t="s">
        <v>107</v>
      </c>
      <c r="BS912" t="s">
        <v>17351</v>
      </c>
      <c r="BT912" t="str">
        <f>HYPERLINK("https%3A%2F%2Fwww.webofscience.com%2Fwos%2Fwoscc%2Ffull-record%2FWOS:000566265600013","View Full Record in Web of Science")</f>
        <v>View Full Record in Web of Science</v>
      </c>
    </row>
    <row r="913" spans="1:72" x14ac:dyDescent="0.15">
      <c r="A913" t="s">
        <v>17084</v>
      </c>
      <c r="B913" t="s">
        <v>17352</v>
      </c>
      <c r="C913" t="s">
        <v>74</v>
      </c>
      <c r="D913" t="s">
        <v>74</v>
      </c>
      <c r="E913" t="s">
        <v>17353</v>
      </c>
      <c r="F913" t="s">
        <v>17354</v>
      </c>
      <c r="G913" t="s">
        <v>74</v>
      </c>
      <c r="H913" t="s">
        <v>74</v>
      </c>
      <c r="I913" t="s">
        <v>17355</v>
      </c>
      <c r="J913" t="s">
        <v>17356</v>
      </c>
      <c r="K913" t="s">
        <v>17357</v>
      </c>
      <c r="L913" t="s">
        <v>74</v>
      </c>
      <c r="M913" t="s">
        <v>78</v>
      </c>
      <c r="N913" t="s">
        <v>17090</v>
      </c>
      <c r="O913" t="s">
        <v>17358</v>
      </c>
      <c r="P913" t="s">
        <v>17359</v>
      </c>
      <c r="Q913" t="s">
        <v>17360</v>
      </c>
      <c r="R913" t="s">
        <v>74</v>
      </c>
      <c r="S913" t="s">
        <v>74</v>
      </c>
      <c r="T913" t="s">
        <v>74</v>
      </c>
      <c r="U913" t="s">
        <v>74</v>
      </c>
      <c r="V913" t="s">
        <v>17361</v>
      </c>
      <c r="W913" t="s">
        <v>17362</v>
      </c>
      <c r="X913" t="s">
        <v>17363</v>
      </c>
      <c r="Y913" t="s">
        <v>17364</v>
      </c>
      <c r="Z913" t="s">
        <v>17365</v>
      </c>
      <c r="AA913" t="s">
        <v>74</v>
      </c>
      <c r="AB913" t="s">
        <v>74</v>
      </c>
      <c r="AC913" t="s">
        <v>74</v>
      </c>
      <c r="AD913" t="s">
        <v>74</v>
      </c>
      <c r="AE913" t="s">
        <v>74</v>
      </c>
      <c r="AF913" t="s">
        <v>74</v>
      </c>
      <c r="AG913">
        <v>8</v>
      </c>
      <c r="AH913">
        <v>0</v>
      </c>
      <c r="AI913">
        <v>0</v>
      </c>
      <c r="AJ913">
        <v>1</v>
      </c>
      <c r="AK913">
        <v>1</v>
      </c>
      <c r="AL913" t="s">
        <v>793</v>
      </c>
      <c r="AM913" t="s">
        <v>794</v>
      </c>
      <c r="AN913" t="s">
        <v>17366</v>
      </c>
      <c r="AO913" t="s">
        <v>17367</v>
      </c>
      <c r="AP913" t="s">
        <v>74</v>
      </c>
      <c r="AQ913" t="s">
        <v>74</v>
      </c>
      <c r="AR913" t="s">
        <v>17368</v>
      </c>
      <c r="AS913" t="s">
        <v>17369</v>
      </c>
      <c r="AT913" t="s">
        <v>74</v>
      </c>
      <c r="AU913">
        <v>2019</v>
      </c>
      <c r="AV913">
        <v>221</v>
      </c>
      <c r="AW913" t="s">
        <v>74</v>
      </c>
      <c r="AX913" t="s">
        <v>74</v>
      </c>
      <c r="AY913" t="s">
        <v>74</v>
      </c>
      <c r="AZ913" t="s">
        <v>74</v>
      </c>
      <c r="BA913" t="s">
        <v>74</v>
      </c>
      <c r="BB913" t="s">
        <v>74</v>
      </c>
      <c r="BC913" t="s">
        <v>74</v>
      </c>
      <c r="BD913">
        <v>12060</v>
      </c>
      <c r="BE913" t="s">
        <v>17370</v>
      </c>
      <c r="BF913" t="str">
        <f>HYPERLINK("http://dx.doi.org/10.1088/1755-1315/221/1/012060","http://dx.doi.org/10.1088/1755-1315/221/1/012060")</f>
        <v>http://dx.doi.org/10.1088/1755-1315/221/1/012060</v>
      </c>
      <c r="BG913" t="s">
        <v>74</v>
      </c>
      <c r="BH913" t="s">
        <v>74</v>
      </c>
      <c r="BI913">
        <v>6</v>
      </c>
      <c r="BJ913" t="s">
        <v>17081</v>
      </c>
      <c r="BK913" t="s">
        <v>17108</v>
      </c>
      <c r="BL913" t="s">
        <v>221</v>
      </c>
      <c r="BM913" t="s">
        <v>17371</v>
      </c>
      <c r="BN913" t="s">
        <v>74</v>
      </c>
      <c r="BO913" t="s">
        <v>1415</v>
      </c>
      <c r="BP913" t="s">
        <v>74</v>
      </c>
      <c r="BQ913" t="s">
        <v>74</v>
      </c>
      <c r="BR913" t="s">
        <v>107</v>
      </c>
      <c r="BS913" t="s">
        <v>17372</v>
      </c>
      <c r="BT913" t="str">
        <f>HYPERLINK("https%3A%2F%2Fwww.webofscience.com%2Fwos%2Fwoscc%2Ffull-record%2FWOS:000560708000060","View Full Record in Web of Science")</f>
        <v>View Full Record in Web of Science</v>
      </c>
    </row>
    <row r="914" spans="1:72" x14ac:dyDescent="0.15">
      <c r="A914" t="s">
        <v>16882</v>
      </c>
      <c r="B914" t="s">
        <v>17373</v>
      </c>
      <c r="C914" t="s">
        <v>17373</v>
      </c>
      <c r="D914" t="s">
        <v>74</v>
      </c>
      <c r="E914" t="s">
        <v>74</v>
      </c>
      <c r="F914" t="s">
        <v>17374</v>
      </c>
      <c r="G914" t="s">
        <v>17373</v>
      </c>
      <c r="H914" t="s">
        <v>74</v>
      </c>
      <c r="I914" t="s">
        <v>17375</v>
      </c>
      <c r="J914" t="s">
        <v>17376</v>
      </c>
      <c r="K914" t="s">
        <v>74</v>
      </c>
      <c r="L914" t="s">
        <v>74</v>
      </c>
      <c r="M914" t="s">
        <v>78</v>
      </c>
      <c r="N914" t="s">
        <v>17065</v>
      </c>
      <c r="O914" t="s">
        <v>74</v>
      </c>
      <c r="P914" t="s">
        <v>74</v>
      </c>
      <c r="Q914" t="s">
        <v>74</v>
      </c>
      <c r="R914" t="s">
        <v>74</v>
      </c>
      <c r="S914" t="s">
        <v>74</v>
      </c>
      <c r="T914" t="s">
        <v>74</v>
      </c>
      <c r="U914" t="s">
        <v>17377</v>
      </c>
      <c r="V914" t="s">
        <v>74</v>
      </c>
      <c r="W914" t="s">
        <v>17378</v>
      </c>
      <c r="X914" t="s">
        <v>17379</v>
      </c>
      <c r="Y914" t="s">
        <v>17380</v>
      </c>
      <c r="Z914" t="s">
        <v>74</v>
      </c>
      <c r="AA914" t="s">
        <v>74</v>
      </c>
      <c r="AB914" t="s">
        <v>74</v>
      </c>
      <c r="AC914" t="s">
        <v>74</v>
      </c>
      <c r="AD914" t="s">
        <v>74</v>
      </c>
      <c r="AE914" t="s">
        <v>74</v>
      </c>
      <c r="AF914" t="s">
        <v>74</v>
      </c>
      <c r="AG914">
        <v>644</v>
      </c>
      <c r="AH914">
        <v>4</v>
      </c>
      <c r="AI914">
        <v>4</v>
      </c>
      <c r="AJ914">
        <v>1</v>
      </c>
      <c r="AK914">
        <v>9</v>
      </c>
      <c r="AL914" t="s">
        <v>17381</v>
      </c>
      <c r="AM914" t="s">
        <v>329</v>
      </c>
      <c r="AN914" t="s">
        <v>17382</v>
      </c>
      <c r="AO914" t="s">
        <v>74</v>
      </c>
      <c r="AP914" t="s">
        <v>74</v>
      </c>
      <c r="AQ914" t="s">
        <v>17383</v>
      </c>
      <c r="AR914" t="s">
        <v>74</v>
      </c>
      <c r="AS914" t="s">
        <v>74</v>
      </c>
      <c r="AT914" t="s">
        <v>74</v>
      </c>
      <c r="AU914">
        <v>2019</v>
      </c>
      <c r="AV914" t="s">
        <v>74</v>
      </c>
      <c r="AW914" t="s">
        <v>74</v>
      </c>
      <c r="AX914" t="s">
        <v>74</v>
      </c>
      <c r="AY914" t="s">
        <v>74</v>
      </c>
      <c r="AZ914" t="s">
        <v>74</v>
      </c>
      <c r="BA914" t="s">
        <v>74</v>
      </c>
      <c r="BB914">
        <v>115</v>
      </c>
      <c r="BC914">
        <v>216</v>
      </c>
      <c r="BD914" t="s">
        <v>74</v>
      </c>
      <c r="BE914" t="s">
        <v>17384</v>
      </c>
      <c r="BF914" t="str">
        <f>HYPERLINK("http://dx.doi.org/10.1016/B978-0-12-817562-0.00002-1","http://dx.doi.org/10.1016/B978-0-12-817562-0.00002-1")</f>
        <v>http://dx.doi.org/10.1016/B978-0-12-817562-0.00002-1</v>
      </c>
      <c r="BG914" t="s">
        <v>17385</v>
      </c>
      <c r="BH914" t="s">
        <v>74</v>
      </c>
      <c r="BI914">
        <v>102</v>
      </c>
      <c r="BJ914" t="s">
        <v>17386</v>
      </c>
      <c r="BK914" t="s">
        <v>16914</v>
      </c>
      <c r="BL914" t="s">
        <v>17387</v>
      </c>
      <c r="BM914" t="s">
        <v>17388</v>
      </c>
      <c r="BN914" t="s">
        <v>74</v>
      </c>
      <c r="BO914" t="s">
        <v>74</v>
      </c>
      <c r="BP914" t="s">
        <v>74</v>
      </c>
      <c r="BQ914" t="s">
        <v>74</v>
      </c>
      <c r="BR914" t="s">
        <v>107</v>
      </c>
      <c r="BS914" t="s">
        <v>17389</v>
      </c>
      <c r="BT914" t="str">
        <f>HYPERLINK("https%3A%2F%2Fwww.webofscience.com%2Fwos%2Fwoscc%2Ffull-record%2FWOS:000559759900003","View Full Record in Web of Science")</f>
        <v>View Full Record in Web of Science</v>
      </c>
    </row>
    <row r="915" spans="1:72" x14ac:dyDescent="0.15">
      <c r="A915" t="s">
        <v>17084</v>
      </c>
      <c r="B915" t="s">
        <v>17390</v>
      </c>
      <c r="C915" t="s">
        <v>74</v>
      </c>
      <c r="D915" t="s">
        <v>17391</v>
      </c>
      <c r="E915" t="s">
        <v>74</v>
      </c>
      <c r="F915" t="s">
        <v>17392</v>
      </c>
      <c r="G915" t="s">
        <v>74</v>
      </c>
      <c r="H915" t="s">
        <v>74</v>
      </c>
      <c r="I915" t="s">
        <v>17393</v>
      </c>
      <c r="J915" t="s">
        <v>17394</v>
      </c>
      <c r="K915" t="s">
        <v>17395</v>
      </c>
      <c r="L915" t="s">
        <v>74</v>
      </c>
      <c r="M915" t="s">
        <v>78</v>
      </c>
      <c r="N915" t="s">
        <v>17090</v>
      </c>
      <c r="O915" t="s">
        <v>17396</v>
      </c>
      <c r="P915" t="s">
        <v>17397</v>
      </c>
      <c r="Q915" t="s">
        <v>17398</v>
      </c>
      <c r="R915" t="s">
        <v>74</v>
      </c>
      <c r="S915" t="s">
        <v>74</v>
      </c>
      <c r="T915" t="s">
        <v>17399</v>
      </c>
      <c r="U915" t="s">
        <v>17400</v>
      </c>
      <c r="V915" t="s">
        <v>17401</v>
      </c>
      <c r="W915" t="s">
        <v>17402</v>
      </c>
      <c r="X915" t="s">
        <v>17403</v>
      </c>
      <c r="Y915" t="s">
        <v>17404</v>
      </c>
      <c r="Z915" t="s">
        <v>17405</v>
      </c>
      <c r="AA915" t="s">
        <v>74</v>
      </c>
      <c r="AB915" t="s">
        <v>17406</v>
      </c>
      <c r="AC915" t="s">
        <v>17407</v>
      </c>
      <c r="AD915" t="s">
        <v>17408</v>
      </c>
      <c r="AE915" t="s">
        <v>17409</v>
      </c>
      <c r="AF915" t="s">
        <v>74</v>
      </c>
      <c r="AG915">
        <v>22</v>
      </c>
      <c r="AH915">
        <v>6</v>
      </c>
      <c r="AI915">
        <v>6</v>
      </c>
      <c r="AJ915">
        <v>0</v>
      </c>
      <c r="AK915">
        <v>1</v>
      </c>
      <c r="AL915" t="s">
        <v>4213</v>
      </c>
      <c r="AM915" t="s">
        <v>4214</v>
      </c>
      <c r="AN915" t="s">
        <v>4215</v>
      </c>
      <c r="AO915" t="s">
        <v>17410</v>
      </c>
      <c r="AP915" t="s">
        <v>17411</v>
      </c>
      <c r="AQ915" t="s">
        <v>17412</v>
      </c>
      <c r="AR915" t="s">
        <v>17413</v>
      </c>
      <c r="AS915" t="s">
        <v>74</v>
      </c>
      <c r="AT915" t="s">
        <v>74</v>
      </c>
      <c r="AU915">
        <v>2019</v>
      </c>
      <c r="AV915">
        <v>11564</v>
      </c>
      <c r="AW915" t="s">
        <v>74</v>
      </c>
      <c r="AX915" t="s">
        <v>74</v>
      </c>
      <c r="AY915" t="s">
        <v>74</v>
      </c>
      <c r="AZ915" t="s">
        <v>74</v>
      </c>
      <c r="BA915" t="s">
        <v>74</v>
      </c>
      <c r="BB915">
        <v>441</v>
      </c>
      <c r="BC915">
        <v>455</v>
      </c>
      <c r="BD915" t="s">
        <v>74</v>
      </c>
      <c r="BE915" t="s">
        <v>17414</v>
      </c>
      <c r="BF915" t="str">
        <f>HYPERLINK("http://dx.doi.org/10.1007/978-3-030-20867-7_34","http://dx.doi.org/10.1007/978-3-030-20867-7_34")</f>
        <v>http://dx.doi.org/10.1007/978-3-030-20867-7_34</v>
      </c>
      <c r="BG915" t="s">
        <v>74</v>
      </c>
      <c r="BH915" t="s">
        <v>74</v>
      </c>
      <c r="BI915">
        <v>15</v>
      </c>
      <c r="BJ915" t="s">
        <v>17415</v>
      </c>
      <c r="BK915" t="s">
        <v>17108</v>
      </c>
      <c r="BL915" t="s">
        <v>17416</v>
      </c>
      <c r="BM915" t="s">
        <v>17417</v>
      </c>
      <c r="BN915" t="s">
        <v>74</v>
      </c>
      <c r="BO915" t="s">
        <v>74</v>
      </c>
      <c r="BP915" t="s">
        <v>74</v>
      </c>
      <c r="BQ915" t="s">
        <v>74</v>
      </c>
      <c r="BR915" t="s">
        <v>107</v>
      </c>
      <c r="BS915" t="s">
        <v>17418</v>
      </c>
      <c r="BT915" t="str">
        <f>HYPERLINK("https%3A%2F%2Fwww.webofscience.com%2Fwos%2Fwoscc%2Ffull-record%2FWOS:000558276600034","View Full Record in Web of Science")</f>
        <v>View Full Record in Web of Science</v>
      </c>
    </row>
    <row r="916" spans="1:72" x14ac:dyDescent="0.15">
      <c r="A916" t="s">
        <v>17084</v>
      </c>
      <c r="B916" t="s">
        <v>17419</v>
      </c>
      <c r="C916" t="s">
        <v>74</v>
      </c>
      <c r="D916" t="s">
        <v>17420</v>
      </c>
      <c r="E916" t="s">
        <v>74</v>
      </c>
      <c r="F916" t="s">
        <v>17421</v>
      </c>
      <c r="G916" t="s">
        <v>74</v>
      </c>
      <c r="H916" t="s">
        <v>74</v>
      </c>
      <c r="I916" t="s">
        <v>17422</v>
      </c>
      <c r="J916" t="s">
        <v>17423</v>
      </c>
      <c r="K916" t="s">
        <v>17424</v>
      </c>
      <c r="L916" t="s">
        <v>74</v>
      </c>
      <c r="M916" t="s">
        <v>78</v>
      </c>
      <c r="N916" t="s">
        <v>17090</v>
      </c>
      <c r="O916" t="s">
        <v>17425</v>
      </c>
      <c r="P916" t="s">
        <v>17426</v>
      </c>
      <c r="Q916" t="s">
        <v>17427</v>
      </c>
      <c r="R916" t="s">
        <v>74</v>
      </c>
      <c r="S916" t="s">
        <v>17428</v>
      </c>
      <c r="T916" t="s">
        <v>74</v>
      </c>
      <c r="U916" t="s">
        <v>17429</v>
      </c>
      <c r="V916" t="s">
        <v>17430</v>
      </c>
      <c r="W916" t="s">
        <v>17431</v>
      </c>
      <c r="X916" t="s">
        <v>17432</v>
      </c>
      <c r="Y916" t="s">
        <v>17433</v>
      </c>
      <c r="Z916" t="s">
        <v>17434</v>
      </c>
      <c r="AA916" t="s">
        <v>17435</v>
      </c>
      <c r="AB916" t="s">
        <v>17436</v>
      </c>
      <c r="AC916" t="s">
        <v>17437</v>
      </c>
      <c r="AD916" t="s">
        <v>17438</v>
      </c>
      <c r="AE916" t="s">
        <v>17439</v>
      </c>
      <c r="AF916" t="s">
        <v>74</v>
      </c>
      <c r="AG916">
        <v>39</v>
      </c>
      <c r="AH916">
        <v>0</v>
      </c>
      <c r="AI916">
        <v>0</v>
      </c>
      <c r="AJ916">
        <v>0</v>
      </c>
      <c r="AK916">
        <v>1</v>
      </c>
      <c r="AL916" t="s">
        <v>793</v>
      </c>
      <c r="AM916" t="s">
        <v>794</v>
      </c>
      <c r="AN916" t="s">
        <v>17366</v>
      </c>
      <c r="AO916" t="s">
        <v>17440</v>
      </c>
      <c r="AP916" t="s">
        <v>17441</v>
      </c>
      <c r="AQ916" t="s">
        <v>74</v>
      </c>
      <c r="AR916" t="s">
        <v>17442</v>
      </c>
      <c r="AS916" t="s">
        <v>74</v>
      </c>
      <c r="AT916" t="s">
        <v>74</v>
      </c>
      <c r="AU916">
        <v>2019</v>
      </c>
      <c r="AV916">
        <v>1181</v>
      </c>
      <c r="AW916" t="s">
        <v>74</v>
      </c>
      <c r="AX916" t="s">
        <v>74</v>
      </c>
      <c r="AY916" t="s">
        <v>74</v>
      </c>
      <c r="AZ916" t="s">
        <v>74</v>
      </c>
      <c r="BA916" t="s">
        <v>74</v>
      </c>
      <c r="BB916" t="s">
        <v>74</v>
      </c>
      <c r="BC916" t="s">
        <v>74</v>
      </c>
      <c r="BD916">
        <v>12006</v>
      </c>
      <c r="BE916" t="s">
        <v>17443</v>
      </c>
      <c r="BF916" t="str">
        <f>HYPERLINK("http://dx.doi.org/10.1088/1742-6596/1181/1/012006","http://dx.doi.org/10.1088/1742-6596/1181/1/012006")</f>
        <v>http://dx.doi.org/10.1088/1742-6596/1181/1/012006</v>
      </c>
      <c r="BG916" t="s">
        <v>74</v>
      </c>
      <c r="BH916" t="s">
        <v>74</v>
      </c>
      <c r="BI916">
        <v>6</v>
      </c>
      <c r="BJ916" t="s">
        <v>17444</v>
      </c>
      <c r="BK916" t="s">
        <v>17108</v>
      </c>
      <c r="BL916" t="s">
        <v>6951</v>
      </c>
      <c r="BM916" t="s">
        <v>17445</v>
      </c>
      <c r="BN916" t="s">
        <v>74</v>
      </c>
      <c r="BO916" t="s">
        <v>3093</v>
      </c>
      <c r="BP916" t="s">
        <v>74</v>
      </c>
      <c r="BQ916" t="s">
        <v>74</v>
      </c>
      <c r="BR916" t="s">
        <v>107</v>
      </c>
      <c r="BS916" t="s">
        <v>17446</v>
      </c>
      <c r="BT916" t="str">
        <f>HYPERLINK("https%3A%2F%2Fwww.webofscience.com%2Fwos%2Fwoscc%2Ffull-record%2FWOS:000556332900006","View Full Record in Web of Science")</f>
        <v>View Full Record in Web of Science</v>
      </c>
    </row>
    <row r="917" spans="1:72" x14ac:dyDescent="0.15">
      <c r="A917" t="s">
        <v>16882</v>
      </c>
      <c r="B917" t="s">
        <v>17447</v>
      </c>
      <c r="C917" t="s">
        <v>74</v>
      </c>
      <c r="D917" t="s">
        <v>17448</v>
      </c>
      <c r="E917" t="s">
        <v>74</v>
      </c>
      <c r="F917" t="s">
        <v>17449</v>
      </c>
      <c r="G917" t="s">
        <v>74</v>
      </c>
      <c r="H917" t="s">
        <v>74</v>
      </c>
      <c r="I917" t="s">
        <v>17450</v>
      </c>
      <c r="J917" t="s">
        <v>17451</v>
      </c>
      <c r="K917" t="s">
        <v>74</v>
      </c>
      <c r="L917" t="s">
        <v>74</v>
      </c>
      <c r="M917" t="s">
        <v>78</v>
      </c>
      <c r="N917" t="s">
        <v>17065</v>
      </c>
      <c r="O917" t="s">
        <v>74</v>
      </c>
      <c r="P917" t="s">
        <v>74</v>
      </c>
      <c r="Q917" t="s">
        <v>74</v>
      </c>
      <c r="R917" t="s">
        <v>74</v>
      </c>
      <c r="S917" t="s">
        <v>74</v>
      </c>
      <c r="T917" t="s">
        <v>17452</v>
      </c>
      <c r="U917" t="s">
        <v>17453</v>
      </c>
      <c r="V917" t="s">
        <v>17454</v>
      </c>
      <c r="W917" t="s">
        <v>17455</v>
      </c>
      <c r="X917" t="s">
        <v>17456</v>
      </c>
      <c r="Y917" t="s">
        <v>17457</v>
      </c>
      <c r="Z917" t="s">
        <v>74</v>
      </c>
      <c r="AA917" t="s">
        <v>17458</v>
      </c>
      <c r="AB917" t="s">
        <v>17459</v>
      </c>
      <c r="AC917" t="s">
        <v>74</v>
      </c>
      <c r="AD917" t="s">
        <v>74</v>
      </c>
      <c r="AE917" t="s">
        <v>74</v>
      </c>
      <c r="AF917" t="s">
        <v>74</v>
      </c>
      <c r="AG917">
        <v>168</v>
      </c>
      <c r="AH917">
        <v>3</v>
      </c>
      <c r="AI917">
        <v>3</v>
      </c>
      <c r="AJ917">
        <v>0</v>
      </c>
      <c r="AK917">
        <v>9</v>
      </c>
      <c r="AL917" t="s">
        <v>17460</v>
      </c>
      <c r="AM917" t="s">
        <v>17461</v>
      </c>
      <c r="AN917" t="s">
        <v>17462</v>
      </c>
      <c r="AO917" t="s">
        <v>74</v>
      </c>
      <c r="AP917" t="s">
        <v>74</v>
      </c>
      <c r="AQ917" t="s">
        <v>17463</v>
      </c>
      <c r="AR917" t="s">
        <v>74</v>
      </c>
      <c r="AS917" t="s">
        <v>74</v>
      </c>
      <c r="AT917" t="s">
        <v>74</v>
      </c>
      <c r="AU917">
        <v>2019</v>
      </c>
      <c r="AV917" t="s">
        <v>74</v>
      </c>
      <c r="AW917" t="s">
        <v>74</v>
      </c>
      <c r="AX917" t="s">
        <v>74</v>
      </c>
      <c r="AY917" t="s">
        <v>74</v>
      </c>
      <c r="AZ917" t="s">
        <v>74</v>
      </c>
      <c r="BA917" t="s">
        <v>74</v>
      </c>
      <c r="BB917">
        <v>457</v>
      </c>
      <c r="BC917">
        <v>491</v>
      </c>
      <c r="BD917" t="s">
        <v>74</v>
      </c>
      <c r="BE917" t="s">
        <v>17464</v>
      </c>
      <c r="BF917" t="str">
        <f>HYPERLINK("http://dx.doi.org/10.1007/978-981-13-8487-5_18","http://dx.doi.org/10.1007/978-981-13-8487-5_18")</f>
        <v>http://dx.doi.org/10.1007/978-981-13-8487-5_18</v>
      </c>
      <c r="BG917" t="s">
        <v>17465</v>
      </c>
      <c r="BH917" t="s">
        <v>74</v>
      </c>
      <c r="BI917">
        <v>35</v>
      </c>
      <c r="BJ917" t="s">
        <v>17466</v>
      </c>
      <c r="BK917" t="s">
        <v>16914</v>
      </c>
      <c r="BL917" t="s">
        <v>17467</v>
      </c>
      <c r="BM917" t="s">
        <v>17468</v>
      </c>
      <c r="BN917" t="s">
        <v>74</v>
      </c>
      <c r="BO917" t="s">
        <v>74</v>
      </c>
      <c r="BP917" t="s">
        <v>74</v>
      </c>
      <c r="BQ917" t="s">
        <v>74</v>
      </c>
      <c r="BR917" t="s">
        <v>107</v>
      </c>
      <c r="BS917" t="s">
        <v>17469</v>
      </c>
      <c r="BT917" t="str">
        <f>HYPERLINK("https%3A%2F%2Fwww.webofscience.com%2Fwos%2Fwoscc%2Ffull-record%2FWOS:000555333300019","View Full Record in Web of Science")</f>
        <v>View Full Record in Web of Science</v>
      </c>
    </row>
    <row r="918" spans="1:72" x14ac:dyDescent="0.15">
      <c r="A918" t="s">
        <v>16897</v>
      </c>
      <c r="B918" t="s">
        <v>17470</v>
      </c>
      <c r="C918" t="s">
        <v>74</v>
      </c>
      <c r="D918" t="s">
        <v>17471</v>
      </c>
      <c r="E918" t="s">
        <v>74</v>
      </c>
      <c r="F918" t="s">
        <v>17472</v>
      </c>
      <c r="G918" t="s">
        <v>74</v>
      </c>
      <c r="H918" t="s">
        <v>74</v>
      </c>
      <c r="I918" t="s">
        <v>17473</v>
      </c>
      <c r="J918" t="s">
        <v>17474</v>
      </c>
      <c r="K918" t="s">
        <v>17475</v>
      </c>
      <c r="L918" t="s">
        <v>74</v>
      </c>
      <c r="M918" t="s">
        <v>78</v>
      </c>
      <c r="N918" t="s">
        <v>17476</v>
      </c>
      <c r="O918" t="s">
        <v>74</v>
      </c>
      <c r="P918" t="s">
        <v>74</v>
      </c>
      <c r="Q918" t="s">
        <v>74</v>
      </c>
      <c r="R918" t="s">
        <v>74</v>
      </c>
      <c r="S918" t="s">
        <v>74</v>
      </c>
      <c r="T918" t="s">
        <v>17477</v>
      </c>
      <c r="U918" t="s">
        <v>17478</v>
      </c>
      <c r="V918" t="s">
        <v>17479</v>
      </c>
      <c r="W918" t="s">
        <v>17480</v>
      </c>
      <c r="X918" t="s">
        <v>17481</v>
      </c>
      <c r="Y918" t="s">
        <v>17482</v>
      </c>
      <c r="Z918" t="s">
        <v>17483</v>
      </c>
      <c r="AA918" t="s">
        <v>74</v>
      </c>
      <c r="AB918" t="s">
        <v>17484</v>
      </c>
      <c r="AC918" t="s">
        <v>74</v>
      </c>
      <c r="AD918" t="s">
        <v>74</v>
      </c>
      <c r="AE918" t="s">
        <v>74</v>
      </c>
      <c r="AF918" t="s">
        <v>74</v>
      </c>
      <c r="AG918">
        <v>180</v>
      </c>
      <c r="AH918">
        <v>0</v>
      </c>
      <c r="AI918">
        <v>0</v>
      </c>
      <c r="AJ918">
        <v>1</v>
      </c>
      <c r="AK918">
        <v>16</v>
      </c>
      <c r="AL918" t="s">
        <v>4213</v>
      </c>
      <c r="AM918" t="s">
        <v>4214</v>
      </c>
      <c r="AN918" t="s">
        <v>4215</v>
      </c>
      <c r="AO918" t="s">
        <v>17485</v>
      </c>
      <c r="AP918" t="s">
        <v>17486</v>
      </c>
      <c r="AQ918" t="s">
        <v>17487</v>
      </c>
      <c r="AR918" t="s">
        <v>17488</v>
      </c>
      <c r="AS918" t="s">
        <v>17489</v>
      </c>
      <c r="AT918" t="s">
        <v>74</v>
      </c>
      <c r="AU918">
        <v>2019</v>
      </c>
      <c r="AV918">
        <v>181</v>
      </c>
      <c r="AW918" t="s">
        <v>74</v>
      </c>
      <c r="AX918" t="s">
        <v>74</v>
      </c>
      <c r="AY918" t="s">
        <v>74</v>
      </c>
      <c r="AZ918" t="s">
        <v>74</v>
      </c>
      <c r="BA918" t="s">
        <v>74</v>
      </c>
      <c r="BB918">
        <v>111</v>
      </c>
      <c r="BC918">
        <v>156</v>
      </c>
      <c r="BD918" t="s">
        <v>74</v>
      </c>
      <c r="BE918" t="s">
        <v>17490</v>
      </c>
      <c r="BF918" t="str">
        <f>HYPERLINK("http://dx.doi.org/10.1007/430_2019_44","http://dx.doi.org/10.1007/430_2019_44")</f>
        <v>http://dx.doi.org/10.1007/430_2019_44</v>
      </c>
      <c r="BG918" t="s">
        <v>17491</v>
      </c>
      <c r="BH918" t="s">
        <v>74</v>
      </c>
      <c r="BI918">
        <v>46</v>
      </c>
      <c r="BJ918" t="s">
        <v>17492</v>
      </c>
      <c r="BK918" t="s">
        <v>17493</v>
      </c>
      <c r="BL918" t="s">
        <v>1494</v>
      </c>
      <c r="BM918" t="s">
        <v>17494</v>
      </c>
      <c r="BN918" t="s">
        <v>74</v>
      </c>
      <c r="BO918" t="s">
        <v>403</v>
      </c>
      <c r="BP918" t="s">
        <v>74</v>
      </c>
      <c r="BQ918" t="s">
        <v>74</v>
      </c>
      <c r="BR918" t="s">
        <v>107</v>
      </c>
      <c r="BS918" t="s">
        <v>17495</v>
      </c>
      <c r="BT918" t="str">
        <f>HYPERLINK("https%3A%2F%2Fwww.webofscience.com%2Fwos%2Fwoscc%2Ffull-record%2FWOS:000554828400005","View Full Record in Web of Science")</f>
        <v>View Full Record in Web of Science</v>
      </c>
    </row>
    <row r="919" spans="1:72" x14ac:dyDescent="0.15">
      <c r="A919" t="s">
        <v>17084</v>
      </c>
      <c r="B919" t="s">
        <v>17496</v>
      </c>
      <c r="C919" t="s">
        <v>74</v>
      </c>
      <c r="D919" t="s">
        <v>17497</v>
      </c>
      <c r="E919" t="s">
        <v>74</v>
      </c>
      <c r="F919" t="s">
        <v>17498</v>
      </c>
      <c r="G919" t="s">
        <v>74</v>
      </c>
      <c r="H919" t="s">
        <v>74</v>
      </c>
      <c r="I919" t="s">
        <v>17499</v>
      </c>
      <c r="J919" t="s">
        <v>17500</v>
      </c>
      <c r="K919" t="s">
        <v>17501</v>
      </c>
      <c r="L919" t="s">
        <v>74</v>
      </c>
      <c r="M919" t="s">
        <v>78</v>
      </c>
      <c r="N919" t="s">
        <v>17090</v>
      </c>
      <c r="O919" t="s">
        <v>17502</v>
      </c>
      <c r="P919" t="s">
        <v>17503</v>
      </c>
      <c r="Q919" t="s">
        <v>17504</v>
      </c>
      <c r="R919" t="s">
        <v>74</v>
      </c>
      <c r="S919" t="s">
        <v>74</v>
      </c>
      <c r="T919" t="s">
        <v>17505</v>
      </c>
      <c r="U919" t="s">
        <v>74</v>
      </c>
      <c r="V919" t="s">
        <v>17506</v>
      </c>
      <c r="W919" t="s">
        <v>17507</v>
      </c>
      <c r="X919" t="s">
        <v>17508</v>
      </c>
      <c r="Y919" t="s">
        <v>17509</v>
      </c>
      <c r="Z919" t="s">
        <v>17510</v>
      </c>
      <c r="AA919" t="s">
        <v>17511</v>
      </c>
      <c r="AB919" t="s">
        <v>17512</v>
      </c>
      <c r="AC919" t="s">
        <v>74</v>
      </c>
      <c r="AD919" t="s">
        <v>74</v>
      </c>
      <c r="AE919" t="s">
        <v>74</v>
      </c>
      <c r="AF919" t="s">
        <v>74</v>
      </c>
      <c r="AG919">
        <v>17</v>
      </c>
      <c r="AH919">
        <v>2</v>
      </c>
      <c r="AI919">
        <v>2</v>
      </c>
      <c r="AJ919">
        <v>0</v>
      </c>
      <c r="AK919">
        <v>0</v>
      </c>
      <c r="AL919" t="s">
        <v>17086</v>
      </c>
      <c r="AM919" t="s">
        <v>607</v>
      </c>
      <c r="AN919" t="s">
        <v>17105</v>
      </c>
      <c r="AO919" t="s">
        <v>17513</v>
      </c>
      <c r="AP919" t="s">
        <v>74</v>
      </c>
      <c r="AQ919" t="s">
        <v>17514</v>
      </c>
      <c r="AR919" t="s">
        <v>17515</v>
      </c>
      <c r="AS919" t="s">
        <v>74</v>
      </c>
      <c r="AT919" t="s">
        <v>74</v>
      </c>
      <c r="AU919">
        <v>2019</v>
      </c>
      <c r="AV919" t="s">
        <v>74</v>
      </c>
      <c r="AW919" t="s">
        <v>74</v>
      </c>
      <c r="AX919" t="s">
        <v>74</v>
      </c>
      <c r="AY919" t="s">
        <v>74</v>
      </c>
      <c r="AZ919" t="s">
        <v>74</v>
      </c>
      <c r="BA919" t="s">
        <v>74</v>
      </c>
      <c r="BB919">
        <v>661</v>
      </c>
      <c r="BC919">
        <v>665</v>
      </c>
      <c r="BD919" t="s">
        <v>74</v>
      </c>
      <c r="BE919" t="s">
        <v>17516</v>
      </c>
      <c r="BF919" t="str">
        <f>HYPERLINK("http://dx.doi.org/10.1109/caol46282.2019.9019500","http://dx.doi.org/10.1109/caol46282.2019.9019500")</f>
        <v>http://dx.doi.org/10.1109/caol46282.2019.9019500</v>
      </c>
      <c r="BG919" t="s">
        <v>74</v>
      </c>
      <c r="BH919" t="s">
        <v>74</v>
      </c>
      <c r="BI919">
        <v>5</v>
      </c>
      <c r="BJ919" t="s">
        <v>17517</v>
      </c>
      <c r="BK919" t="s">
        <v>17108</v>
      </c>
      <c r="BL919" t="s">
        <v>17518</v>
      </c>
      <c r="BM919" t="s">
        <v>17519</v>
      </c>
      <c r="BN919" t="s">
        <v>74</v>
      </c>
      <c r="BO919" t="s">
        <v>403</v>
      </c>
      <c r="BP919" t="s">
        <v>74</v>
      </c>
      <c r="BQ919" t="s">
        <v>74</v>
      </c>
      <c r="BR919" t="s">
        <v>107</v>
      </c>
      <c r="BS919" t="s">
        <v>17520</v>
      </c>
      <c r="BT919" t="str">
        <f>HYPERLINK("https%3A%2F%2Fwww.webofscience.com%2Fwos%2Fwoscc%2Ffull-record%2FWOS:000550774400150","View Full Record in Web of Science")</f>
        <v>View Full Record in Web of Science</v>
      </c>
    </row>
    <row r="920" spans="1:72" x14ac:dyDescent="0.15">
      <c r="A920" t="s">
        <v>17084</v>
      </c>
      <c r="B920" t="s">
        <v>17521</v>
      </c>
      <c r="C920" t="s">
        <v>74</v>
      </c>
      <c r="D920" t="s">
        <v>17497</v>
      </c>
      <c r="E920" t="s">
        <v>74</v>
      </c>
      <c r="F920" t="s">
        <v>17522</v>
      </c>
      <c r="G920" t="s">
        <v>74</v>
      </c>
      <c r="H920" t="s">
        <v>74</v>
      </c>
      <c r="I920" t="s">
        <v>17523</v>
      </c>
      <c r="J920" t="s">
        <v>17500</v>
      </c>
      <c r="K920" t="s">
        <v>17501</v>
      </c>
      <c r="L920" t="s">
        <v>74</v>
      </c>
      <c r="M920" t="s">
        <v>78</v>
      </c>
      <c r="N920" t="s">
        <v>17090</v>
      </c>
      <c r="O920" t="s">
        <v>17502</v>
      </c>
      <c r="P920" t="s">
        <v>17503</v>
      </c>
      <c r="Q920" t="s">
        <v>17504</v>
      </c>
      <c r="R920" t="s">
        <v>74</v>
      </c>
      <c r="S920" t="s">
        <v>74</v>
      </c>
      <c r="T920" t="s">
        <v>17524</v>
      </c>
      <c r="U920" t="s">
        <v>74</v>
      </c>
      <c r="V920" t="s">
        <v>17525</v>
      </c>
      <c r="W920" t="s">
        <v>17526</v>
      </c>
      <c r="X920" t="s">
        <v>17508</v>
      </c>
      <c r="Y920" t="s">
        <v>17527</v>
      </c>
      <c r="Z920" t="s">
        <v>17528</v>
      </c>
      <c r="AA920" t="s">
        <v>74</v>
      </c>
      <c r="AB920" t="s">
        <v>17529</v>
      </c>
      <c r="AC920" t="s">
        <v>74</v>
      </c>
      <c r="AD920" t="s">
        <v>74</v>
      </c>
      <c r="AE920" t="s">
        <v>74</v>
      </c>
      <c r="AF920" t="s">
        <v>74</v>
      </c>
      <c r="AG920">
        <v>15</v>
      </c>
      <c r="AH920">
        <v>0</v>
      </c>
      <c r="AI920">
        <v>0</v>
      </c>
      <c r="AJ920">
        <v>0</v>
      </c>
      <c r="AK920">
        <v>0</v>
      </c>
      <c r="AL920" t="s">
        <v>17086</v>
      </c>
      <c r="AM920" t="s">
        <v>607</v>
      </c>
      <c r="AN920" t="s">
        <v>17105</v>
      </c>
      <c r="AO920" t="s">
        <v>17513</v>
      </c>
      <c r="AP920" t="s">
        <v>74</v>
      </c>
      <c r="AQ920" t="s">
        <v>17514</v>
      </c>
      <c r="AR920" t="s">
        <v>17515</v>
      </c>
      <c r="AS920" t="s">
        <v>74</v>
      </c>
      <c r="AT920" t="s">
        <v>74</v>
      </c>
      <c r="AU920">
        <v>2019</v>
      </c>
      <c r="AV920" t="s">
        <v>74</v>
      </c>
      <c r="AW920" t="s">
        <v>74</v>
      </c>
      <c r="AX920" t="s">
        <v>74</v>
      </c>
      <c r="AY920" t="s">
        <v>74</v>
      </c>
      <c r="AZ920" t="s">
        <v>74</v>
      </c>
      <c r="BA920" t="s">
        <v>74</v>
      </c>
      <c r="BB920">
        <v>728</v>
      </c>
      <c r="BC920">
        <v>731</v>
      </c>
      <c r="BD920" t="s">
        <v>74</v>
      </c>
      <c r="BE920" t="s">
        <v>17530</v>
      </c>
      <c r="BF920" t="str">
        <f>HYPERLINK("http://dx.doi.org/10.1109/caol46282.2019.9019580","http://dx.doi.org/10.1109/caol46282.2019.9019580")</f>
        <v>http://dx.doi.org/10.1109/caol46282.2019.9019580</v>
      </c>
      <c r="BG920" t="s">
        <v>74</v>
      </c>
      <c r="BH920" t="s">
        <v>74</v>
      </c>
      <c r="BI920">
        <v>4</v>
      </c>
      <c r="BJ920" t="s">
        <v>17517</v>
      </c>
      <c r="BK920" t="s">
        <v>17108</v>
      </c>
      <c r="BL920" t="s">
        <v>17518</v>
      </c>
      <c r="BM920" t="s">
        <v>17519</v>
      </c>
      <c r="BN920" t="s">
        <v>74</v>
      </c>
      <c r="BO920" t="s">
        <v>403</v>
      </c>
      <c r="BP920" t="s">
        <v>74</v>
      </c>
      <c r="BQ920" t="s">
        <v>74</v>
      </c>
      <c r="BR920" t="s">
        <v>107</v>
      </c>
      <c r="BS920" t="s">
        <v>17531</v>
      </c>
      <c r="BT920" t="str">
        <f>HYPERLINK("https%3A%2F%2Fwww.webofscience.com%2Fwos%2Fwoscc%2Ffull-record%2FWOS:000550774400166","View Full Record in Web of Science")</f>
        <v>View Full Record in Web of Science</v>
      </c>
    </row>
    <row r="921" spans="1:72" x14ac:dyDescent="0.15">
      <c r="A921" t="s">
        <v>17084</v>
      </c>
      <c r="B921" t="s">
        <v>17532</v>
      </c>
      <c r="C921" t="s">
        <v>74</v>
      </c>
      <c r="D921" t="s">
        <v>74</v>
      </c>
      <c r="E921" t="s">
        <v>17086</v>
      </c>
      <c r="F921" t="s">
        <v>17533</v>
      </c>
      <c r="G921" t="s">
        <v>74</v>
      </c>
      <c r="H921" t="s">
        <v>74</v>
      </c>
      <c r="I921" t="s">
        <v>17534</v>
      </c>
      <c r="J921" t="s">
        <v>17535</v>
      </c>
      <c r="K921" t="s">
        <v>17273</v>
      </c>
      <c r="L921" t="s">
        <v>74</v>
      </c>
      <c r="M921" t="s">
        <v>78</v>
      </c>
      <c r="N921" t="s">
        <v>17090</v>
      </c>
      <c r="O921" t="s">
        <v>17536</v>
      </c>
      <c r="P921" t="s">
        <v>17537</v>
      </c>
      <c r="Q921" t="s">
        <v>17538</v>
      </c>
      <c r="R921" t="s">
        <v>74</v>
      </c>
      <c r="S921" t="s">
        <v>74</v>
      </c>
      <c r="T921" t="s">
        <v>74</v>
      </c>
      <c r="U921" t="s">
        <v>17539</v>
      </c>
      <c r="V921" t="s">
        <v>17540</v>
      </c>
      <c r="W921" t="s">
        <v>17541</v>
      </c>
      <c r="X921" t="s">
        <v>17542</v>
      </c>
      <c r="Y921" t="s">
        <v>17543</v>
      </c>
      <c r="Z921" t="s">
        <v>74</v>
      </c>
      <c r="AA921" t="s">
        <v>17544</v>
      </c>
      <c r="AB921" t="s">
        <v>17545</v>
      </c>
      <c r="AC921" t="s">
        <v>74</v>
      </c>
      <c r="AD921" t="s">
        <v>74</v>
      </c>
      <c r="AE921" t="s">
        <v>74</v>
      </c>
      <c r="AF921" t="s">
        <v>74</v>
      </c>
      <c r="AG921">
        <v>10</v>
      </c>
      <c r="AH921">
        <v>1</v>
      </c>
      <c r="AI921">
        <v>1</v>
      </c>
      <c r="AJ921">
        <v>0</v>
      </c>
      <c r="AK921">
        <v>0</v>
      </c>
      <c r="AL921" t="s">
        <v>17086</v>
      </c>
      <c r="AM921" t="s">
        <v>607</v>
      </c>
      <c r="AN921" t="s">
        <v>17105</v>
      </c>
      <c r="AO921" t="s">
        <v>17286</v>
      </c>
      <c r="AP921" t="s">
        <v>74</v>
      </c>
      <c r="AQ921" t="s">
        <v>17546</v>
      </c>
      <c r="AR921" t="s">
        <v>17288</v>
      </c>
      <c r="AS921" t="s">
        <v>74</v>
      </c>
      <c r="AT921" t="s">
        <v>74</v>
      </c>
      <c r="AU921">
        <v>2019</v>
      </c>
      <c r="AV921" t="s">
        <v>74</v>
      </c>
      <c r="AW921" t="s">
        <v>74</v>
      </c>
      <c r="AX921" t="s">
        <v>74</v>
      </c>
      <c r="AY921" t="s">
        <v>74</v>
      </c>
      <c r="AZ921" t="s">
        <v>74</v>
      </c>
      <c r="BA921" t="s">
        <v>74</v>
      </c>
      <c r="BB921">
        <v>2193</v>
      </c>
      <c r="BC921">
        <v>2197</v>
      </c>
      <c r="BD921" t="s">
        <v>74</v>
      </c>
      <c r="BE921" t="s">
        <v>17547</v>
      </c>
      <c r="BF921" t="str">
        <f>HYPERLINK("http://dx.doi.org/10.1109/piers-spring46901.2019.9017272","http://dx.doi.org/10.1109/piers-spring46901.2019.9017272")</f>
        <v>http://dx.doi.org/10.1109/piers-spring46901.2019.9017272</v>
      </c>
      <c r="BG921" t="s">
        <v>74</v>
      </c>
      <c r="BH921" t="s">
        <v>74</v>
      </c>
      <c r="BI921">
        <v>5</v>
      </c>
      <c r="BJ921" t="s">
        <v>17517</v>
      </c>
      <c r="BK921" t="s">
        <v>17108</v>
      </c>
      <c r="BL921" t="s">
        <v>17518</v>
      </c>
      <c r="BM921" t="s">
        <v>17548</v>
      </c>
      <c r="BN921" t="s">
        <v>74</v>
      </c>
      <c r="BO921" t="s">
        <v>74</v>
      </c>
      <c r="BP921" t="s">
        <v>74</v>
      </c>
      <c r="BQ921" t="s">
        <v>74</v>
      </c>
      <c r="BR921" t="s">
        <v>107</v>
      </c>
      <c r="BS921" t="s">
        <v>17549</v>
      </c>
      <c r="BT921" t="str">
        <f>HYPERLINK("https%3A%2F%2Fwww.webofscience.com%2Fwos%2Fwoscc%2Ffull-record%2FWOS:000550769302034","View Full Record in Web of Science")</f>
        <v>View Full Record in Web of Science</v>
      </c>
    </row>
    <row r="922" spans="1:72" x14ac:dyDescent="0.15">
      <c r="A922" t="s">
        <v>17084</v>
      </c>
      <c r="B922" t="s">
        <v>17550</v>
      </c>
      <c r="C922" t="s">
        <v>74</v>
      </c>
      <c r="D922" t="s">
        <v>74</v>
      </c>
      <c r="E922" t="s">
        <v>17086</v>
      </c>
      <c r="F922" t="s">
        <v>17551</v>
      </c>
      <c r="G922" t="s">
        <v>74</v>
      </c>
      <c r="H922" t="s">
        <v>74</v>
      </c>
      <c r="I922" t="s">
        <v>17552</v>
      </c>
      <c r="J922" t="s">
        <v>17535</v>
      </c>
      <c r="K922" t="s">
        <v>17273</v>
      </c>
      <c r="L922" t="s">
        <v>74</v>
      </c>
      <c r="M922" t="s">
        <v>78</v>
      </c>
      <c r="N922" t="s">
        <v>17090</v>
      </c>
      <c r="O922" t="s">
        <v>17536</v>
      </c>
      <c r="P922" t="s">
        <v>17537</v>
      </c>
      <c r="Q922" t="s">
        <v>17538</v>
      </c>
      <c r="R922" t="s">
        <v>74</v>
      </c>
      <c r="S922" t="s">
        <v>74</v>
      </c>
      <c r="T922" t="s">
        <v>74</v>
      </c>
      <c r="U922" t="s">
        <v>17553</v>
      </c>
      <c r="V922" t="s">
        <v>17554</v>
      </c>
      <c r="W922" t="s">
        <v>17555</v>
      </c>
      <c r="X922" t="s">
        <v>17556</v>
      </c>
      <c r="Y922" t="s">
        <v>17557</v>
      </c>
      <c r="Z922" t="s">
        <v>74</v>
      </c>
      <c r="AA922" t="s">
        <v>17558</v>
      </c>
      <c r="AB922" t="s">
        <v>17559</v>
      </c>
      <c r="AC922" t="s">
        <v>17560</v>
      </c>
      <c r="AD922" t="s">
        <v>8160</v>
      </c>
      <c r="AE922" t="s">
        <v>17561</v>
      </c>
      <c r="AF922" t="s">
        <v>74</v>
      </c>
      <c r="AG922">
        <v>12</v>
      </c>
      <c r="AH922">
        <v>1</v>
      </c>
      <c r="AI922">
        <v>1</v>
      </c>
      <c r="AJ922">
        <v>0</v>
      </c>
      <c r="AK922">
        <v>1</v>
      </c>
      <c r="AL922" t="s">
        <v>17086</v>
      </c>
      <c r="AM922" t="s">
        <v>607</v>
      </c>
      <c r="AN922" t="s">
        <v>17105</v>
      </c>
      <c r="AO922" t="s">
        <v>17286</v>
      </c>
      <c r="AP922" t="s">
        <v>74</v>
      </c>
      <c r="AQ922" t="s">
        <v>17546</v>
      </c>
      <c r="AR922" t="s">
        <v>17288</v>
      </c>
      <c r="AS922" t="s">
        <v>74</v>
      </c>
      <c r="AT922" t="s">
        <v>74</v>
      </c>
      <c r="AU922">
        <v>2019</v>
      </c>
      <c r="AV922" t="s">
        <v>74</v>
      </c>
      <c r="AW922" t="s">
        <v>74</v>
      </c>
      <c r="AX922" t="s">
        <v>74</v>
      </c>
      <c r="AY922" t="s">
        <v>74</v>
      </c>
      <c r="AZ922" t="s">
        <v>74</v>
      </c>
      <c r="BA922" t="s">
        <v>74</v>
      </c>
      <c r="BB922">
        <v>3910</v>
      </c>
      <c r="BC922">
        <v>3914</v>
      </c>
      <c r="BD922" t="s">
        <v>74</v>
      </c>
      <c r="BE922" t="s">
        <v>17562</v>
      </c>
      <c r="BF922" t="str">
        <f>HYPERLINK("http://dx.doi.org/10.1109/piers-spring46901.2019.9017330","http://dx.doi.org/10.1109/piers-spring46901.2019.9017330")</f>
        <v>http://dx.doi.org/10.1109/piers-spring46901.2019.9017330</v>
      </c>
      <c r="BG922" t="s">
        <v>74</v>
      </c>
      <c r="BH922" t="s">
        <v>74</v>
      </c>
      <c r="BI922">
        <v>5</v>
      </c>
      <c r="BJ922" t="s">
        <v>17517</v>
      </c>
      <c r="BK922" t="s">
        <v>17108</v>
      </c>
      <c r="BL922" t="s">
        <v>17518</v>
      </c>
      <c r="BM922" t="s">
        <v>17548</v>
      </c>
      <c r="BN922" t="s">
        <v>74</v>
      </c>
      <c r="BO922" t="s">
        <v>74</v>
      </c>
      <c r="BP922" t="s">
        <v>74</v>
      </c>
      <c r="BQ922" t="s">
        <v>74</v>
      </c>
      <c r="BR922" t="s">
        <v>107</v>
      </c>
      <c r="BS922" t="s">
        <v>17563</v>
      </c>
      <c r="BT922" t="str">
        <f>HYPERLINK("https%3A%2F%2Fwww.webofscience.com%2Fwos%2Fwoscc%2Ffull-record%2FWOS:000550769303154","View Full Record in Web of Science")</f>
        <v>View Full Record in Web of Science</v>
      </c>
    </row>
    <row r="923" spans="1:72" x14ac:dyDescent="0.15">
      <c r="A923" t="s">
        <v>17084</v>
      </c>
      <c r="B923" t="s">
        <v>17564</v>
      </c>
      <c r="C923" t="s">
        <v>74</v>
      </c>
      <c r="D923" t="s">
        <v>74</v>
      </c>
      <c r="E923" t="s">
        <v>17086</v>
      </c>
      <c r="F923" t="s">
        <v>17565</v>
      </c>
      <c r="G923" t="s">
        <v>74</v>
      </c>
      <c r="H923" t="s">
        <v>74</v>
      </c>
      <c r="I923" t="s">
        <v>17566</v>
      </c>
      <c r="J923" t="s">
        <v>17567</v>
      </c>
      <c r="K923" t="s">
        <v>74</v>
      </c>
      <c r="L923" t="s">
        <v>74</v>
      </c>
      <c r="M923" t="s">
        <v>78</v>
      </c>
      <c r="N923" t="s">
        <v>17090</v>
      </c>
      <c r="O923" t="s">
        <v>17568</v>
      </c>
      <c r="P923" t="s">
        <v>17569</v>
      </c>
      <c r="Q923" t="s">
        <v>17570</v>
      </c>
      <c r="R923" t="s">
        <v>74</v>
      </c>
      <c r="S923" t="s">
        <v>74</v>
      </c>
      <c r="T923" t="s">
        <v>17571</v>
      </c>
      <c r="U923" t="s">
        <v>17572</v>
      </c>
      <c r="V923" t="s">
        <v>17573</v>
      </c>
      <c r="W923" t="s">
        <v>17574</v>
      </c>
      <c r="X923" t="s">
        <v>17575</v>
      </c>
      <c r="Y923" t="s">
        <v>17576</v>
      </c>
      <c r="Z923" t="s">
        <v>17577</v>
      </c>
      <c r="AA923" t="s">
        <v>74</v>
      </c>
      <c r="AB923" t="s">
        <v>74</v>
      </c>
      <c r="AC923" t="s">
        <v>17578</v>
      </c>
      <c r="AD923" t="s">
        <v>17579</v>
      </c>
      <c r="AE923" t="s">
        <v>17580</v>
      </c>
      <c r="AF923" t="s">
        <v>74</v>
      </c>
      <c r="AG923">
        <v>20</v>
      </c>
      <c r="AH923">
        <v>0</v>
      </c>
      <c r="AI923">
        <v>0</v>
      </c>
      <c r="AJ923">
        <v>0</v>
      </c>
      <c r="AK923">
        <v>0</v>
      </c>
      <c r="AL923" t="s">
        <v>17086</v>
      </c>
      <c r="AM923" t="s">
        <v>607</v>
      </c>
      <c r="AN923" t="s">
        <v>17105</v>
      </c>
      <c r="AO923" t="s">
        <v>74</v>
      </c>
      <c r="AP923" t="s">
        <v>74</v>
      </c>
      <c r="AQ923" t="s">
        <v>17581</v>
      </c>
      <c r="AR923" t="s">
        <v>74</v>
      </c>
      <c r="AS923" t="s">
        <v>74</v>
      </c>
      <c r="AT923" t="s">
        <v>74</v>
      </c>
      <c r="AU923">
        <v>2019</v>
      </c>
      <c r="AV923" t="s">
        <v>74</v>
      </c>
      <c r="AW923" t="s">
        <v>74</v>
      </c>
      <c r="AX923" t="s">
        <v>74</v>
      </c>
      <c r="AY923" t="s">
        <v>74</v>
      </c>
      <c r="AZ923" t="s">
        <v>74</v>
      </c>
      <c r="BA923" t="s">
        <v>74</v>
      </c>
      <c r="BB923">
        <v>196</v>
      </c>
      <c r="BC923">
        <v>201</v>
      </c>
      <c r="BD923" t="s">
        <v>74</v>
      </c>
      <c r="BE923" t="s">
        <v>17582</v>
      </c>
      <c r="BF923" t="str">
        <f>HYPERLINK("http://dx.doi.org/10.1109/iceaa.2019.8879361","http://dx.doi.org/10.1109/iceaa.2019.8879361")</f>
        <v>http://dx.doi.org/10.1109/iceaa.2019.8879361</v>
      </c>
      <c r="BG923" t="s">
        <v>74</v>
      </c>
      <c r="BH923" t="s">
        <v>74</v>
      </c>
      <c r="BI923">
        <v>6</v>
      </c>
      <c r="BJ923" t="s">
        <v>17583</v>
      </c>
      <c r="BK923" t="s">
        <v>17108</v>
      </c>
      <c r="BL923" t="s">
        <v>12769</v>
      </c>
      <c r="BM923" t="s">
        <v>17584</v>
      </c>
      <c r="BN923" t="s">
        <v>74</v>
      </c>
      <c r="BO923" t="s">
        <v>74</v>
      </c>
      <c r="BP923" t="s">
        <v>74</v>
      </c>
      <c r="BQ923" t="s">
        <v>74</v>
      </c>
      <c r="BR923" t="s">
        <v>107</v>
      </c>
      <c r="BS923" t="s">
        <v>17585</v>
      </c>
      <c r="BT923" t="str">
        <f>HYPERLINK("https%3A%2F%2Fwww.webofscience.com%2Fwos%2Fwoscc%2Ffull-record%2FWOS:000551337100057","View Full Record in Web of Science")</f>
        <v>View Full Record in Web of Science</v>
      </c>
    </row>
    <row r="924" spans="1:72" x14ac:dyDescent="0.15">
      <c r="A924" t="s">
        <v>17084</v>
      </c>
      <c r="B924" t="s">
        <v>17586</v>
      </c>
      <c r="C924" t="s">
        <v>74</v>
      </c>
      <c r="D924" t="s">
        <v>74</v>
      </c>
      <c r="E924" t="s">
        <v>17086</v>
      </c>
      <c r="F924" t="s">
        <v>17587</v>
      </c>
      <c r="G924" t="s">
        <v>74</v>
      </c>
      <c r="H924" t="s">
        <v>74</v>
      </c>
      <c r="I924" t="s">
        <v>17588</v>
      </c>
      <c r="J924" t="s">
        <v>17589</v>
      </c>
      <c r="K924" t="s">
        <v>74</v>
      </c>
      <c r="L924" t="s">
        <v>74</v>
      </c>
      <c r="M924" t="s">
        <v>78</v>
      </c>
      <c r="N924" t="s">
        <v>17090</v>
      </c>
      <c r="O924" t="s">
        <v>17590</v>
      </c>
      <c r="P924" t="s">
        <v>17591</v>
      </c>
      <c r="Q924" t="s">
        <v>17592</v>
      </c>
      <c r="R924" t="s">
        <v>74</v>
      </c>
      <c r="S924" t="s">
        <v>74</v>
      </c>
      <c r="T924" t="s">
        <v>17593</v>
      </c>
      <c r="U924" t="s">
        <v>17594</v>
      </c>
      <c r="V924" t="s">
        <v>17595</v>
      </c>
      <c r="W924" t="s">
        <v>17596</v>
      </c>
      <c r="X924" t="s">
        <v>17597</v>
      </c>
      <c r="Y924" t="s">
        <v>17598</v>
      </c>
      <c r="Z924" t="s">
        <v>74</v>
      </c>
      <c r="AA924" t="s">
        <v>17599</v>
      </c>
      <c r="AB924" t="s">
        <v>17600</v>
      </c>
      <c r="AC924" t="s">
        <v>17601</v>
      </c>
      <c r="AD924" t="s">
        <v>17602</v>
      </c>
      <c r="AE924" t="s">
        <v>17603</v>
      </c>
      <c r="AF924" t="s">
        <v>74</v>
      </c>
      <c r="AG924">
        <v>15</v>
      </c>
      <c r="AH924">
        <v>0</v>
      </c>
      <c r="AI924">
        <v>0</v>
      </c>
      <c r="AJ924">
        <v>0</v>
      </c>
      <c r="AK924">
        <v>0</v>
      </c>
      <c r="AL924" t="s">
        <v>17086</v>
      </c>
      <c r="AM924" t="s">
        <v>607</v>
      </c>
      <c r="AN924" t="s">
        <v>17105</v>
      </c>
      <c r="AO924" t="s">
        <v>74</v>
      </c>
      <c r="AP924" t="s">
        <v>74</v>
      </c>
      <c r="AQ924" t="s">
        <v>17604</v>
      </c>
      <c r="AR924" t="s">
        <v>74</v>
      </c>
      <c r="AS924" t="s">
        <v>74</v>
      </c>
      <c r="AT924" t="s">
        <v>74</v>
      </c>
      <c r="AU924">
        <v>2019</v>
      </c>
      <c r="AV924" t="s">
        <v>74</v>
      </c>
      <c r="AW924" t="s">
        <v>74</v>
      </c>
      <c r="AX924" t="s">
        <v>74</v>
      </c>
      <c r="AY924" t="s">
        <v>74</v>
      </c>
      <c r="AZ924" t="s">
        <v>74</v>
      </c>
      <c r="BA924" t="s">
        <v>74</v>
      </c>
      <c r="BB924" t="s">
        <v>74</v>
      </c>
      <c r="BC924" t="s">
        <v>74</v>
      </c>
      <c r="BD924" t="s">
        <v>74</v>
      </c>
      <c r="BE924" t="s">
        <v>17605</v>
      </c>
      <c r="BF924" t="str">
        <f>HYPERLINK("http://dx.doi.org/10.1109/chilecon47746.2019.8988065","http://dx.doi.org/10.1109/chilecon47746.2019.8988065")</f>
        <v>http://dx.doi.org/10.1109/chilecon47746.2019.8988065</v>
      </c>
      <c r="BG924" t="s">
        <v>74</v>
      </c>
      <c r="BH924" t="s">
        <v>74</v>
      </c>
      <c r="BI924">
        <v>5</v>
      </c>
      <c r="BJ924" t="s">
        <v>17606</v>
      </c>
      <c r="BK924" t="s">
        <v>17108</v>
      </c>
      <c r="BL924" t="s">
        <v>17607</v>
      </c>
      <c r="BM924" t="s">
        <v>17608</v>
      </c>
      <c r="BN924" t="s">
        <v>74</v>
      </c>
      <c r="BO924" t="s">
        <v>74</v>
      </c>
      <c r="BP924" t="s">
        <v>74</v>
      </c>
      <c r="BQ924" t="s">
        <v>74</v>
      </c>
      <c r="BR924" t="s">
        <v>107</v>
      </c>
      <c r="BS924" t="s">
        <v>17609</v>
      </c>
      <c r="BT924" t="str">
        <f>HYPERLINK("https%3A%2F%2Fwww.webofscience.com%2Fwos%2Fwoscc%2Ffull-record%2FWOS:000542919100168","View Full Record in Web of Science")</f>
        <v>View Full Record in Web of Science</v>
      </c>
    </row>
    <row r="925" spans="1:72" x14ac:dyDescent="0.15">
      <c r="A925" t="s">
        <v>17084</v>
      </c>
      <c r="B925" t="s">
        <v>17610</v>
      </c>
      <c r="C925" t="s">
        <v>74</v>
      </c>
      <c r="D925" t="s">
        <v>74</v>
      </c>
      <c r="E925" t="s">
        <v>17217</v>
      </c>
      <c r="F925" t="s">
        <v>17611</v>
      </c>
      <c r="G925" t="s">
        <v>74</v>
      </c>
      <c r="H925" t="s">
        <v>74</v>
      </c>
      <c r="I925" t="s">
        <v>17612</v>
      </c>
      <c r="J925" t="s">
        <v>17613</v>
      </c>
      <c r="K925" t="s">
        <v>17614</v>
      </c>
      <c r="L925" t="s">
        <v>74</v>
      </c>
      <c r="M925" t="s">
        <v>78</v>
      </c>
      <c r="N925" t="s">
        <v>17090</v>
      </c>
      <c r="O925" t="s">
        <v>17615</v>
      </c>
      <c r="P925" t="s">
        <v>17616</v>
      </c>
      <c r="Q925" t="s">
        <v>17617</v>
      </c>
      <c r="R925" t="s">
        <v>74</v>
      </c>
      <c r="S925" t="s">
        <v>74</v>
      </c>
      <c r="T925" t="s">
        <v>74</v>
      </c>
      <c r="U925" t="s">
        <v>9384</v>
      </c>
      <c r="V925" t="s">
        <v>17618</v>
      </c>
      <c r="W925" t="s">
        <v>17619</v>
      </c>
      <c r="X925" t="s">
        <v>17228</v>
      </c>
      <c r="Y925" t="s">
        <v>17620</v>
      </c>
      <c r="Z925" t="s">
        <v>74</v>
      </c>
      <c r="AA925" t="s">
        <v>17621</v>
      </c>
      <c r="AB925" t="s">
        <v>17622</v>
      </c>
      <c r="AC925" t="s">
        <v>17232</v>
      </c>
      <c r="AD925" t="s">
        <v>17233</v>
      </c>
      <c r="AE925" t="s">
        <v>17234</v>
      </c>
      <c r="AF925" t="s">
        <v>74</v>
      </c>
      <c r="AG925">
        <v>29</v>
      </c>
      <c r="AH925">
        <v>2</v>
      </c>
      <c r="AI925">
        <v>2</v>
      </c>
      <c r="AJ925">
        <v>1</v>
      </c>
      <c r="AK925">
        <v>4</v>
      </c>
      <c r="AL925" t="s">
        <v>17235</v>
      </c>
      <c r="AM925" t="s">
        <v>126</v>
      </c>
      <c r="AN925" t="s">
        <v>17236</v>
      </c>
      <c r="AO925" t="s">
        <v>17623</v>
      </c>
      <c r="AP925" t="s">
        <v>17624</v>
      </c>
      <c r="AQ925" t="s">
        <v>17625</v>
      </c>
      <c r="AR925" t="s">
        <v>17626</v>
      </c>
      <c r="AS925" t="s">
        <v>74</v>
      </c>
      <c r="AT925" t="s">
        <v>74</v>
      </c>
      <c r="AU925">
        <v>2019</v>
      </c>
      <c r="AV925" t="s">
        <v>74</v>
      </c>
      <c r="AW925" t="s">
        <v>74</v>
      </c>
      <c r="AX925" t="s">
        <v>74</v>
      </c>
      <c r="AY925" t="s">
        <v>74</v>
      </c>
      <c r="AZ925" t="s">
        <v>74</v>
      </c>
      <c r="BA925" t="s">
        <v>74</v>
      </c>
      <c r="BB925">
        <v>632</v>
      </c>
      <c r="BC925">
        <v>646</v>
      </c>
      <c r="BD925">
        <v>16677</v>
      </c>
      <c r="BE925" t="s">
        <v>17627</v>
      </c>
      <c r="BF925" t="str">
        <f>HYPERLINK("http://dx.doi.org/10.33012/2019.16677","http://dx.doi.org/10.33012/2019.16677")</f>
        <v>http://dx.doi.org/10.33012/2019.16677</v>
      </c>
      <c r="BG925" t="s">
        <v>74</v>
      </c>
      <c r="BH925" t="s">
        <v>74</v>
      </c>
      <c r="BI925">
        <v>15</v>
      </c>
      <c r="BJ925" t="s">
        <v>17241</v>
      </c>
      <c r="BK925" t="s">
        <v>17108</v>
      </c>
      <c r="BL925" t="s">
        <v>17241</v>
      </c>
      <c r="BM925" t="s">
        <v>17628</v>
      </c>
      <c r="BN925" t="s">
        <v>74</v>
      </c>
      <c r="BO925" t="s">
        <v>74</v>
      </c>
      <c r="BP925" t="s">
        <v>74</v>
      </c>
      <c r="BQ925" t="s">
        <v>74</v>
      </c>
      <c r="BR925" t="s">
        <v>107</v>
      </c>
      <c r="BS925" t="s">
        <v>17629</v>
      </c>
      <c r="BT925" t="str">
        <f>HYPERLINK("https%3A%2F%2Fwww.webofscience.com%2Fwos%2Fwoscc%2Ffull-record%2FWOS:000542920400048","View Full Record in Web of Science")</f>
        <v>View Full Record in Web of Science</v>
      </c>
    </row>
    <row r="926" spans="1:72" x14ac:dyDescent="0.15">
      <c r="A926" t="s">
        <v>16897</v>
      </c>
      <c r="B926" t="s">
        <v>17630</v>
      </c>
      <c r="C926" t="s">
        <v>74</v>
      </c>
      <c r="D926" t="s">
        <v>17631</v>
      </c>
      <c r="E926" t="s">
        <v>74</v>
      </c>
      <c r="F926" t="s">
        <v>17632</v>
      </c>
      <c r="G926" t="s">
        <v>74</v>
      </c>
      <c r="H926" t="s">
        <v>74</v>
      </c>
      <c r="I926" t="s">
        <v>17633</v>
      </c>
      <c r="J926" t="s">
        <v>17634</v>
      </c>
      <c r="K926" t="s">
        <v>17635</v>
      </c>
      <c r="L926" t="s">
        <v>74</v>
      </c>
      <c r="M926" t="s">
        <v>78</v>
      </c>
      <c r="N926" t="s">
        <v>17065</v>
      </c>
      <c r="O926" t="s">
        <v>74</v>
      </c>
      <c r="P926" t="s">
        <v>74</v>
      </c>
      <c r="Q926" t="s">
        <v>74</v>
      </c>
      <c r="R926" t="s">
        <v>74</v>
      </c>
      <c r="S926" t="s">
        <v>74</v>
      </c>
      <c r="T926" t="s">
        <v>74</v>
      </c>
      <c r="U926" t="s">
        <v>17636</v>
      </c>
      <c r="V926" t="s">
        <v>74</v>
      </c>
      <c r="W926" t="s">
        <v>17637</v>
      </c>
      <c r="X926" t="s">
        <v>17638</v>
      </c>
      <c r="Y926" t="s">
        <v>17639</v>
      </c>
      <c r="Z926" t="s">
        <v>17640</v>
      </c>
      <c r="AA926" t="s">
        <v>17641</v>
      </c>
      <c r="AB926" t="s">
        <v>74</v>
      </c>
      <c r="AC926" t="s">
        <v>74</v>
      </c>
      <c r="AD926" t="s">
        <v>74</v>
      </c>
      <c r="AE926" t="s">
        <v>74</v>
      </c>
      <c r="AF926" t="s">
        <v>74</v>
      </c>
      <c r="AG926">
        <v>165</v>
      </c>
      <c r="AH926">
        <v>4</v>
      </c>
      <c r="AI926">
        <v>4</v>
      </c>
      <c r="AJ926">
        <v>0</v>
      </c>
      <c r="AK926">
        <v>8</v>
      </c>
      <c r="AL926" t="s">
        <v>17642</v>
      </c>
      <c r="AM926" t="s">
        <v>1371</v>
      </c>
      <c r="AN926" t="s">
        <v>17643</v>
      </c>
      <c r="AO926" t="s">
        <v>17644</v>
      </c>
      <c r="AP926" t="s">
        <v>74</v>
      </c>
      <c r="AQ926" t="s">
        <v>17645</v>
      </c>
      <c r="AR926" t="s">
        <v>17646</v>
      </c>
      <c r="AS926" t="s">
        <v>74</v>
      </c>
      <c r="AT926" t="s">
        <v>74</v>
      </c>
      <c r="AU926">
        <v>2019</v>
      </c>
      <c r="AV926" t="s">
        <v>74</v>
      </c>
      <c r="AW926" t="s">
        <v>74</v>
      </c>
      <c r="AX926" t="s">
        <v>74</v>
      </c>
      <c r="AY926" t="s">
        <v>74</v>
      </c>
      <c r="AZ926" t="s">
        <v>74</v>
      </c>
      <c r="BA926" t="s">
        <v>74</v>
      </c>
      <c r="BB926">
        <v>111</v>
      </c>
      <c r="BC926">
        <v>161</v>
      </c>
      <c r="BD926" t="s">
        <v>74</v>
      </c>
      <c r="BE926" t="s">
        <v>17647</v>
      </c>
      <c r="BF926" t="str">
        <f>HYPERLINK("http://dx.doi.org/10.1515/9783110489279-006","http://dx.doi.org/10.1515/9783110489279-006")</f>
        <v>http://dx.doi.org/10.1515/9783110489279-006</v>
      </c>
      <c r="BG926" t="s">
        <v>17648</v>
      </c>
      <c r="BH926" t="s">
        <v>74</v>
      </c>
      <c r="BI926">
        <v>51</v>
      </c>
      <c r="BJ926" t="s">
        <v>1674</v>
      </c>
      <c r="BK926" t="s">
        <v>16914</v>
      </c>
      <c r="BL926" t="s">
        <v>1674</v>
      </c>
      <c r="BM926" t="s">
        <v>17649</v>
      </c>
      <c r="BN926" t="s">
        <v>74</v>
      </c>
      <c r="BO926" t="s">
        <v>74</v>
      </c>
      <c r="BP926" t="s">
        <v>74</v>
      </c>
      <c r="BQ926" t="s">
        <v>74</v>
      </c>
      <c r="BR926" t="s">
        <v>107</v>
      </c>
      <c r="BS926" t="s">
        <v>17650</v>
      </c>
      <c r="BT926" t="str">
        <f>HYPERLINK("https%3A%2F%2Fwww.webofscience.com%2Fwos%2Fwoscc%2Ffull-record%2FWOS:000544036800007","View Full Record in Web of Science")</f>
        <v>View Full Record in Web of Science</v>
      </c>
    </row>
    <row r="927" spans="1:72" x14ac:dyDescent="0.15">
      <c r="A927" t="s">
        <v>72</v>
      </c>
      <c r="B927" t="s">
        <v>17651</v>
      </c>
      <c r="C927" t="s">
        <v>74</v>
      </c>
      <c r="D927" t="s">
        <v>74</v>
      </c>
      <c r="E927" t="s">
        <v>74</v>
      </c>
      <c r="F927" t="s">
        <v>17652</v>
      </c>
      <c r="G927" t="s">
        <v>74</v>
      </c>
      <c r="H927" t="s">
        <v>74</v>
      </c>
      <c r="I927" t="s">
        <v>17653</v>
      </c>
      <c r="J927" t="s">
        <v>17654</v>
      </c>
      <c r="K927" t="s">
        <v>74</v>
      </c>
      <c r="L927" t="s">
        <v>74</v>
      </c>
      <c r="M927" t="s">
        <v>78</v>
      </c>
      <c r="N927" t="s">
        <v>79</v>
      </c>
      <c r="O927" t="s">
        <v>74</v>
      </c>
      <c r="P927" t="s">
        <v>74</v>
      </c>
      <c r="Q927" t="s">
        <v>74</v>
      </c>
      <c r="R927" t="s">
        <v>74</v>
      </c>
      <c r="S927" t="s">
        <v>74</v>
      </c>
      <c r="T927" t="s">
        <v>74</v>
      </c>
      <c r="U927" t="s">
        <v>17655</v>
      </c>
      <c r="V927" t="s">
        <v>17656</v>
      </c>
      <c r="W927" t="s">
        <v>17657</v>
      </c>
      <c r="X927" t="s">
        <v>17658</v>
      </c>
      <c r="Y927" t="s">
        <v>17659</v>
      </c>
      <c r="Z927" t="s">
        <v>17660</v>
      </c>
      <c r="AA927" t="s">
        <v>17661</v>
      </c>
      <c r="AB927" t="s">
        <v>17662</v>
      </c>
      <c r="AC927" t="s">
        <v>17663</v>
      </c>
      <c r="AD927" t="s">
        <v>17664</v>
      </c>
      <c r="AE927" t="s">
        <v>17665</v>
      </c>
      <c r="AF927" t="s">
        <v>74</v>
      </c>
      <c r="AG927">
        <v>29</v>
      </c>
      <c r="AH927">
        <v>5</v>
      </c>
      <c r="AI927">
        <v>5</v>
      </c>
      <c r="AJ927">
        <v>0</v>
      </c>
      <c r="AK927">
        <v>6</v>
      </c>
      <c r="AL927" t="s">
        <v>17666</v>
      </c>
      <c r="AM927" t="s">
        <v>17667</v>
      </c>
      <c r="AN927" t="s">
        <v>17668</v>
      </c>
      <c r="AO927" t="s">
        <v>74</v>
      </c>
      <c r="AP927" t="s">
        <v>17669</v>
      </c>
      <c r="AQ927" t="s">
        <v>74</v>
      </c>
      <c r="AR927" t="s">
        <v>17670</v>
      </c>
      <c r="AS927" t="s">
        <v>17671</v>
      </c>
      <c r="AT927" t="s">
        <v>74</v>
      </c>
      <c r="AU927">
        <v>2019</v>
      </c>
      <c r="AV927">
        <v>69</v>
      </c>
      <c r="AW927">
        <v>1</v>
      </c>
      <c r="AX927" t="s">
        <v>74</v>
      </c>
      <c r="AY927" t="s">
        <v>74</v>
      </c>
      <c r="AZ927" t="s">
        <v>74</v>
      </c>
      <c r="BA927" t="s">
        <v>74</v>
      </c>
      <c r="BB927">
        <v>1</v>
      </c>
      <c r="BC927">
        <v>15</v>
      </c>
      <c r="BD927" t="s">
        <v>74</v>
      </c>
      <c r="BE927" t="s">
        <v>17672</v>
      </c>
      <c r="BF927" t="str">
        <f>HYPERLINK("http://dx.doi.org/10.1071/US19023","http://dx.doi.org/10.1071/US19023")</f>
        <v>http://dx.doi.org/10.1071/US19023</v>
      </c>
      <c r="BG927" t="s">
        <v>74</v>
      </c>
      <c r="BH927" t="s">
        <v>74</v>
      </c>
      <c r="BI927">
        <v>15</v>
      </c>
      <c r="BJ927" t="s">
        <v>1696</v>
      </c>
      <c r="BK927" t="s">
        <v>102</v>
      </c>
      <c r="BL927" t="s">
        <v>1696</v>
      </c>
      <c r="BM927" t="s">
        <v>17673</v>
      </c>
      <c r="BN927" t="s">
        <v>74</v>
      </c>
      <c r="BO927" t="s">
        <v>74</v>
      </c>
      <c r="BP927" t="s">
        <v>74</v>
      </c>
      <c r="BQ927" t="s">
        <v>74</v>
      </c>
      <c r="BR927" t="s">
        <v>107</v>
      </c>
      <c r="BS927" t="s">
        <v>17674</v>
      </c>
      <c r="BT927" t="str">
        <f>HYPERLINK("https%3A%2F%2Fwww.webofscience.com%2Fwos%2Fwoscc%2Ffull-record%2FWOS:000541775000002","View Full Record in Web of Science")</f>
        <v>View Full Record in Web of Science</v>
      </c>
    </row>
    <row r="928" spans="1:72" x14ac:dyDescent="0.15">
      <c r="A928" t="s">
        <v>72</v>
      </c>
      <c r="B928" t="s">
        <v>17675</v>
      </c>
      <c r="C928" t="s">
        <v>74</v>
      </c>
      <c r="D928" t="s">
        <v>74</v>
      </c>
      <c r="E928" t="s">
        <v>74</v>
      </c>
      <c r="F928" t="s">
        <v>17676</v>
      </c>
      <c r="G928" t="s">
        <v>74</v>
      </c>
      <c r="H928" t="s">
        <v>74</v>
      </c>
      <c r="I928" t="s">
        <v>17677</v>
      </c>
      <c r="J928" t="s">
        <v>17654</v>
      </c>
      <c r="K928" t="s">
        <v>74</v>
      </c>
      <c r="L928" t="s">
        <v>74</v>
      </c>
      <c r="M928" t="s">
        <v>78</v>
      </c>
      <c r="N928" t="s">
        <v>79</v>
      </c>
      <c r="O928" t="s">
        <v>74</v>
      </c>
      <c r="P928" t="s">
        <v>74</v>
      </c>
      <c r="Q928" t="s">
        <v>74</v>
      </c>
      <c r="R928" t="s">
        <v>74</v>
      </c>
      <c r="S928" t="s">
        <v>74</v>
      </c>
      <c r="T928" t="s">
        <v>74</v>
      </c>
      <c r="U928" t="s">
        <v>17678</v>
      </c>
      <c r="V928" t="s">
        <v>17679</v>
      </c>
      <c r="W928" t="s">
        <v>17680</v>
      </c>
      <c r="X928" t="s">
        <v>17681</v>
      </c>
      <c r="Y928" t="s">
        <v>17682</v>
      </c>
      <c r="Z928" t="s">
        <v>17683</v>
      </c>
      <c r="AA928" t="s">
        <v>17684</v>
      </c>
      <c r="AB928" t="s">
        <v>17685</v>
      </c>
      <c r="AC928" t="s">
        <v>17686</v>
      </c>
      <c r="AD928" t="s">
        <v>17687</v>
      </c>
      <c r="AE928" t="s">
        <v>17688</v>
      </c>
      <c r="AF928" t="s">
        <v>74</v>
      </c>
      <c r="AG928">
        <v>33</v>
      </c>
      <c r="AH928">
        <v>5</v>
      </c>
      <c r="AI928">
        <v>6</v>
      </c>
      <c r="AJ928">
        <v>1</v>
      </c>
      <c r="AK928">
        <v>12</v>
      </c>
      <c r="AL928" t="s">
        <v>17666</v>
      </c>
      <c r="AM928" t="s">
        <v>17667</v>
      </c>
      <c r="AN928" t="s">
        <v>17668</v>
      </c>
      <c r="AO928" t="s">
        <v>74</v>
      </c>
      <c r="AP928" t="s">
        <v>17669</v>
      </c>
      <c r="AQ928" t="s">
        <v>74</v>
      </c>
      <c r="AR928" t="s">
        <v>17670</v>
      </c>
      <c r="AS928" t="s">
        <v>17671</v>
      </c>
      <c r="AT928" t="s">
        <v>74</v>
      </c>
      <c r="AU928">
        <v>2019</v>
      </c>
      <c r="AV928">
        <v>69</v>
      </c>
      <c r="AW928">
        <v>1</v>
      </c>
      <c r="AX928" t="s">
        <v>74</v>
      </c>
      <c r="AY928" t="s">
        <v>74</v>
      </c>
      <c r="AZ928" t="s">
        <v>74</v>
      </c>
      <c r="BA928" t="s">
        <v>74</v>
      </c>
      <c r="BB928">
        <v>16</v>
      </c>
      <c r="BC928">
        <v>28</v>
      </c>
      <c r="BD928" t="s">
        <v>74</v>
      </c>
      <c r="BE928" t="s">
        <v>17689</v>
      </c>
      <c r="BF928" t="str">
        <f>HYPERLINK("http://dx.doi.org/10.1071/ES19021","http://dx.doi.org/10.1071/ES19021")</f>
        <v>http://dx.doi.org/10.1071/ES19021</v>
      </c>
      <c r="BG928" t="s">
        <v>74</v>
      </c>
      <c r="BH928" t="s">
        <v>74</v>
      </c>
      <c r="BI928">
        <v>13</v>
      </c>
      <c r="BJ928" t="s">
        <v>1696</v>
      </c>
      <c r="BK928" t="s">
        <v>102</v>
      </c>
      <c r="BL928" t="s">
        <v>1696</v>
      </c>
      <c r="BM928" t="s">
        <v>17673</v>
      </c>
      <c r="BN928" t="s">
        <v>74</v>
      </c>
      <c r="BO928" t="s">
        <v>1062</v>
      </c>
      <c r="BP928" t="s">
        <v>74</v>
      </c>
      <c r="BQ928" t="s">
        <v>74</v>
      </c>
      <c r="BR928" t="s">
        <v>107</v>
      </c>
      <c r="BS928" t="s">
        <v>17690</v>
      </c>
      <c r="BT928" t="str">
        <f>HYPERLINK("https%3A%2F%2Fwww.webofscience.com%2Fwos%2Fwoscc%2Ffull-record%2FWOS:000541775000003","View Full Record in Web of Science")</f>
        <v>View Full Record in Web of Science</v>
      </c>
    </row>
    <row r="929" spans="1:72" x14ac:dyDescent="0.15">
      <c r="A929" t="s">
        <v>72</v>
      </c>
      <c r="B929" t="s">
        <v>17691</v>
      </c>
      <c r="C929" t="s">
        <v>74</v>
      </c>
      <c r="D929" t="s">
        <v>74</v>
      </c>
      <c r="E929" t="s">
        <v>74</v>
      </c>
      <c r="F929" t="s">
        <v>17692</v>
      </c>
      <c r="G929" t="s">
        <v>74</v>
      </c>
      <c r="H929" t="s">
        <v>74</v>
      </c>
      <c r="I929" t="s">
        <v>17693</v>
      </c>
      <c r="J929" t="s">
        <v>17654</v>
      </c>
      <c r="K929" t="s">
        <v>74</v>
      </c>
      <c r="L929" t="s">
        <v>74</v>
      </c>
      <c r="M929" t="s">
        <v>78</v>
      </c>
      <c r="N929" t="s">
        <v>79</v>
      </c>
      <c r="O929" t="s">
        <v>74</v>
      </c>
      <c r="P929" t="s">
        <v>74</v>
      </c>
      <c r="Q929" t="s">
        <v>74</v>
      </c>
      <c r="R929" t="s">
        <v>74</v>
      </c>
      <c r="S929" t="s">
        <v>74</v>
      </c>
      <c r="T929" t="s">
        <v>74</v>
      </c>
      <c r="U929" t="s">
        <v>17694</v>
      </c>
      <c r="V929" t="s">
        <v>17695</v>
      </c>
      <c r="W929" t="s">
        <v>17696</v>
      </c>
      <c r="X929" t="s">
        <v>17697</v>
      </c>
      <c r="Y929" t="s">
        <v>17698</v>
      </c>
      <c r="Z929" t="s">
        <v>17683</v>
      </c>
      <c r="AA929" t="s">
        <v>17699</v>
      </c>
      <c r="AB929" t="s">
        <v>17700</v>
      </c>
      <c r="AC929" t="s">
        <v>17701</v>
      </c>
      <c r="AD929" t="s">
        <v>17702</v>
      </c>
      <c r="AE929" t="s">
        <v>17703</v>
      </c>
      <c r="AF929" t="s">
        <v>74</v>
      </c>
      <c r="AG929">
        <v>56</v>
      </c>
      <c r="AH929">
        <v>5</v>
      </c>
      <c r="AI929">
        <v>5</v>
      </c>
      <c r="AJ929">
        <v>1</v>
      </c>
      <c r="AK929">
        <v>12</v>
      </c>
      <c r="AL929" t="s">
        <v>17666</v>
      </c>
      <c r="AM929" t="s">
        <v>17667</v>
      </c>
      <c r="AN929" t="s">
        <v>17668</v>
      </c>
      <c r="AO929" t="s">
        <v>74</v>
      </c>
      <c r="AP929" t="s">
        <v>17669</v>
      </c>
      <c r="AQ929" t="s">
        <v>74</v>
      </c>
      <c r="AR929" t="s">
        <v>17670</v>
      </c>
      <c r="AS929" t="s">
        <v>17671</v>
      </c>
      <c r="AT929" t="s">
        <v>74</v>
      </c>
      <c r="AU929">
        <v>2019</v>
      </c>
      <c r="AV929">
        <v>69</v>
      </c>
      <c r="AW929">
        <v>1</v>
      </c>
      <c r="AX929" t="s">
        <v>74</v>
      </c>
      <c r="AY929" t="s">
        <v>74</v>
      </c>
      <c r="AZ929" t="s">
        <v>74</v>
      </c>
      <c r="BA929" t="s">
        <v>74</v>
      </c>
      <c r="BB929">
        <v>29</v>
      </c>
      <c r="BC929">
        <v>51</v>
      </c>
      <c r="BD929" t="s">
        <v>74</v>
      </c>
      <c r="BE929" t="s">
        <v>17704</v>
      </c>
      <c r="BF929" t="str">
        <f>HYPERLINK("http://dx.doi.org/10.1071/US19019","http://dx.doi.org/10.1071/US19019")</f>
        <v>http://dx.doi.org/10.1071/US19019</v>
      </c>
      <c r="BG929" t="s">
        <v>74</v>
      </c>
      <c r="BH929" t="s">
        <v>74</v>
      </c>
      <c r="BI929">
        <v>23</v>
      </c>
      <c r="BJ929" t="s">
        <v>1696</v>
      </c>
      <c r="BK929" t="s">
        <v>102</v>
      </c>
      <c r="BL929" t="s">
        <v>1696</v>
      </c>
      <c r="BM929" t="s">
        <v>17673</v>
      </c>
      <c r="BN929" t="s">
        <v>74</v>
      </c>
      <c r="BO929" t="s">
        <v>74</v>
      </c>
      <c r="BP929" t="s">
        <v>74</v>
      </c>
      <c r="BQ929" t="s">
        <v>74</v>
      </c>
      <c r="BR929" t="s">
        <v>107</v>
      </c>
      <c r="BS929" t="s">
        <v>17705</v>
      </c>
      <c r="BT929" t="str">
        <f>HYPERLINK("https%3A%2F%2Fwww.webofscience.com%2Fwos%2Fwoscc%2Ffull-record%2FWOS:000541775000004","View Full Record in Web of Science")</f>
        <v>View Full Record in Web of Science</v>
      </c>
    </row>
    <row r="930" spans="1:72" x14ac:dyDescent="0.15">
      <c r="A930" t="s">
        <v>72</v>
      </c>
      <c r="B930" t="s">
        <v>17706</v>
      </c>
      <c r="C930" t="s">
        <v>74</v>
      </c>
      <c r="D930" t="s">
        <v>74</v>
      </c>
      <c r="E930" t="s">
        <v>74</v>
      </c>
      <c r="F930" t="s">
        <v>17707</v>
      </c>
      <c r="G930" t="s">
        <v>74</v>
      </c>
      <c r="H930" t="s">
        <v>74</v>
      </c>
      <c r="I930" t="s">
        <v>17708</v>
      </c>
      <c r="J930" t="s">
        <v>17654</v>
      </c>
      <c r="K930" t="s">
        <v>74</v>
      </c>
      <c r="L930" t="s">
        <v>74</v>
      </c>
      <c r="M930" t="s">
        <v>78</v>
      </c>
      <c r="N930" t="s">
        <v>79</v>
      </c>
      <c r="O930" t="s">
        <v>74</v>
      </c>
      <c r="P930" t="s">
        <v>74</v>
      </c>
      <c r="Q930" t="s">
        <v>74</v>
      </c>
      <c r="R930" t="s">
        <v>74</v>
      </c>
      <c r="S930" t="s">
        <v>74</v>
      </c>
      <c r="T930" t="s">
        <v>74</v>
      </c>
      <c r="U930" t="s">
        <v>17709</v>
      </c>
      <c r="V930" t="s">
        <v>17710</v>
      </c>
      <c r="W930" t="s">
        <v>17711</v>
      </c>
      <c r="X930" t="s">
        <v>17712</v>
      </c>
      <c r="Y930" t="s">
        <v>17713</v>
      </c>
      <c r="Z930" t="s">
        <v>17714</v>
      </c>
      <c r="AA930" t="s">
        <v>17715</v>
      </c>
      <c r="AB930" t="s">
        <v>17716</v>
      </c>
      <c r="AC930" t="s">
        <v>17717</v>
      </c>
      <c r="AD930" t="s">
        <v>17718</v>
      </c>
      <c r="AE930" t="s">
        <v>17719</v>
      </c>
      <c r="AF930" t="s">
        <v>74</v>
      </c>
      <c r="AG930">
        <v>35</v>
      </c>
      <c r="AH930">
        <v>7</v>
      </c>
      <c r="AI930">
        <v>8</v>
      </c>
      <c r="AJ930">
        <v>1</v>
      </c>
      <c r="AK930">
        <v>4</v>
      </c>
      <c r="AL930" t="s">
        <v>17666</v>
      </c>
      <c r="AM930" t="s">
        <v>17667</v>
      </c>
      <c r="AN930" t="s">
        <v>17668</v>
      </c>
      <c r="AO930" t="s">
        <v>74</v>
      </c>
      <c r="AP930" t="s">
        <v>17669</v>
      </c>
      <c r="AQ930" t="s">
        <v>74</v>
      </c>
      <c r="AR930" t="s">
        <v>17670</v>
      </c>
      <c r="AS930" t="s">
        <v>17671</v>
      </c>
      <c r="AT930" t="s">
        <v>74</v>
      </c>
      <c r="AU930">
        <v>2019</v>
      </c>
      <c r="AV930">
        <v>69</v>
      </c>
      <c r="AW930">
        <v>1</v>
      </c>
      <c r="AX930" t="s">
        <v>74</v>
      </c>
      <c r="AY930" t="s">
        <v>74</v>
      </c>
      <c r="AZ930" t="s">
        <v>74</v>
      </c>
      <c r="BA930" t="s">
        <v>74</v>
      </c>
      <c r="BB930">
        <v>52</v>
      </c>
      <c r="BC930">
        <v>56</v>
      </c>
      <c r="BD930" t="s">
        <v>74</v>
      </c>
      <c r="BE930" t="s">
        <v>17720</v>
      </c>
      <c r="BF930" t="str">
        <f>HYPERLINK("http://dx.doi.org/10.1071/LS19020","http://dx.doi.org/10.1071/LS19020")</f>
        <v>http://dx.doi.org/10.1071/LS19020</v>
      </c>
      <c r="BG930" t="s">
        <v>74</v>
      </c>
      <c r="BH930" t="s">
        <v>74</v>
      </c>
      <c r="BI930">
        <v>5</v>
      </c>
      <c r="BJ930" t="s">
        <v>1696</v>
      </c>
      <c r="BK930" t="s">
        <v>102</v>
      </c>
      <c r="BL930" t="s">
        <v>1696</v>
      </c>
      <c r="BM930" t="s">
        <v>17673</v>
      </c>
      <c r="BN930" t="s">
        <v>74</v>
      </c>
      <c r="BO930" t="s">
        <v>74</v>
      </c>
      <c r="BP930" t="s">
        <v>74</v>
      </c>
      <c r="BQ930" t="s">
        <v>74</v>
      </c>
      <c r="BR930" t="s">
        <v>107</v>
      </c>
      <c r="BS930" t="s">
        <v>17721</v>
      </c>
      <c r="BT930" t="str">
        <f>HYPERLINK("https%3A%2F%2Fwww.webofscience.com%2Fwos%2Fwoscc%2Ffull-record%2FWOS:000541775000005","View Full Record in Web of Science")</f>
        <v>View Full Record in Web of Science</v>
      </c>
    </row>
    <row r="931" spans="1:72" x14ac:dyDescent="0.15">
      <c r="A931" t="s">
        <v>72</v>
      </c>
      <c r="B931" t="s">
        <v>17722</v>
      </c>
      <c r="C931" t="s">
        <v>74</v>
      </c>
      <c r="D931" t="s">
        <v>74</v>
      </c>
      <c r="E931" t="s">
        <v>74</v>
      </c>
      <c r="F931" t="s">
        <v>17723</v>
      </c>
      <c r="G931" t="s">
        <v>74</v>
      </c>
      <c r="H931" t="s">
        <v>74</v>
      </c>
      <c r="I931" t="s">
        <v>17724</v>
      </c>
      <c r="J931" t="s">
        <v>17654</v>
      </c>
      <c r="K931" t="s">
        <v>74</v>
      </c>
      <c r="L931" t="s">
        <v>74</v>
      </c>
      <c r="M931" t="s">
        <v>78</v>
      </c>
      <c r="N931" t="s">
        <v>79</v>
      </c>
      <c r="O931" t="s">
        <v>74</v>
      </c>
      <c r="P931" t="s">
        <v>74</v>
      </c>
      <c r="Q931" t="s">
        <v>74</v>
      </c>
      <c r="R931" t="s">
        <v>74</v>
      </c>
      <c r="S931" t="s">
        <v>74</v>
      </c>
      <c r="T931" t="s">
        <v>74</v>
      </c>
      <c r="U931" t="s">
        <v>17725</v>
      </c>
      <c r="V931" t="s">
        <v>17726</v>
      </c>
      <c r="W931" t="s">
        <v>17727</v>
      </c>
      <c r="X931" t="s">
        <v>17728</v>
      </c>
      <c r="Y931" t="s">
        <v>17729</v>
      </c>
      <c r="Z931" t="s">
        <v>17730</v>
      </c>
      <c r="AA931" t="s">
        <v>17731</v>
      </c>
      <c r="AB931" t="s">
        <v>3512</v>
      </c>
      <c r="AC931" t="s">
        <v>17732</v>
      </c>
      <c r="AD931" t="s">
        <v>17733</v>
      </c>
      <c r="AE931" t="s">
        <v>17734</v>
      </c>
      <c r="AF931" t="s">
        <v>74</v>
      </c>
      <c r="AG931">
        <v>24</v>
      </c>
      <c r="AH931">
        <v>6</v>
      </c>
      <c r="AI931">
        <v>6</v>
      </c>
      <c r="AJ931">
        <v>1</v>
      </c>
      <c r="AK931">
        <v>6</v>
      </c>
      <c r="AL931" t="s">
        <v>17666</v>
      </c>
      <c r="AM931" t="s">
        <v>17667</v>
      </c>
      <c r="AN931" t="s">
        <v>17668</v>
      </c>
      <c r="AO931" t="s">
        <v>74</v>
      </c>
      <c r="AP931" t="s">
        <v>17669</v>
      </c>
      <c r="AQ931" t="s">
        <v>74</v>
      </c>
      <c r="AR931" t="s">
        <v>17670</v>
      </c>
      <c r="AS931" t="s">
        <v>17671</v>
      </c>
      <c r="AT931" t="s">
        <v>74</v>
      </c>
      <c r="AU931">
        <v>2019</v>
      </c>
      <c r="AV931">
        <v>69</v>
      </c>
      <c r="AW931">
        <v>1</v>
      </c>
      <c r="AX931" t="s">
        <v>74</v>
      </c>
      <c r="AY931" t="s">
        <v>74</v>
      </c>
      <c r="AZ931" t="s">
        <v>74</v>
      </c>
      <c r="BA931" t="s">
        <v>74</v>
      </c>
      <c r="BB931">
        <v>57</v>
      </c>
      <c r="BC931">
        <v>64</v>
      </c>
      <c r="BD931" t="s">
        <v>74</v>
      </c>
      <c r="BE931" t="s">
        <v>17735</v>
      </c>
      <c r="BF931" t="str">
        <f>HYPERLINK("http://dx.doi.org/10.1071/ES19022","http://dx.doi.org/10.1071/ES19022")</f>
        <v>http://dx.doi.org/10.1071/ES19022</v>
      </c>
      <c r="BG931" t="s">
        <v>74</v>
      </c>
      <c r="BH931" t="s">
        <v>74</v>
      </c>
      <c r="BI931">
        <v>8</v>
      </c>
      <c r="BJ931" t="s">
        <v>1696</v>
      </c>
      <c r="BK931" t="s">
        <v>102</v>
      </c>
      <c r="BL931" t="s">
        <v>1696</v>
      </c>
      <c r="BM931" t="s">
        <v>17673</v>
      </c>
      <c r="BN931" t="s">
        <v>74</v>
      </c>
      <c r="BO931" t="s">
        <v>3093</v>
      </c>
      <c r="BP931" t="s">
        <v>74</v>
      </c>
      <c r="BQ931" t="s">
        <v>74</v>
      </c>
      <c r="BR931" t="s">
        <v>107</v>
      </c>
      <c r="BS931" t="s">
        <v>17736</v>
      </c>
      <c r="BT931" t="str">
        <f>HYPERLINK("https%3A%2F%2Fwww.webofscience.com%2Fwos%2Fwoscc%2Ffull-record%2FWOS:000541775000006","View Full Record in Web of Science")</f>
        <v>View Full Record in Web of Science</v>
      </c>
    </row>
    <row r="932" spans="1:72" x14ac:dyDescent="0.15">
      <c r="A932" t="s">
        <v>72</v>
      </c>
      <c r="B932" t="s">
        <v>17737</v>
      </c>
      <c r="C932" t="s">
        <v>74</v>
      </c>
      <c r="D932" t="s">
        <v>74</v>
      </c>
      <c r="E932" t="s">
        <v>74</v>
      </c>
      <c r="F932" t="s">
        <v>17738</v>
      </c>
      <c r="G932" t="s">
        <v>74</v>
      </c>
      <c r="H932" t="s">
        <v>74</v>
      </c>
      <c r="I932" t="s">
        <v>17739</v>
      </c>
      <c r="J932" t="s">
        <v>17654</v>
      </c>
      <c r="K932" t="s">
        <v>74</v>
      </c>
      <c r="L932" t="s">
        <v>74</v>
      </c>
      <c r="M932" t="s">
        <v>78</v>
      </c>
      <c r="N932" t="s">
        <v>79</v>
      </c>
      <c r="O932" t="s">
        <v>74</v>
      </c>
      <c r="P932" t="s">
        <v>74</v>
      </c>
      <c r="Q932" t="s">
        <v>74</v>
      </c>
      <c r="R932" t="s">
        <v>74</v>
      </c>
      <c r="S932" t="s">
        <v>74</v>
      </c>
      <c r="T932" t="s">
        <v>74</v>
      </c>
      <c r="U932" t="s">
        <v>17740</v>
      </c>
      <c r="V932" t="s">
        <v>17741</v>
      </c>
      <c r="W932" t="s">
        <v>17742</v>
      </c>
      <c r="X932" t="s">
        <v>17743</v>
      </c>
      <c r="Y932" t="s">
        <v>17744</v>
      </c>
      <c r="Z932" t="s">
        <v>17745</v>
      </c>
      <c r="AA932" t="s">
        <v>17746</v>
      </c>
      <c r="AB932" t="s">
        <v>17747</v>
      </c>
      <c r="AC932" t="s">
        <v>17748</v>
      </c>
      <c r="AD932" t="s">
        <v>17749</v>
      </c>
      <c r="AE932" t="s">
        <v>17750</v>
      </c>
      <c r="AF932" t="s">
        <v>74</v>
      </c>
      <c r="AG932">
        <v>35</v>
      </c>
      <c r="AH932">
        <v>9</v>
      </c>
      <c r="AI932">
        <v>9</v>
      </c>
      <c r="AJ932">
        <v>0</v>
      </c>
      <c r="AK932">
        <v>11</v>
      </c>
      <c r="AL932" t="s">
        <v>17666</v>
      </c>
      <c r="AM932" t="s">
        <v>17667</v>
      </c>
      <c r="AN932" t="s">
        <v>17668</v>
      </c>
      <c r="AO932" t="s">
        <v>74</v>
      </c>
      <c r="AP932" t="s">
        <v>17669</v>
      </c>
      <c r="AQ932" t="s">
        <v>74</v>
      </c>
      <c r="AR932" t="s">
        <v>17670</v>
      </c>
      <c r="AS932" t="s">
        <v>17671</v>
      </c>
      <c r="AT932" t="s">
        <v>74</v>
      </c>
      <c r="AU932">
        <v>2019</v>
      </c>
      <c r="AV932">
        <v>69</v>
      </c>
      <c r="AW932">
        <v>1</v>
      </c>
      <c r="AX932" t="s">
        <v>74</v>
      </c>
      <c r="AY932" t="s">
        <v>74</v>
      </c>
      <c r="AZ932" t="s">
        <v>74</v>
      </c>
      <c r="BA932" t="s">
        <v>74</v>
      </c>
      <c r="BB932">
        <v>161</v>
      </c>
      <c r="BC932">
        <v>171</v>
      </c>
      <c r="BD932" t="s">
        <v>74</v>
      </c>
      <c r="BE932" t="s">
        <v>17751</v>
      </c>
      <c r="BF932" t="str">
        <f>HYPERLINK("http://dx.doi.org/10.1071/ES19009","http://dx.doi.org/10.1071/ES19009")</f>
        <v>http://dx.doi.org/10.1071/ES19009</v>
      </c>
      <c r="BG932" t="s">
        <v>74</v>
      </c>
      <c r="BH932" t="s">
        <v>74</v>
      </c>
      <c r="BI932">
        <v>11</v>
      </c>
      <c r="BJ932" t="s">
        <v>1696</v>
      </c>
      <c r="BK932" t="s">
        <v>102</v>
      </c>
      <c r="BL932" t="s">
        <v>1696</v>
      </c>
      <c r="BM932" t="s">
        <v>17673</v>
      </c>
      <c r="BN932" t="s">
        <v>74</v>
      </c>
      <c r="BO932" t="s">
        <v>1415</v>
      </c>
      <c r="BP932" t="s">
        <v>74</v>
      </c>
      <c r="BQ932" t="s">
        <v>74</v>
      </c>
      <c r="BR932" t="s">
        <v>107</v>
      </c>
      <c r="BS932" t="s">
        <v>17752</v>
      </c>
      <c r="BT932" t="str">
        <f>HYPERLINK("https%3A%2F%2Fwww.webofscience.com%2Fwos%2Fwoscc%2Ffull-record%2FWOS:000541775000013","View Full Record in Web of Science")</f>
        <v>View Full Record in Web of Science</v>
      </c>
    </row>
    <row r="933" spans="1:72" x14ac:dyDescent="0.15">
      <c r="A933" t="s">
        <v>72</v>
      </c>
      <c r="B933" t="s">
        <v>17753</v>
      </c>
      <c r="C933" t="s">
        <v>74</v>
      </c>
      <c r="D933" t="s">
        <v>74</v>
      </c>
      <c r="E933" t="s">
        <v>74</v>
      </c>
      <c r="F933" t="s">
        <v>17754</v>
      </c>
      <c r="G933" t="s">
        <v>74</v>
      </c>
      <c r="H933" t="s">
        <v>74</v>
      </c>
      <c r="I933" t="s">
        <v>17755</v>
      </c>
      <c r="J933" t="s">
        <v>17654</v>
      </c>
      <c r="K933" t="s">
        <v>74</v>
      </c>
      <c r="L933" t="s">
        <v>74</v>
      </c>
      <c r="M933" t="s">
        <v>78</v>
      </c>
      <c r="N933" t="s">
        <v>79</v>
      </c>
      <c r="O933" t="s">
        <v>74</v>
      </c>
      <c r="P933" t="s">
        <v>74</v>
      </c>
      <c r="Q933" t="s">
        <v>74</v>
      </c>
      <c r="R933" t="s">
        <v>74</v>
      </c>
      <c r="S933" t="s">
        <v>74</v>
      </c>
      <c r="T933" t="s">
        <v>74</v>
      </c>
      <c r="U933" t="s">
        <v>17756</v>
      </c>
      <c r="V933" t="s">
        <v>17757</v>
      </c>
      <c r="W933" t="s">
        <v>17758</v>
      </c>
      <c r="X933" t="s">
        <v>17759</v>
      </c>
      <c r="Y933" t="s">
        <v>17760</v>
      </c>
      <c r="Z933" t="s">
        <v>17761</v>
      </c>
      <c r="AA933" t="s">
        <v>74</v>
      </c>
      <c r="AB933" t="s">
        <v>74</v>
      </c>
      <c r="AC933" t="s">
        <v>74</v>
      </c>
      <c r="AD933" t="s">
        <v>74</v>
      </c>
      <c r="AE933" t="s">
        <v>74</v>
      </c>
      <c r="AF933" t="s">
        <v>74</v>
      </c>
      <c r="AG933">
        <v>30</v>
      </c>
      <c r="AH933">
        <v>0</v>
      </c>
      <c r="AI933">
        <v>0</v>
      </c>
      <c r="AJ933">
        <v>0</v>
      </c>
      <c r="AK933">
        <v>4</v>
      </c>
      <c r="AL933" t="s">
        <v>17666</v>
      </c>
      <c r="AM933" t="s">
        <v>17667</v>
      </c>
      <c r="AN933" t="s">
        <v>17668</v>
      </c>
      <c r="AO933" t="s">
        <v>74</v>
      </c>
      <c r="AP933" t="s">
        <v>17669</v>
      </c>
      <c r="AQ933" t="s">
        <v>74</v>
      </c>
      <c r="AR933" t="s">
        <v>17670</v>
      </c>
      <c r="AS933" t="s">
        <v>17671</v>
      </c>
      <c r="AT933" t="s">
        <v>74</v>
      </c>
      <c r="AU933">
        <v>2019</v>
      </c>
      <c r="AV933">
        <v>69</v>
      </c>
      <c r="AW933">
        <v>1</v>
      </c>
      <c r="AX933" t="s">
        <v>74</v>
      </c>
      <c r="AY933" t="s">
        <v>74</v>
      </c>
      <c r="AZ933" t="s">
        <v>74</v>
      </c>
      <c r="BA933" t="s">
        <v>74</v>
      </c>
      <c r="BB933">
        <v>273</v>
      </c>
      <c r="BC933">
        <v>289</v>
      </c>
      <c r="BD933" t="s">
        <v>74</v>
      </c>
      <c r="BE933" t="s">
        <v>17762</v>
      </c>
      <c r="BF933" t="str">
        <f>HYPERLINK("http://dx.doi.org/10.1071/ES19013","http://dx.doi.org/10.1071/ES19013")</f>
        <v>http://dx.doi.org/10.1071/ES19013</v>
      </c>
      <c r="BG933" t="s">
        <v>74</v>
      </c>
      <c r="BH933" t="s">
        <v>74</v>
      </c>
      <c r="BI933">
        <v>17</v>
      </c>
      <c r="BJ933" t="s">
        <v>1696</v>
      </c>
      <c r="BK933" t="s">
        <v>102</v>
      </c>
      <c r="BL933" t="s">
        <v>1696</v>
      </c>
      <c r="BM933" t="s">
        <v>17673</v>
      </c>
      <c r="BN933" t="s">
        <v>74</v>
      </c>
      <c r="BO933" t="s">
        <v>1415</v>
      </c>
      <c r="BP933" t="s">
        <v>74</v>
      </c>
      <c r="BQ933" t="s">
        <v>74</v>
      </c>
      <c r="BR933" t="s">
        <v>107</v>
      </c>
      <c r="BS933" t="s">
        <v>17763</v>
      </c>
      <c r="BT933" t="str">
        <f>HYPERLINK("https%3A%2F%2Fwww.webofscience.com%2Fwos%2Fwoscc%2Ffull-record%2FWOS:000541775000021","View Full Record in Web of Science")</f>
        <v>View Full Record in Web of Science</v>
      </c>
    </row>
    <row r="934" spans="1:72" x14ac:dyDescent="0.15">
      <c r="A934" t="s">
        <v>72</v>
      </c>
      <c r="B934" t="s">
        <v>17764</v>
      </c>
      <c r="C934" t="s">
        <v>74</v>
      </c>
      <c r="D934" t="s">
        <v>74</v>
      </c>
      <c r="E934" t="s">
        <v>74</v>
      </c>
      <c r="F934" t="s">
        <v>17765</v>
      </c>
      <c r="G934" t="s">
        <v>74</v>
      </c>
      <c r="H934" t="s">
        <v>74</v>
      </c>
      <c r="I934" t="s">
        <v>17766</v>
      </c>
      <c r="J934" t="s">
        <v>17654</v>
      </c>
      <c r="K934" t="s">
        <v>74</v>
      </c>
      <c r="L934" t="s">
        <v>74</v>
      </c>
      <c r="M934" t="s">
        <v>78</v>
      </c>
      <c r="N934" t="s">
        <v>79</v>
      </c>
      <c r="O934" t="s">
        <v>74</v>
      </c>
      <c r="P934" t="s">
        <v>74</v>
      </c>
      <c r="Q934" t="s">
        <v>74</v>
      </c>
      <c r="R934" t="s">
        <v>74</v>
      </c>
      <c r="S934" t="s">
        <v>74</v>
      </c>
      <c r="T934" t="s">
        <v>74</v>
      </c>
      <c r="U934" t="s">
        <v>17767</v>
      </c>
      <c r="V934" t="s">
        <v>17768</v>
      </c>
      <c r="W934" t="s">
        <v>17769</v>
      </c>
      <c r="X934" t="s">
        <v>17770</v>
      </c>
      <c r="Y934" t="s">
        <v>17771</v>
      </c>
      <c r="Z934" t="s">
        <v>17772</v>
      </c>
      <c r="AA934" t="s">
        <v>17773</v>
      </c>
      <c r="AB934" t="s">
        <v>17774</v>
      </c>
      <c r="AC934" t="s">
        <v>74</v>
      </c>
      <c r="AD934" t="s">
        <v>74</v>
      </c>
      <c r="AE934" t="s">
        <v>74</v>
      </c>
      <c r="AF934" t="s">
        <v>74</v>
      </c>
      <c r="AG934">
        <v>39</v>
      </c>
      <c r="AH934">
        <v>3</v>
      </c>
      <c r="AI934">
        <v>3</v>
      </c>
      <c r="AJ934">
        <v>3</v>
      </c>
      <c r="AK934">
        <v>11</v>
      </c>
      <c r="AL934" t="s">
        <v>17666</v>
      </c>
      <c r="AM934" t="s">
        <v>17667</v>
      </c>
      <c r="AN934" t="s">
        <v>17668</v>
      </c>
      <c r="AO934" t="s">
        <v>74</v>
      </c>
      <c r="AP934" t="s">
        <v>17669</v>
      </c>
      <c r="AQ934" t="s">
        <v>74</v>
      </c>
      <c r="AR934" t="s">
        <v>17670</v>
      </c>
      <c r="AS934" t="s">
        <v>17671</v>
      </c>
      <c r="AT934" t="s">
        <v>74</v>
      </c>
      <c r="AU934">
        <v>2019</v>
      </c>
      <c r="AV934">
        <v>69</v>
      </c>
      <c r="AW934">
        <v>1</v>
      </c>
      <c r="AX934" t="s">
        <v>74</v>
      </c>
      <c r="AY934" t="s">
        <v>74</v>
      </c>
      <c r="AZ934" t="s">
        <v>74</v>
      </c>
      <c r="BA934" t="s">
        <v>74</v>
      </c>
      <c r="BB934">
        <v>310</v>
      </c>
      <c r="BC934">
        <v>330</v>
      </c>
      <c r="BD934" t="s">
        <v>74</v>
      </c>
      <c r="BE934" t="s">
        <v>17775</v>
      </c>
      <c r="BF934" t="str">
        <f>HYPERLINK("http://dx.doi.org/10.1071/ES19006","http://dx.doi.org/10.1071/ES19006")</f>
        <v>http://dx.doi.org/10.1071/ES19006</v>
      </c>
      <c r="BG934" t="s">
        <v>74</v>
      </c>
      <c r="BH934" t="s">
        <v>74</v>
      </c>
      <c r="BI934">
        <v>21</v>
      </c>
      <c r="BJ934" t="s">
        <v>1696</v>
      </c>
      <c r="BK934" t="s">
        <v>102</v>
      </c>
      <c r="BL934" t="s">
        <v>1696</v>
      </c>
      <c r="BM934" t="s">
        <v>17673</v>
      </c>
      <c r="BN934" t="s">
        <v>74</v>
      </c>
      <c r="BO934" t="s">
        <v>1415</v>
      </c>
      <c r="BP934" t="s">
        <v>74</v>
      </c>
      <c r="BQ934" t="s">
        <v>74</v>
      </c>
      <c r="BR934" t="s">
        <v>107</v>
      </c>
      <c r="BS934" t="s">
        <v>17776</v>
      </c>
      <c r="BT934" t="str">
        <f>HYPERLINK("https%3A%2F%2Fwww.webofscience.com%2Fwos%2Fwoscc%2Ffull-record%2FWOS:000541775000023","View Full Record in Web of Science")</f>
        <v>View Full Record in Web of Science</v>
      </c>
    </row>
    <row r="935" spans="1:72" x14ac:dyDescent="0.15">
      <c r="A935" t="s">
        <v>16882</v>
      </c>
      <c r="B935" t="s">
        <v>17777</v>
      </c>
      <c r="C935" t="s">
        <v>74</v>
      </c>
      <c r="D935" t="s">
        <v>17778</v>
      </c>
      <c r="E935" t="s">
        <v>74</v>
      </c>
      <c r="F935" t="s">
        <v>17779</v>
      </c>
      <c r="G935" t="s">
        <v>74</v>
      </c>
      <c r="H935" t="s">
        <v>74</v>
      </c>
      <c r="I935" t="s">
        <v>17780</v>
      </c>
      <c r="J935" t="s">
        <v>17781</v>
      </c>
      <c r="K935" t="s">
        <v>74</v>
      </c>
      <c r="L935" t="s">
        <v>74</v>
      </c>
      <c r="M935" t="s">
        <v>78</v>
      </c>
      <c r="N935" t="s">
        <v>17065</v>
      </c>
      <c r="O935" t="s">
        <v>74</v>
      </c>
      <c r="P935" t="s">
        <v>74</v>
      </c>
      <c r="Q935" t="s">
        <v>74</v>
      </c>
      <c r="R935" t="s">
        <v>74</v>
      </c>
      <c r="S935" t="s">
        <v>74</v>
      </c>
      <c r="T935" t="s">
        <v>74</v>
      </c>
      <c r="U935" t="s">
        <v>17782</v>
      </c>
      <c r="V935" t="s">
        <v>74</v>
      </c>
      <c r="W935" t="s">
        <v>17783</v>
      </c>
      <c r="X935" t="s">
        <v>17784</v>
      </c>
      <c r="Y935" t="s">
        <v>17785</v>
      </c>
      <c r="Z935" t="s">
        <v>74</v>
      </c>
      <c r="AA935" t="s">
        <v>17786</v>
      </c>
      <c r="AB935" t="s">
        <v>17787</v>
      </c>
      <c r="AC935" t="s">
        <v>74</v>
      </c>
      <c r="AD935" t="s">
        <v>74</v>
      </c>
      <c r="AE935" t="s">
        <v>74</v>
      </c>
      <c r="AF935" t="s">
        <v>74</v>
      </c>
      <c r="AG935">
        <v>215</v>
      </c>
      <c r="AH935">
        <v>14</v>
      </c>
      <c r="AI935">
        <v>14</v>
      </c>
      <c r="AJ935">
        <v>2</v>
      </c>
      <c r="AK935">
        <v>3</v>
      </c>
      <c r="AL935" t="s">
        <v>17381</v>
      </c>
      <c r="AM935" t="s">
        <v>329</v>
      </c>
      <c r="AN935" t="s">
        <v>17382</v>
      </c>
      <c r="AO935" t="s">
        <v>74</v>
      </c>
      <c r="AP935" t="s">
        <v>74</v>
      </c>
      <c r="AQ935" t="s">
        <v>17788</v>
      </c>
      <c r="AR935" t="s">
        <v>74</v>
      </c>
      <c r="AS935" t="s">
        <v>74</v>
      </c>
      <c r="AT935" t="s">
        <v>74</v>
      </c>
      <c r="AU935">
        <v>2019</v>
      </c>
      <c r="AV935" t="s">
        <v>74</v>
      </c>
      <c r="AW935" t="s">
        <v>74</v>
      </c>
      <c r="AX935" t="s">
        <v>74</v>
      </c>
      <c r="AY935" t="s">
        <v>74</v>
      </c>
      <c r="AZ935" t="s">
        <v>74</v>
      </c>
      <c r="BA935" t="s">
        <v>74</v>
      </c>
      <c r="BB935">
        <v>1</v>
      </c>
      <c r="BC935">
        <v>44</v>
      </c>
      <c r="BD935" t="s">
        <v>74</v>
      </c>
      <c r="BE935" t="s">
        <v>17789</v>
      </c>
      <c r="BF935" t="str">
        <f>HYPERLINK("http://dx.doi.org/10.1016/B978-0-12-805068-2.00002-4","http://dx.doi.org/10.1016/B978-0-12-805068-2.00002-4")</f>
        <v>http://dx.doi.org/10.1016/B978-0-12-805068-2.00002-4</v>
      </c>
      <c r="BG935" t="s">
        <v>17790</v>
      </c>
      <c r="BH935" t="s">
        <v>74</v>
      </c>
      <c r="BI935">
        <v>44</v>
      </c>
      <c r="BJ935" t="s">
        <v>4807</v>
      </c>
      <c r="BK935" t="s">
        <v>16914</v>
      </c>
      <c r="BL935" t="s">
        <v>2297</v>
      </c>
      <c r="BM935" t="s">
        <v>17791</v>
      </c>
      <c r="BN935" t="s">
        <v>74</v>
      </c>
      <c r="BO935" t="s">
        <v>74</v>
      </c>
      <c r="BP935" t="s">
        <v>74</v>
      </c>
      <c r="BQ935" t="s">
        <v>74</v>
      </c>
      <c r="BR935" t="s">
        <v>107</v>
      </c>
      <c r="BS935" t="s">
        <v>17792</v>
      </c>
      <c r="BT935" t="str">
        <f>HYPERLINK("https%3A%2F%2Fwww.webofscience.com%2Fwos%2Fwoscc%2Ffull-record%2FWOS:000533152200002","View Full Record in Web of Science")</f>
        <v>View Full Record in Web of Science</v>
      </c>
    </row>
    <row r="936" spans="1:72" x14ac:dyDescent="0.15">
      <c r="A936" t="s">
        <v>17084</v>
      </c>
      <c r="B936" t="s">
        <v>17793</v>
      </c>
      <c r="C936" t="s">
        <v>74</v>
      </c>
      <c r="D936" t="s">
        <v>74</v>
      </c>
      <c r="E936" t="s">
        <v>17086</v>
      </c>
      <c r="F936" t="s">
        <v>17794</v>
      </c>
      <c r="G936" t="s">
        <v>74</v>
      </c>
      <c r="H936" t="s">
        <v>74</v>
      </c>
      <c r="I936" t="s">
        <v>17795</v>
      </c>
      <c r="J936" t="s">
        <v>17796</v>
      </c>
      <c r="K936" t="s">
        <v>74</v>
      </c>
      <c r="L936" t="s">
        <v>74</v>
      </c>
      <c r="M936" t="s">
        <v>78</v>
      </c>
      <c r="N936" t="s">
        <v>17090</v>
      </c>
      <c r="O936" t="s">
        <v>17797</v>
      </c>
      <c r="P936" t="s">
        <v>17798</v>
      </c>
      <c r="Q936" t="s">
        <v>17799</v>
      </c>
      <c r="R936" t="s">
        <v>74</v>
      </c>
      <c r="S936" t="s">
        <v>17800</v>
      </c>
      <c r="T936" t="s">
        <v>17801</v>
      </c>
      <c r="U936" t="s">
        <v>74</v>
      </c>
      <c r="V936" t="s">
        <v>17802</v>
      </c>
      <c r="W936" t="s">
        <v>17803</v>
      </c>
      <c r="X936" t="s">
        <v>17804</v>
      </c>
      <c r="Y936" t="s">
        <v>17805</v>
      </c>
      <c r="Z936" t="s">
        <v>17806</v>
      </c>
      <c r="AA936" t="s">
        <v>17807</v>
      </c>
      <c r="AB936" t="s">
        <v>17808</v>
      </c>
      <c r="AC936" t="s">
        <v>74</v>
      </c>
      <c r="AD936" t="s">
        <v>74</v>
      </c>
      <c r="AE936" t="s">
        <v>74</v>
      </c>
      <c r="AF936" t="s">
        <v>74</v>
      </c>
      <c r="AG936">
        <v>3</v>
      </c>
      <c r="AH936">
        <v>1</v>
      </c>
      <c r="AI936">
        <v>1</v>
      </c>
      <c r="AJ936">
        <v>0</v>
      </c>
      <c r="AK936">
        <v>0</v>
      </c>
      <c r="AL936" t="s">
        <v>17086</v>
      </c>
      <c r="AM936" t="s">
        <v>607</v>
      </c>
      <c r="AN936" t="s">
        <v>17105</v>
      </c>
      <c r="AO936" t="s">
        <v>74</v>
      </c>
      <c r="AP936" t="s">
        <v>74</v>
      </c>
      <c r="AQ936" t="s">
        <v>17809</v>
      </c>
      <c r="AR936" t="s">
        <v>74</v>
      </c>
      <c r="AS936" t="s">
        <v>74</v>
      </c>
      <c r="AT936" t="s">
        <v>74</v>
      </c>
      <c r="AU936">
        <v>2019</v>
      </c>
      <c r="AV936" t="s">
        <v>74</v>
      </c>
      <c r="AW936" t="s">
        <v>74</v>
      </c>
      <c r="AX936" t="s">
        <v>74</v>
      </c>
      <c r="AY936" t="s">
        <v>74</v>
      </c>
      <c r="AZ936" t="s">
        <v>74</v>
      </c>
      <c r="BA936" t="s">
        <v>74</v>
      </c>
      <c r="BB936">
        <v>341</v>
      </c>
      <c r="BC936">
        <v>344</v>
      </c>
      <c r="BD936" t="s">
        <v>74</v>
      </c>
      <c r="BE936" t="s">
        <v>17810</v>
      </c>
      <c r="BF936" t="str">
        <f>HYPERLINK("http://dx.doi.org/10.1109/rwp.2019.8810152","http://dx.doi.org/10.1109/rwp.2019.8810152")</f>
        <v>http://dx.doi.org/10.1109/rwp.2019.8810152</v>
      </c>
      <c r="BG936" t="s">
        <v>74</v>
      </c>
      <c r="BH936" t="s">
        <v>74</v>
      </c>
      <c r="BI936">
        <v>4</v>
      </c>
      <c r="BJ936" t="s">
        <v>17583</v>
      </c>
      <c r="BK936" t="s">
        <v>17108</v>
      </c>
      <c r="BL936" t="s">
        <v>12769</v>
      </c>
      <c r="BM936" t="s">
        <v>17811</v>
      </c>
      <c r="BN936" t="s">
        <v>74</v>
      </c>
      <c r="BO936" t="s">
        <v>74</v>
      </c>
      <c r="BP936" t="s">
        <v>74</v>
      </c>
      <c r="BQ936" t="s">
        <v>74</v>
      </c>
      <c r="BR936" t="s">
        <v>107</v>
      </c>
      <c r="BS936" t="s">
        <v>17812</v>
      </c>
      <c r="BT936" t="str">
        <f>HYPERLINK("https%3A%2F%2Fwww.webofscience.com%2Fwos%2Fwoscc%2Ffull-record%2FWOS:000539489000084","View Full Record in Web of Science")</f>
        <v>View Full Record in Web of Science</v>
      </c>
    </row>
    <row r="937" spans="1:72" x14ac:dyDescent="0.15">
      <c r="A937" t="s">
        <v>17084</v>
      </c>
      <c r="B937" t="s">
        <v>17813</v>
      </c>
      <c r="C937" t="s">
        <v>74</v>
      </c>
      <c r="D937" t="s">
        <v>74</v>
      </c>
      <c r="E937" t="s">
        <v>17086</v>
      </c>
      <c r="F937" t="s">
        <v>17814</v>
      </c>
      <c r="G937" t="s">
        <v>74</v>
      </c>
      <c r="H937" t="s">
        <v>74</v>
      </c>
      <c r="I937" t="s">
        <v>17815</v>
      </c>
      <c r="J937" t="s">
        <v>17796</v>
      </c>
      <c r="K937" t="s">
        <v>74</v>
      </c>
      <c r="L937" t="s">
        <v>74</v>
      </c>
      <c r="M937" t="s">
        <v>78</v>
      </c>
      <c r="N937" t="s">
        <v>17090</v>
      </c>
      <c r="O937" t="s">
        <v>17797</v>
      </c>
      <c r="P937" t="s">
        <v>17798</v>
      </c>
      <c r="Q937" t="s">
        <v>17799</v>
      </c>
      <c r="R937" t="s">
        <v>74</v>
      </c>
      <c r="S937" t="s">
        <v>17800</v>
      </c>
      <c r="T937" t="s">
        <v>17816</v>
      </c>
      <c r="U937" t="s">
        <v>74</v>
      </c>
      <c r="V937" t="s">
        <v>17817</v>
      </c>
      <c r="W937" t="s">
        <v>17818</v>
      </c>
      <c r="X937" t="s">
        <v>17804</v>
      </c>
      <c r="Y937" t="s">
        <v>17819</v>
      </c>
      <c r="Z937" t="s">
        <v>17806</v>
      </c>
      <c r="AA937" t="s">
        <v>17807</v>
      </c>
      <c r="AB937" t="s">
        <v>17808</v>
      </c>
      <c r="AC937" t="s">
        <v>74</v>
      </c>
      <c r="AD937" t="s">
        <v>74</v>
      </c>
      <c r="AE937" t="s">
        <v>74</v>
      </c>
      <c r="AF937" t="s">
        <v>74</v>
      </c>
      <c r="AG937">
        <v>2</v>
      </c>
      <c r="AH937">
        <v>0</v>
      </c>
      <c r="AI937">
        <v>0</v>
      </c>
      <c r="AJ937">
        <v>0</v>
      </c>
      <c r="AK937">
        <v>1</v>
      </c>
      <c r="AL937" t="s">
        <v>17086</v>
      </c>
      <c r="AM937" t="s">
        <v>607</v>
      </c>
      <c r="AN937" t="s">
        <v>17105</v>
      </c>
      <c r="AO937" t="s">
        <v>74</v>
      </c>
      <c r="AP937" t="s">
        <v>74</v>
      </c>
      <c r="AQ937" t="s">
        <v>17809</v>
      </c>
      <c r="AR937" t="s">
        <v>74</v>
      </c>
      <c r="AS937" t="s">
        <v>74</v>
      </c>
      <c r="AT937" t="s">
        <v>74</v>
      </c>
      <c r="AU937">
        <v>2019</v>
      </c>
      <c r="AV937" t="s">
        <v>74</v>
      </c>
      <c r="AW937" t="s">
        <v>74</v>
      </c>
      <c r="AX937" t="s">
        <v>74</v>
      </c>
      <c r="AY937" t="s">
        <v>74</v>
      </c>
      <c r="AZ937" t="s">
        <v>74</v>
      </c>
      <c r="BA937" t="s">
        <v>74</v>
      </c>
      <c r="BB937">
        <v>345</v>
      </c>
      <c r="BC937">
        <v>348</v>
      </c>
      <c r="BD937" t="s">
        <v>74</v>
      </c>
      <c r="BE937" t="s">
        <v>17820</v>
      </c>
      <c r="BF937" t="str">
        <f>HYPERLINK("http://dx.doi.org/10.1109/rwp.2019.8810221","http://dx.doi.org/10.1109/rwp.2019.8810221")</f>
        <v>http://dx.doi.org/10.1109/rwp.2019.8810221</v>
      </c>
      <c r="BG937" t="s">
        <v>74</v>
      </c>
      <c r="BH937" t="s">
        <v>74</v>
      </c>
      <c r="BI937">
        <v>4</v>
      </c>
      <c r="BJ937" t="s">
        <v>17583</v>
      </c>
      <c r="BK937" t="s">
        <v>17108</v>
      </c>
      <c r="BL937" t="s">
        <v>12769</v>
      </c>
      <c r="BM937" t="s">
        <v>17811</v>
      </c>
      <c r="BN937" t="s">
        <v>74</v>
      </c>
      <c r="BO937" t="s">
        <v>74</v>
      </c>
      <c r="BP937" t="s">
        <v>74</v>
      </c>
      <c r="BQ937" t="s">
        <v>74</v>
      </c>
      <c r="BR937" t="s">
        <v>107</v>
      </c>
      <c r="BS937" t="s">
        <v>17821</v>
      </c>
      <c r="BT937" t="str">
        <f>HYPERLINK("https%3A%2F%2Fwww.webofscience.com%2Fwos%2Fwoscc%2Ffull-record%2FWOS:000539489000085","View Full Record in Web of Science")</f>
        <v>View Full Record in Web of Science</v>
      </c>
    </row>
    <row r="938" spans="1:72" x14ac:dyDescent="0.15">
      <c r="A938" t="s">
        <v>17084</v>
      </c>
      <c r="B938" t="s">
        <v>17822</v>
      </c>
      <c r="C938" t="s">
        <v>74</v>
      </c>
      <c r="D938" t="s">
        <v>17823</v>
      </c>
      <c r="E938" t="s">
        <v>74</v>
      </c>
      <c r="F938" t="s">
        <v>17824</v>
      </c>
      <c r="G938" t="s">
        <v>74</v>
      </c>
      <c r="H938" t="s">
        <v>74</v>
      </c>
      <c r="I938" t="s">
        <v>17825</v>
      </c>
      <c r="J938" t="s">
        <v>17826</v>
      </c>
      <c r="K938" t="s">
        <v>17827</v>
      </c>
      <c r="L938" t="s">
        <v>74</v>
      </c>
      <c r="M938" t="s">
        <v>78</v>
      </c>
      <c r="N938" t="s">
        <v>17090</v>
      </c>
      <c r="O938" t="s">
        <v>17828</v>
      </c>
      <c r="P938" t="s">
        <v>17829</v>
      </c>
      <c r="Q938" t="s">
        <v>17830</v>
      </c>
      <c r="R938" t="s">
        <v>74</v>
      </c>
      <c r="S938" t="s">
        <v>74</v>
      </c>
      <c r="T938" t="s">
        <v>17831</v>
      </c>
      <c r="U938" t="s">
        <v>17832</v>
      </c>
      <c r="V938" t="s">
        <v>17833</v>
      </c>
      <c r="W938" t="s">
        <v>17834</v>
      </c>
      <c r="X938" t="s">
        <v>17835</v>
      </c>
      <c r="Y938" t="s">
        <v>17836</v>
      </c>
      <c r="Z938" t="s">
        <v>74</v>
      </c>
      <c r="AA938" t="s">
        <v>17837</v>
      </c>
      <c r="AB938" t="s">
        <v>17838</v>
      </c>
      <c r="AC938" t="s">
        <v>17839</v>
      </c>
      <c r="AD938" t="s">
        <v>17840</v>
      </c>
      <c r="AE938" t="s">
        <v>17841</v>
      </c>
      <c r="AF938" t="s">
        <v>74</v>
      </c>
      <c r="AG938">
        <v>50</v>
      </c>
      <c r="AH938">
        <v>1</v>
      </c>
      <c r="AI938">
        <v>1</v>
      </c>
      <c r="AJ938">
        <v>0</v>
      </c>
      <c r="AK938">
        <v>5</v>
      </c>
      <c r="AL938" t="s">
        <v>1667</v>
      </c>
      <c r="AM938" t="s">
        <v>1668</v>
      </c>
      <c r="AN938" t="s">
        <v>17842</v>
      </c>
      <c r="AO938" t="s">
        <v>17843</v>
      </c>
      <c r="AP938" t="s">
        <v>74</v>
      </c>
      <c r="AQ938" t="s">
        <v>17844</v>
      </c>
      <c r="AR938" t="s">
        <v>17845</v>
      </c>
      <c r="AS938" t="s">
        <v>17827</v>
      </c>
      <c r="AT938" t="s">
        <v>74</v>
      </c>
      <c r="AU938">
        <v>2019</v>
      </c>
      <c r="AV938">
        <v>15</v>
      </c>
      <c r="AW938" t="s">
        <v>74</v>
      </c>
      <c r="AX938" t="s">
        <v>74</v>
      </c>
      <c r="AY938" t="s">
        <v>74</v>
      </c>
      <c r="AZ938" t="s">
        <v>74</v>
      </c>
      <c r="BA938" t="s">
        <v>74</v>
      </c>
      <c r="BB938">
        <v>33</v>
      </c>
      <c r="BC938" t="s">
        <v>1394</v>
      </c>
      <c r="BD938" t="s">
        <v>74</v>
      </c>
      <c r="BE938" t="s">
        <v>17846</v>
      </c>
      <c r="BF938" t="str">
        <f>HYPERLINK("http://dx.doi.org/10.11646/zoosymposia.15.1.6","http://dx.doi.org/10.11646/zoosymposia.15.1.6")</f>
        <v>http://dx.doi.org/10.11646/zoosymposia.15.1.6</v>
      </c>
      <c r="BG938" t="s">
        <v>74</v>
      </c>
      <c r="BH938" t="s">
        <v>74</v>
      </c>
      <c r="BI938">
        <v>5</v>
      </c>
      <c r="BJ938" t="s">
        <v>184</v>
      </c>
      <c r="BK938" t="s">
        <v>17108</v>
      </c>
      <c r="BL938" t="s">
        <v>184</v>
      </c>
      <c r="BM938" t="s">
        <v>17847</v>
      </c>
      <c r="BN938" t="s">
        <v>74</v>
      </c>
      <c r="BO938" t="s">
        <v>279</v>
      </c>
      <c r="BP938" t="s">
        <v>74</v>
      </c>
      <c r="BQ938" t="s">
        <v>74</v>
      </c>
      <c r="BR938" t="s">
        <v>107</v>
      </c>
      <c r="BS938" t="s">
        <v>17848</v>
      </c>
      <c r="BT938" t="str">
        <f>HYPERLINK("https%3A%2F%2Fwww.webofscience.com%2Fwos%2Fwoscc%2Ffull-record%2FWOS:000538765700004","View Full Record in Web of Science")</f>
        <v>View Full Record in Web of Science</v>
      </c>
    </row>
    <row r="939" spans="1:72" x14ac:dyDescent="0.15">
      <c r="A939" t="s">
        <v>17084</v>
      </c>
      <c r="B939" t="s">
        <v>17849</v>
      </c>
      <c r="C939" t="s">
        <v>74</v>
      </c>
      <c r="D939" t="s">
        <v>74</v>
      </c>
      <c r="E939" t="s">
        <v>17086</v>
      </c>
      <c r="F939" t="s">
        <v>17850</v>
      </c>
      <c r="G939" t="s">
        <v>74</v>
      </c>
      <c r="H939" t="s">
        <v>74</v>
      </c>
      <c r="I939" t="s">
        <v>17851</v>
      </c>
      <c r="J939" t="s">
        <v>17852</v>
      </c>
      <c r="K939" t="s">
        <v>74</v>
      </c>
      <c r="L939" t="s">
        <v>74</v>
      </c>
      <c r="M939" t="s">
        <v>78</v>
      </c>
      <c r="N939" t="s">
        <v>17090</v>
      </c>
      <c r="O939" t="s">
        <v>17853</v>
      </c>
      <c r="P939" t="s">
        <v>17854</v>
      </c>
      <c r="Q939" t="s">
        <v>17855</v>
      </c>
      <c r="R939" t="s">
        <v>74</v>
      </c>
      <c r="S939" t="s">
        <v>74</v>
      </c>
      <c r="T939" t="s">
        <v>17856</v>
      </c>
      <c r="U939" t="s">
        <v>17857</v>
      </c>
      <c r="V939" t="s">
        <v>17858</v>
      </c>
      <c r="W939" t="s">
        <v>17859</v>
      </c>
      <c r="X939" t="s">
        <v>17860</v>
      </c>
      <c r="Y939" t="s">
        <v>17861</v>
      </c>
      <c r="Z939" t="s">
        <v>74</v>
      </c>
      <c r="AA939" t="s">
        <v>17862</v>
      </c>
      <c r="AB939" t="s">
        <v>17863</v>
      </c>
      <c r="AC939" t="s">
        <v>74</v>
      </c>
      <c r="AD939" t="s">
        <v>74</v>
      </c>
      <c r="AE939" t="s">
        <v>74</v>
      </c>
      <c r="AF939" t="s">
        <v>74</v>
      </c>
      <c r="AG939">
        <v>18</v>
      </c>
      <c r="AH939">
        <v>0</v>
      </c>
      <c r="AI939">
        <v>0</v>
      </c>
      <c r="AJ939">
        <v>0</v>
      </c>
      <c r="AK939">
        <v>0</v>
      </c>
      <c r="AL939" t="s">
        <v>17086</v>
      </c>
      <c r="AM939" t="s">
        <v>607</v>
      </c>
      <c r="AN939" t="s">
        <v>17105</v>
      </c>
      <c r="AO939" t="s">
        <v>74</v>
      </c>
      <c r="AP939" t="s">
        <v>74</v>
      </c>
      <c r="AQ939" t="s">
        <v>17864</v>
      </c>
      <c r="AR939" t="s">
        <v>74</v>
      </c>
      <c r="AS939" t="s">
        <v>74</v>
      </c>
      <c r="AT939" t="s">
        <v>74</v>
      </c>
      <c r="AU939">
        <v>2019</v>
      </c>
      <c r="AV939" t="s">
        <v>74</v>
      </c>
      <c r="AW939" t="s">
        <v>74</v>
      </c>
      <c r="AX939" t="s">
        <v>74</v>
      </c>
      <c r="AY939" t="s">
        <v>74</v>
      </c>
      <c r="AZ939" t="s">
        <v>74</v>
      </c>
      <c r="BA939" t="s">
        <v>74</v>
      </c>
      <c r="BB939" t="s">
        <v>74</v>
      </c>
      <c r="BC939" t="s">
        <v>74</v>
      </c>
      <c r="BD939" t="s">
        <v>74</v>
      </c>
      <c r="BE939" t="s">
        <v>17865</v>
      </c>
      <c r="BF939" t="str">
        <f>HYPERLINK("http://dx.doi.org/10.1109/cwtm43797.2019.8955134","http://dx.doi.org/10.1109/cwtm43797.2019.8955134")</f>
        <v>http://dx.doi.org/10.1109/cwtm43797.2019.8955134</v>
      </c>
      <c r="BG939" t="s">
        <v>74</v>
      </c>
      <c r="BH939" t="s">
        <v>74</v>
      </c>
      <c r="BI939">
        <v>5</v>
      </c>
      <c r="BJ939" t="s">
        <v>17866</v>
      </c>
      <c r="BK939" t="s">
        <v>17108</v>
      </c>
      <c r="BL939" t="s">
        <v>17867</v>
      </c>
      <c r="BM939" t="s">
        <v>17868</v>
      </c>
      <c r="BN939" t="s">
        <v>74</v>
      </c>
      <c r="BO939" t="s">
        <v>74</v>
      </c>
      <c r="BP939" t="s">
        <v>74</v>
      </c>
      <c r="BQ939" t="s">
        <v>74</v>
      </c>
      <c r="BR939" t="s">
        <v>107</v>
      </c>
      <c r="BS939" t="s">
        <v>17869</v>
      </c>
      <c r="BT939" t="str">
        <f>HYPERLINK("https%3A%2F%2Fwww.webofscience.com%2Fwos%2Fwoscc%2Ffull-record%2FWOS:000533898600001","View Full Record in Web of Science")</f>
        <v>View Full Record in Web of Science</v>
      </c>
    </row>
    <row r="940" spans="1:72" x14ac:dyDescent="0.15">
      <c r="A940" t="s">
        <v>17084</v>
      </c>
      <c r="B940" t="s">
        <v>17870</v>
      </c>
      <c r="C940" t="s">
        <v>74</v>
      </c>
      <c r="D940" t="s">
        <v>17871</v>
      </c>
      <c r="E940" t="s">
        <v>74</v>
      </c>
      <c r="F940" t="s">
        <v>17872</v>
      </c>
      <c r="G940" t="s">
        <v>74</v>
      </c>
      <c r="H940" t="s">
        <v>74</v>
      </c>
      <c r="I940" t="s">
        <v>17873</v>
      </c>
      <c r="J940" t="s">
        <v>17874</v>
      </c>
      <c r="K940" t="s">
        <v>17875</v>
      </c>
      <c r="L940" t="s">
        <v>74</v>
      </c>
      <c r="M940" t="s">
        <v>78</v>
      </c>
      <c r="N940" t="s">
        <v>17090</v>
      </c>
      <c r="O940" t="s">
        <v>17876</v>
      </c>
      <c r="P940" t="s">
        <v>17877</v>
      </c>
      <c r="Q940" t="s">
        <v>17878</v>
      </c>
      <c r="R940" t="s">
        <v>74</v>
      </c>
      <c r="S940" t="s">
        <v>74</v>
      </c>
      <c r="T940" t="s">
        <v>17879</v>
      </c>
      <c r="U940" t="s">
        <v>17880</v>
      </c>
      <c r="V940" t="s">
        <v>17881</v>
      </c>
      <c r="W940" t="s">
        <v>17882</v>
      </c>
      <c r="X940" t="s">
        <v>17883</v>
      </c>
      <c r="Y940" t="s">
        <v>17884</v>
      </c>
      <c r="Z940" t="s">
        <v>17885</v>
      </c>
      <c r="AA940" t="s">
        <v>74</v>
      </c>
      <c r="AB940" t="s">
        <v>74</v>
      </c>
      <c r="AC940" t="s">
        <v>17886</v>
      </c>
      <c r="AD940" t="s">
        <v>17887</v>
      </c>
      <c r="AE940" t="s">
        <v>17888</v>
      </c>
      <c r="AF940" t="s">
        <v>74</v>
      </c>
      <c r="AG940">
        <v>7</v>
      </c>
      <c r="AH940">
        <v>0</v>
      </c>
      <c r="AI940">
        <v>0</v>
      </c>
      <c r="AJ940">
        <v>4</v>
      </c>
      <c r="AK940">
        <v>12</v>
      </c>
      <c r="AL940" t="s">
        <v>17889</v>
      </c>
      <c r="AM940" t="s">
        <v>17890</v>
      </c>
      <c r="AN940" t="s">
        <v>17891</v>
      </c>
      <c r="AO940" t="s">
        <v>17892</v>
      </c>
      <c r="AP940" t="s">
        <v>17893</v>
      </c>
      <c r="AQ940" t="s">
        <v>17894</v>
      </c>
      <c r="AR940" t="s">
        <v>17895</v>
      </c>
      <c r="AS940" t="s">
        <v>74</v>
      </c>
      <c r="AT940" t="s">
        <v>74</v>
      </c>
      <c r="AU940">
        <v>2019</v>
      </c>
      <c r="AV940">
        <v>11196</v>
      </c>
      <c r="AW940" t="s">
        <v>74</v>
      </c>
      <c r="AX940" t="s">
        <v>74</v>
      </c>
      <c r="AY940" t="s">
        <v>74</v>
      </c>
      <c r="AZ940" t="s">
        <v>74</v>
      </c>
      <c r="BA940" t="s">
        <v>74</v>
      </c>
      <c r="BB940" t="s">
        <v>74</v>
      </c>
      <c r="BC940" t="s">
        <v>74</v>
      </c>
      <c r="BD940" t="s">
        <v>17896</v>
      </c>
      <c r="BE940" t="s">
        <v>17897</v>
      </c>
      <c r="BF940" t="str">
        <f>HYPERLINK("http://dx.doi.org/10.1117/12.2537092","http://dx.doi.org/10.1117/12.2537092")</f>
        <v>http://dx.doi.org/10.1117/12.2537092</v>
      </c>
      <c r="BG940" t="s">
        <v>74</v>
      </c>
      <c r="BH940" t="s">
        <v>74</v>
      </c>
      <c r="BI940">
        <v>8</v>
      </c>
      <c r="BJ940" t="s">
        <v>17898</v>
      </c>
      <c r="BK940" t="s">
        <v>17108</v>
      </c>
      <c r="BL940" t="s">
        <v>17898</v>
      </c>
      <c r="BM940" t="s">
        <v>17899</v>
      </c>
      <c r="BN940" t="s">
        <v>74</v>
      </c>
      <c r="BO940" t="s">
        <v>74</v>
      </c>
      <c r="BP940" t="s">
        <v>74</v>
      </c>
      <c r="BQ940" t="s">
        <v>74</v>
      </c>
      <c r="BR940" t="s">
        <v>107</v>
      </c>
      <c r="BS940" t="s">
        <v>17900</v>
      </c>
      <c r="BT940" t="str">
        <f>HYPERLINK("https%3A%2F%2Fwww.webofscience.com%2Fwos%2Fwoscc%2Ffull-record%2FWOS:000534218800018","View Full Record in Web of Science")</f>
        <v>View Full Record in Web of Science</v>
      </c>
    </row>
    <row r="941" spans="1:72" x14ac:dyDescent="0.15">
      <c r="A941" t="s">
        <v>16897</v>
      </c>
      <c r="B941" t="s">
        <v>17901</v>
      </c>
      <c r="C941" t="s">
        <v>74</v>
      </c>
      <c r="D941" t="s">
        <v>17902</v>
      </c>
      <c r="E941" t="s">
        <v>74</v>
      </c>
      <c r="F941" t="s">
        <v>17903</v>
      </c>
      <c r="G941" t="s">
        <v>74</v>
      </c>
      <c r="H941" t="s">
        <v>74</v>
      </c>
      <c r="I941" t="s">
        <v>17904</v>
      </c>
      <c r="J941" t="s">
        <v>17905</v>
      </c>
      <c r="K941" t="s">
        <v>17906</v>
      </c>
      <c r="L941" t="s">
        <v>74</v>
      </c>
      <c r="M941" t="s">
        <v>78</v>
      </c>
      <c r="N941" t="s">
        <v>17065</v>
      </c>
      <c r="O941" t="s">
        <v>74</v>
      </c>
      <c r="P941" t="s">
        <v>74</v>
      </c>
      <c r="Q941" t="s">
        <v>74</v>
      </c>
      <c r="R941" t="s">
        <v>74</v>
      </c>
      <c r="S941" t="s">
        <v>74</v>
      </c>
      <c r="T941" t="s">
        <v>74</v>
      </c>
      <c r="U941" t="s">
        <v>17907</v>
      </c>
      <c r="V941" t="s">
        <v>17908</v>
      </c>
      <c r="W941" t="s">
        <v>17909</v>
      </c>
      <c r="X941" t="s">
        <v>17910</v>
      </c>
      <c r="Y941" t="s">
        <v>17911</v>
      </c>
      <c r="Z941" t="s">
        <v>17912</v>
      </c>
      <c r="AA941" t="s">
        <v>17913</v>
      </c>
      <c r="AB941" t="s">
        <v>17914</v>
      </c>
      <c r="AC941" t="s">
        <v>17915</v>
      </c>
      <c r="AD941" t="s">
        <v>17916</v>
      </c>
      <c r="AE941" t="s">
        <v>17917</v>
      </c>
      <c r="AF941" t="s">
        <v>74</v>
      </c>
      <c r="AG941">
        <v>431</v>
      </c>
      <c r="AH941">
        <v>40</v>
      </c>
      <c r="AI941">
        <v>42</v>
      </c>
      <c r="AJ941">
        <v>10</v>
      </c>
      <c r="AK941">
        <v>80</v>
      </c>
      <c r="AL941" t="s">
        <v>17918</v>
      </c>
      <c r="AM941" t="s">
        <v>17919</v>
      </c>
      <c r="AN941" t="s">
        <v>17920</v>
      </c>
      <c r="AO941" t="s">
        <v>17921</v>
      </c>
      <c r="AP941" t="s">
        <v>74</v>
      </c>
      <c r="AQ941" t="s">
        <v>17922</v>
      </c>
      <c r="AR941" t="s">
        <v>17923</v>
      </c>
      <c r="AS941" t="s">
        <v>17924</v>
      </c>
      <c r="AT941" t="s">
        <v>74</v>
      </c>
      <c r="AU941">
        <v>2019</v>
      </c>
      <c r="AV941">
        <v>57</v>
      </c>
      <c r="AW941" t="s">
        <v>74</v>
      </c>
      <c r="AX941" t="s">
        <v>74</v>
      </c>
      <c r="AY941" t="s">
        <v>74</v>
      </c>
      <c r="AZ941" t="s">
        <v>74</v>
      </c>
      <c r="BA941" t="s">
        <v>74</v>
      </c>
      <c r="BB941">
        <v>169</v>
      </c>
      <c r="BC941" t="s">
        <v>1394</v>
      </c>
      <c r="BD941" t="s">
        <v>74</v>
      </c>
      <c r="BE941" t="s">
        <v>74</v>
      </c>
      <c r="BF941" t="s">
        <v>74</v>
      </c>
      <c r="BG941" t="s">
        <v>17925</v>
      </c>
      <c r="BH941" t="s">
        <v>74</v>
      </c>
      <c r="BI941">
        <v>22</v>
      </c>
      <c r="BJ941" t="s">
        <v>250</v>
      </c>
      <c r="BK941" t="s">
        <v>17493</v>
      </c>
      <c r="BL941" t="s">
        <v>250</v>
      </c>
      <c r="BM941" t="s">
        <v>17926</v>
      </c>
      <c r="BN941" t="s">
        <v>74</v>
      </c>
      <c r="BO941" t="s">
        <v>5377</v>
      </c>
      <c r="BP941" t="s">
        <v>74</v>
      </c>
      <c r="BQ941" t="s">
        <v>74</v>
      </c>
      <c r="BR941" t="s">
        <v>107</v>
      </c>
      <c r="BS941" t="s">
        <v>17927</v>
      </c>
      <c r="BT941" t="str">
        <f>HYPERLINK("https%3A%2F%2Fwww.webofscience.com%2Fwos%2Fwoscc%2Ffull-record%2FWOS:000535123100005","View Full Record in Web of Science")</f>
        <v>View Full Record in Web of Science</v>
      </c>
    </row>
    <row r="942" spans="1:72" x14ac:dyDescent="0.15">
      <c r="A942" t="s">
        <v>16897</v>
      </c>
      <c r="B942" t="s">
        <v>17928</v>
      </c>
      <c r="C942" t="s">
        <v>74</v>
      </c>
      <c r="D942" t="s">
        <v>17902</v>
      </c>
      <c r="E942" t="s">
        <v>74</v>
      </c>
      <c r="F942" t="s">
        <v>17929</v>
      </c>
      <c r="G942" t="s">
        <v>74</v>
      </c>
      <c r="H942" t="s">
        <v>74</v>
      </c>
      <c r="I942" t="s">
        <v>17930</v>
      </c>
      <c r="J942" t="s">
        <v>17905</v>
      </c>
      <c r="K942" t="s">
        <v>17906</v>
      </c>
      <c r="L942" t="s">
        <v>74</v>
      </c>
      <c r="M942" t="s">
        <v>78</v>
      </c>
      <c r="N942" t="s">
        <v>17065</v>
      </c>
      <c r="O942" t="s">
        <v>74</v>
      </c>
      <c r="P942" t="s">
        <v>74</v>
      </c>
      <c r="Q942" t="s">
        <v>74</v>
      </c>
      <c r="R942" t="s">
        <v>74</v>
      </c>
      <c r="S942" t="s">
        <v>74</v>
      </c>
      <c r="T942" t="s">
        <v>74</v>
      </c>
      <c r="U942" t="s">
        <v>17931</v>
      </c>
      <c r="V942" t="s">
        <v>17932</v>
      </c>
      <c r="W942" t="s">
        <v>17933</v>
      </c>
      <c r="X942" t="s">
        <v>17934</v>
      </c>
      <c r="Y942" t="s">
        <v>17935</v>
      </c>
      <c r="Z942" t="s">
        <v>17936</v>
      </c>
      <c r="AA942" t="s">
        <v>17937</v>
      </c>
      <c r="AB942" t="s">
        <v>17938</v>
      </c>
      <c r="AC942" t="s">
        <v>17939</v>
      </c>
      <c r="AD942" t="s">
        <v>17940</v>
      </c>
      <c r="AE942" t="s">
        <v>17941</v>
      </c>
      <c r="AF942" t="s">
        <v>74</v>
      </c>
      <c r="AG942">
        <v>262</v>
      </c>
      <c r="AH942">
        <v>18</v>
      </c>
      <c r="AI942">
        <v>18</v>
      </c>
      <c r="AJ942">
        <v>3</v>
      </c>
      <c r="AK942">
        <v>34</v>
      </c>
      <c r="AL942" t="s">
        <v>17918</v>
      </c>
      <c r="AM942" t="s">
        <v>17919</v>
      </c>
      <c r="AN942" t="s">
        <v>17920</v>
      </c>
      <c r="AO942" t="s">
        <v>17921</v>
      </c>
      <c r="AP942" t="s">
        <v>74</v>
      </c>
      <c r="AQ942" t="s">
        <v>17922</v>
      </c>
      <c r="AR942" t="s">
        <v>17923</v>
      </c>
      <c r="AS942" t="s">
        <v>17924</v>
      </c>
      <c r="AT942" t="s">
        <v>74</v>
      </c>
      <c r="AU942">
        <v>2019</v>
      </c>
      <c r="AV942">
        <v>57</v>
      </c>
      <c r="AW942" t="s">
        <v>74</v>
      </c>
      <c r="AX942" t="s">
        <v>74</v>
      </c>
      <c r="AY942" t="s">
        <v>74</v>
      </c>
      <c r="AZ942" t="s">
        <v>74</v>
      </c>
      <c r="BA942" t="s">
        <v>74</v>
      </c>
      <c r="BB942">
        <v>229</v>
      </c>
      <c r="BC942" t="s">
        <v>1394</v>
      </c>
      <c r="BD942" t="s">
        <v>74</v>
      </c>
      <c r="BE942" t="s">
        <v>74</v>
      </c>
      <c r="BF942" t="s">
        <v>74</v>
      </c>
      <c r="BG942" t="s">
        <v>17925</v>
      </c>
      <c r="BH942" t="s">
        <v>74</v>
      </c>
      <c r="BI942">
        <v>14</v>
      </c>
      <c r="BJ942" t="s">
        <v>250</v>
      </c>
      <c r="BK942" t="s">
        <v>17493</v>
      </c>
      <c r="BL942" t="s">
        <v>250</v>
      </c>
      <c r="BM942" t="s">
        <v>17926</v>
      </c>
      <c r="BN942" t="s">
        <v>74</v>
      </c>
      <c r="BO942" t="s">
        <v>5377</v>
      </c>
      <c r="BP942" t="s">
        <v>74</v>
      </c>
      <c r="BQ942" t="s">
        <v>74</v>
      </c>
      <c r="BR942" t="s">
        <v>107</v>
      </c>
      <c r="BS942" t="s">
        <v>17942</v>
      </c>
      <c r="BT942" t="str">
        <f>HYPERLINK("https%3A%2F%2Fwww.webofscience.com%2Fwos%2Fwoscc%2Ffull-record%2FWOS:000535123100006","View Full Record in Web of Science")</f>
        <v>View Full Record in Web of Science</v>
      </c>
    </row>
    <row r="943" spans="1:72" x14ac:dyDescent="0.15">
      <c r="A943" t="s">
        <v>16897</v>
      </c>
      <c r="B943" t="s">
        <v>17943</v>
      </c>
      <c r="C943" t="s">
        <v>74</v>
      </c>
      <c r="D943" t="s">
        <v>17902</v>
      </c>
      <c r="E943" t="s">
        <v>74</v>
      </c>
      <c r="F943" t="s">
        <v>17944</v>
      </c>
      <c r="G943" t="s">
        <v>74</v>
      </c>
      <c r="H943" t="s">
        <v>74</v>
      </c>
      <c r="I943" t="s">
        <v>17945</v>
      </c>
      <c r="J943" t="s">
        <v>17905</v>
      </c>
      <c r="K943" t="s">
        <v>17906</v>
      </c>
      <c r="L943" t="s">
        <v>74</v>
      </c>
      <c r="M943" t="s">
        <v>78</v>
      </c>
      <c r="N943" t="s">
        <v>17065</v>
      </c>
      <c r="O943" t="s">
        <v>74</v>
      </c>
      <c r="P943" t="s">
        <v>74</v>
      </c>
      <c r="Q943" t="s">
        <v>74</v>
      </c>
      <c r="R943" t="s">
        <v>74</v>
      </c>
      <c r="S943" t="s">
        <v>74</v>
      </c>
      <c r="T943" t="s">
        <v>74</v>
      </c>
      <c r="U943" t="s">
        <v>17946</v>
      </c>
      <c r="V943" t="s">
        <v>17947</v>
      </c>
      <c r="W943" t="s">
        <v>17948</v>
      </c>
      <c r="X943" t="s">
        <v>17949</v>
      </c>
      <c r="Y943" t="s">
        <v>17950</v>
      </c>
      <c r="Z943" t="s">
        <v>17951</v>
      </c>
      <c r="AA943" t="s">
        <v>17952</v>
      </c>
      <c r="AB943" t="s">
        <v>17953</v>
      </c>
      <c r="AC943" t="s">
        <v>17954</v>
      </c>
      <c r="AD943" t="s">
        <v>17955</v>
      </c>
      <c r="AE943" t="s">
        <v>17956</v>
      </c>
      <c r="AF943" t="s">
        <v>74</v>
      </c>
      <c r="AG943">
        <v>436</v>
      </c>
      <c r="AH943">
        <v>70</v>
      </c>
      <c r="AI943">
        <v>70</v>
      </c>
      <c r="AJ943">
        <v>1</v>
      </c>
      <c r="AK943">
        <v>41</v>
      </c>
      <c r="AL943" t="s">
        <v>17918</v>
      </c>
      <c r="AM943" t="s">
        <v>17919</v>
      </c>
      <c r="AN943" t="s">
        <v>17920</v>
      </c>
      <c r="AO943" t="s">
        <v>17921</v>
      </c>
      <c r="AP943" t="s">
        <v>74</v>
      </c>
      <c r="AQ943" t="s">
        <v>17922</v>
      </c>
      <c r="AR943" t="s">
        <v>17923</v>
      </c>
      <c r="AS943" t="s">
        <v>17924</v>
      </c>
      <c r="AT943" t="s">
        <v>74</v>
      </c>
      <c r="AU943">
        <v>2019</v>
      </c>
      <c r="AV943">
        <v>57</v>
      </c>
      <c r="AW943" t="s">
        <v>74</v>
      </c>
      <c r="AX943" t="s">
        <v>74</v>
      </c>
      <c r="AY943" t="s">
        <v>74</v>
      </c>
      <c r="AZ943" t="s">
        <v>74</v>
      </c>
      <c r="BA943" t="s">
        <v>74</v>
      </c>
      <c r="BB943">
        <v>265</v>
      </c>
      <c r="BC943" t="s">
        <v>1394</v>
      </c>
      <c r="BD943" t="s">
        <v>74</v>
      </c>
      <c r="BE943" t="s">
        <v>74</v>
      </c>
      <c r="BF943" t="s">
        <v>74</v>
      </c>
      <c r="BG943" t="s">
        <v>17925</v>
      </c>
      <c r="BH943" t="s">
        <v>74</v>
      </c>
      <c r="BI943">
        <v>22</v>
      </c>
      <c r="BJ943" t="s">
        <v>250</v>
      </c>
      <c r="BK943" t="s">
        <v>17493</v>
      </c>
      <c r="BL943" t="s">
        <v>250</v>
      </c>
      <c r="BM943" t="s">
        <v>17926</v>
      </c>
      <c r="BN943" t="s">
        <v>74</v>
      </c>
      <c r="BO943" t="s">
        <v>5377</v>
      </c>
      <c r="BP943" t="s">
        <v>74</v>
      </c>
      <c r="BQ943" t="s">
        <v>74</v>
      </c>
      <c r="BR943" t="s">
        <v>107</v>
      </c>
      <c r="BS943" t="s">
        <v>17957</v>
      </c>
      <c r="BT943" t="str">
        <f>HYPERLINK("https%3A%2F%2Fwww.webofscience.com%2Fwos%2Fwoscc%2Ffull-record%2FWOS:000535123100007","View Full Record in Web of Science")</f>
        <v>View Full Record in Web of Science</v>
      </c>
    </row>
    <row r="944" spans="1:72" x14ac:dyDescent="0.15">
      <c r="A944" t="s">
        <v>17084</v>
      </c>
      <c r="B944" t="s">
        <v>17958</v>
      </c>
      <c r="C944" t="s">
        <v>74</v>
      </c>
      <c r="D944" t="s">
        <v>74</v>
      </c>
      <c r="E944" t="s">
        <v>17086</v>
      </c>
      <c r="F944" t="s">
        <v>17959</v>
      </c>
      <c r="G944" t="s">
        <v>74</v>
      </c>
      <c r="H944" t="s">
        <v>74</v>
      </c>
      <c r="I944" t="s">
        <v>17960</v>
      </c>
      <c r="J944" t="s">
        <v>17961</v>
      </c>
      <c r="K944" t="s">
        <v>17962</v>
      </c>
      <c r="L944" t="s">
        <v>74</v>
      </c>
      <c r="M944" t="s">
        <v>78</v>
      </c>
      <c r="N944" t="s">
        <v>17090</v>
      </c>
      <c r="O944" t="s">
        <v>17963</v>
      </c>
      <c r="P944" t="s">
        <v>17964</v>
      </c>
      <c r="Q944" t="s">
        <v>17965</v>
      </c>
      <c r="R944" t="s">
        <v>74</v>
      </c>
      <c r="S944" t="s">
        <v>74</v>
      </c>
      <c r="T944" t="s">
        <v>17966</v>
      </c>
      <c r="U944" t="s">
        <v>74</v>
      </c>
      <c r="V944" t="s">
        <v>17967</v>
      </c>
      <c r="W944" t="s">
        <v>17968</v>
      </c>
      <c r="X944" t="s">
        <v>17969</v>
      </c>
      <c r="Y944" t="s">
        <v>17970</v>
      </c>
      <c r="Z944" t="s">
        <v>17971</v>
      </c>
      <c r="AA944" t="s">
        <v>17972</v>
      </c>
      <c r="AB944" t="s">
        <v>17973</v>
      </c>
      <c r="AC944" t="s">
        <v>17974</v>
      </c>
      <c r="AD944" t="s">
        <v>17975</v>
      </c>
      <c r="AE944" t="s">
        <v>17976</v>
      </c>
      <c r="AF944" t="s">
        <v>74</v>
      </c>
      <c r="AG944">
        <v>10</v>
      </c>
      <c r="AH944">
        <v>0</v>
      </c>
      <c r="AI944">
        <v>0</v>
      </c>
      <c r="AJ944">
        <v>0</v>
      </c>
      <c r="AK944">
        <v>2</v>
      </c>
      <c r="AL944" t="s">
        <v>17086</v>
      </c>
      <c r="AM944" t="s">
        <v>607</v>
      </c>
      <c r="AN944" t="s">
        <v>17105</v>
      </c>
      <c r="AO944" t="s">
        <v>17977</v>
      </c>
      <c r="AP944" t="s">
        <v>74</v>
      </c>
      <c r="AQ944" t="s">
        <v>17978</v>
      </c>
      <c r="AR944" t="s">
        <v>17962</v>
      </c>
      <c r="AS944" t="s">
        <v>74</v>
      </c>
      <c r="AT944" t="s">
        <v>74</v>
      </c>
      <c r="AU944">
        <v>2019</v>
      </c>
      <c r="AV944" t="s">
        <v>74</v>
      </c>
      <c r="AW944" t="s">
        <v>74</v>
      </c>
      <c r="AX944" t="s">
        <v>74</v>
      </c>
      <c r="AY944" t="s">
        <v>74</v>
      </c>
      <c r="AZ944" t="s">
        <v>74</v>
      </c>
      <c r="BA944" t="s">
        <v>74</v>
      </c>
      <c r="BB944" t="s">
        <v>74</v>
      </c>
      <c r="BC944" t="s">
        <v>74</v>
      </c>
      <c r="BD944" t="s">
        <v>74</v>
      </c>
      <c r="BE944" t="s">
        <v>74</v>
      </c>
      <c r="BF944" t="s">
        <v>74</v>
      </c>
      <c r="BG944" t="s">
        <v>74</v>
      </c>
      <c r="BH944" t="s">
        <v>74</v>
      </c>
      <c r="BI944">
        <v>6</v>
      </c>
      <c r="BJ944" t="s">
        <v>17979</v>
      </c>
      <c r="BK944" t="s">
        <v>17108</v>
      </c>
      <c r="BL944" t="s">
        <v>6681</v>
      </c>
      <c r="BM944" t="s">
        <v>17980</v>
      </c>
      <c r="BN944" t="s">
        <v>74</v>
      </c>
      <c r="BO944" t="s">
        <v>74</v>
      </c>
      <c r="BP944" t="s">
        <v>74</v>
      </c>
      <c r="BQ944" t="s">
        <v>74</v>
      </c>
      <c r="BR944" t="s">
        <v>107</v>
      </c>
      <c r="BS944" t="s">
        <v>17981</v>
      </c>
      <c r="BT944" t="str">
        <f>HYPERLINK("https%3A%2F%2Fwww.webofscience.com%2Fwos%2Fwoscc%2Ffull-record%2FWOS:000534568500171","View Full Record in Web of Science")</f>
        <v>View Full Record in Web of Science</v>
      </c>
    </row>
    <row r="945" spans="1:72" x14ac:dyDescent="0.15">
      <c r="A945" t="s">
        <v>17084</v>
      </c>
      <c r="B945" t="s">
        <v>17982</v>
      </c>
      <c r="C945" t="s">
        <v>74</v>
      </c>
      <c r="D945" t="s">
        <v>74</v>
      </c>
      <c r="E945" t="s">
        <v>17086</v>
      </c>
      <c r="F945" t="s">
        <v>17983</v>
      </c>
      <c r="G945" t="s">
        <v>74</v>
      </c>
      <c r="H945" t="s">
        <v>74</v>
      </c>
      <c r="I945" t="s">
        <v>17984</v>
      </c>
      <c r="J945" t="s">
        <v>17961</v>
      </c>
      <c r="K945" t="s">
        <v>17962</v>
      </c>
      <c r="L945" t="s">
        <v>74</v>
      </c>
      <c r="M945" t="s">
        <v>78</v>
      </c>
      <c r="N945" t="s">
        <v>17090</v>
      </c>
      <c r="O945" t="s">
        <v>17963</v>
      </c>
      <c r="P945" t="s">
        <v>17964</v>
      </c>
      <c r="Q945" t="s">
        <v>17965</v>
      </c>
      <c r="R945" t="s">
        <v>74</v>
      </c>
      <c r="S945" t="s">
        <v>74</v>
      </c>
      <c r="T945" t="s">
        <v>17985</v>
      </c>
      <c r="U945" t="s">
        <v>17986</v>
      </c>
      <c r="V945" t="s">
        <v>17987</v>
      </c>
      <c r="W945" t="s">
        <v>17988</v>
      </c>
      <c r="X945" t="s">
        <v>17989</v>
      </c>
      <c r="Y945" t="s">
        <v>17990</v>
      </c>
      <c r="Z945" t="s">
        <v>74</v>
      </c>
      <c r="AA945" t="s">
        <v>17862</v>
      </c>
      <c r="AB945" t="s">
        <v>17991</v>
      </c>
      <c r="AC945" t="s">
        <v>74</v>
      </c>
      <c r="AD945" t="s">
        <v>74</v>
      </c>
      <c r="AE945" t="s">
        <v>74</v>
      </c>
      <c r="AF945" t="s">
        <v>74</v>
      </c>
      <c r="AG945">
        <v>16</v>
      </c>
      <c r="AH945">
        <v>0</v>
      </c>
      <c r="AI945">
        <v>0</v>
      </c>
      <c r="AJ945">
        <v>0</v>
      </c>
      <c r="AK945">
        <v>1</v>
      </c>
      <c r="AL945" t="s">
        <v>17086</v>
      </c>
      <c r="AM945" t="s">
        <v>607</v>
      </c>
      <c r="AN945" t="s">
        <v>17105</v>
      </c>
      <c r="AO945" t="s">
        <v>17977</v>
      </c>
      <c r="AP945" t="s">
        <v>74</v>
      </c>
      <c r="AQ945" t="s">
        <v>17978</v>
      </c>
      <c r="AR945" t="s">
        <v>17962</v>
      </c>
      <c r="AS945" t="s">
        <v>74</v>
      </c>
      <c r="AT945" t="s">
        <v>74</v>
      </c>
      <c r="AU945">
        <v>2019</v>
      </c>
      <c r="AV945" t="s">
        <v>74</v>
      </c>
      <c r="AW945" t="s">
        <v>74</v>
      </c>
      <c r="AX945" t="s">
        <v>74</v>
      </c>
      <c r="AY945" t="s">
        <v>74</v>
      </c>
      <c r="AZ945" t="s">
        <v>74</v>
      </c>
      <c r="BA945" t="s">
        <v>74</v>
      </c>
      <c r="BB945" t="s">
        <v>74</v>
      </c>
      <c r="BC945" t="s">
        <v>74</v>
      </c>
      <c r="BD945" t="s">
        <v>74</v>
      </c>
      <c r="BE945" t="s">
        <v>74</v>
      </c>
      <c r="BF945" t="s">
        <v>74</v>
      </c>
      <c r="BG945" t="s">
        <v>74</v>
      </c>
      <c r="BH945" t="s">
        <v>74</v>
      </c>
      <c r="BI945">
        <v>7</v>
      </c>
      <c r="BJ945" t="s">
        <v>17979</v>
      </c>
      <c r="BK945" t="s">
        <v>17108</v>
      </c>
      <c r="BL945" t="s">
        <v>6681</v>
      </c>
      <c r="BM945" t="s">
        <v>17980</v>
      </c>
      <c r="BN945" t="s">
        <v>74</v>
      </c>
      <c r="BO945" t="s">
        <v>74</v>
      </c>
      <c r="BP945" t="s">
        <v>74</v>
      </c>
      <c r="BQ945" t="s">
        <v>74</v>
      </c>
      <c r="BR945" t="s">
        <v>107</v>
      </c>
      <c r="BS945" t="s">
        <v>17992</v>
      </c>
      <c r="BT945" t="str">
        <f>HYPERLINK("https%3A%2F%2Fwww.webofscience.com%2Fwos%2Fwoscc%2Ffull-record%2FWOS:000534568500203","View Full Record in Web of Science")</f>
        <v>View Full Record in Web of Science</v>
      </c>
    </row>
    <row r="946" spans="1:72" x14ac:dyDescent="0.15">
      <c r="A946" t="s">
        <v>17084</v>
      </c>
      <c r="B946" t="s">
        <v>17993</v>
      </c>
      <c r="C946" t="s">
        <v>74</v>
      </c>
      <c r="D946" t="s">
        <v>74</v>
      </c>
      <c r="E946" t="s">
        <v>17086</v>
      </c>
      <c r="F946" t="s">
        <v>17994</v>
      </c>
      <c r="G946" t="s">
        <v>74</v>
      </c>
      <c r="H946" t="s">
        <v>74</v>
      </c>
      <c r="I946" t="s">
        <v>17995</v>
      </c>
      <c r="J946" t="s">
        <v>17961</v>
      </c>
      <c r="K946" t="s">
        <v>17962</v>
      </c>
      <c r="L946" t="s">
        <v>74</v>
      </c>
      <c r="M946" t="s">
        <v>78</v>
      </c>
      <c r="N946" t="s">
        <v>17090</v>
      </c>
      <c r="O946" t="s">
        <v>17963</v>
      </c>
      <c r="P946" t="s">
        <v>17964</v>
      </c>
      <c r="Q946" t="s">
        <v>17965</v>
      </c>
      <c r="R946" t="s">
        <v>74</v>
      </c>
      <c r="S946" t="s">
        <v>74</v>
      </c>
      <c r="T946" t="s">
        <v>17996</v>
      </c>
      <c r="U946" t="s">
        <v>74</v>
      </c>
      <c r="V946" t="s">
        <v>17997</v>
      </c>
      <c r="W946" t="s">
        <v>17998</v>
      </c>
      <c r="X946" t="s">
        <v>17999</v>
      </c>
      <c r="Y946" t="s">
        <v>18000</v>
      </c>
      <c r="Z946" t="s">
        <v>18001</v>
      </c>
      <c r="AA946" t="s">
        <v>18002</v>
      </c>
      <c r="AB946" t="s">
        <v>18003</v>
      </c>
      <c r="AC946" t="s">
        <v>18004</v>
      </c>
      <c r="AD946" t="s">
        <v>18004</v>
      </c>
      <c r="AE946" t="s">
        <v>18005</v>
      </c>
      <c r="AF946" t="s">
        <v>74</v>
      </c>
      <c r="AG946">
        <v>9</v>
      </c>
      <c r="AH946">
        <v>0</v>
      </c>
      <c r="AI946">
        <v>0</v>
      </c>
      <c r="AJ946">
        <v>0</v>
      </c>
      <c r="AK946">
        <v>0</v>
      </c>
      <c r="AL946" t="s">
        <v>17086</v>
      </c>
      <c r="AM946" t="s">
        <v>607</v>
      </c>
      <c r="AN946" t="s">
        <v>17105</v>
      </c>
      <c r="AO946" t="s">
        <v>17977</v>
      </c>
      <c r="AP946" t="s">
        <v>74</v>
      </c>
      <c r="AQ946" t="s">
        <v>17978</v>
      </c>
      <c r="AR946" t="s">
        <v>17962</v>
      </c>
      <c r="AS946" t="s">
        <v>74</v>
      </c>
      <c r="AT946" t="s">
        <v>74</v>
      </c>
      <c r="AU946">
        <v>2019</v>
      </c>
      <c r="AV946" t="s">
        <v>74</v>
      </c>
      <c r="AW946" t="s">
        <v>74</v>
      </c>
      <c r="AX946" t="s">
        <v>74</v>
      </c>
      <c r="AY946" t="s">
        <v>74</v>
      </c>
      <c r="AZ946" t="s">
        <v>74</v>
      </c>
      <c r="BA946" t="s">
        <v>74</v>
      </c>
      <c r="BB946" t="s">
        <v>74</v>
      </c>
      <c r="BC946" t="s">
        <v>74</v>
      </c>
      <c r="BD946" t="s">
        <v>74</v>
      </c>
      <c r="BE946" t="s">
        <v>74</v>
      </c>
      <c r="BF946" t="s">
        <v>74</v>
      </c>
      <c r="BG946" t="s">
        <v>74</v>
      </c>
      <c r="BH946" t="s">
        <v>74</v>
      </c>
      <c r="BI946">
        <v>5</v>
      </c>
      <c r="BJ946" t="s">
        <v>17979</v>
      </c>
      <c r="BK946" t="s">
        <v>17108</v>
      </c>
      <c r="BL946" t="s">
        <v>6681</v>
      </c>
      <c r="BM946" t="s">
        <v>17980</v>
      </c>
      <c r="BN946" t="s">
        <v>74</v>
      </c>
      <c r="BO946" t="s">
        <v>74</v>
      </c>
      <c r="BP946" t="s">
        <v>74</v>
      </c>
      <c r="BQ946" t="s">
        <v>74</v>
      </c>
      <c r="BR946" t="s">
        <v>107</v>
      </c>
      <c r="BS946" t="s">
        <v>18006</v>
      </c>
      <c r="BT946" t="str">
        <f>HYPERLINK("https%3A%2F%2Fwww.webofscience.com%2Fwos%2Fwoscc%2Ffull-record%2FWOS:000534568500229","View Full Record in Web of Science")</f>
        <v>View Full Record in Web of Science</v>
      </c>
    </row>
    <row r="947" spans="1:72" x14ac:dyDescent="0.15">
      <c r="A947" t="s">
        <v>17084</v>
      </c>
      <c r="B947" t="s">
        <v>18007</v>
      </c>
      <c r="C947" t="s">
        <v>74</v>
      </c>
      <c r="D947" t="s">
        <v>74</v>
      </c>
      <c r="E947" t="s">
        <v>17086</v>
      </c>
      <c r="F947" t="s">
        <v>18008</v>
      </c>
      <c r="G947" t="s">
        <v>74</v>
      </c>
      <c r="H947" t="s">
        <v>74</v>
      </c>
      <c r="I947" t="s">
        <v>18009</v>
      </c>
      <c r="J947" t="s">
        <v>17961</v>
      </c>
      <c r="K947" t="s">
        <v>17962</v>
      </c>
      <c r="L947" t="s">
        <v>74</v>
      </c>
      <c r="M947" t="s">
        <v>78</v>
      </c>
      <c r="N947" t="s">
        <v>17090</v>
      </c>
      <c r="O947" t="s">
        <v>17963</v>
      </c>
      <c r="P947" t="s">
        <v>17964</v>
      </c>
      <c r="Q947" t="s">
        <v>17965</v>
      </c>
      <c r="R947" t="s">
        <v>74</v>
      </c>
      <c r="S947" t="s">
        <v>74</v>
      </c>
      <c r="T947" t="s">
        <v>18010</v>
      </c>
      <c r="U947" t="s">
        <v>74</v>
      </c>
      <c r="V947" t="s">
        <v>18011</v>
      </c>
      <c r="W947" t="s">
        <v>18012</v>
      </c>
      <c r="X947" t="s">
        <v>18013</v>
      </c>
      <c r="Y947" t="s">
        <v>18014</v>
      </c>
      <c r="Z947" t="s">
        <v>18015</v>
      </c>
      <c r="AA947" t="s">
        <v>74</v>
      </c>
      <c r="AB947" t="s">
        <v>74</v>
      </c>
      <c r="AC947" t="s">
        <v>18016</v>
      </c>
      <c r="AD947" t="s">
        <v>18017</v>
      </c>
      <c r="AE947" t="s">
        <v>18018</v>
      </c>
      <c r="AF947" t="s">
        <v>74</v>
      </c>
      <c r="AG947">
        <v>1</v>
      </c>
      <c r="AH947">
        <v>1</v>
      </c>
      <c r="AI947">
        <v>1</v>
      </c>
      <c r="AJ947">
        <v>0</v>
      </c>
      <c r="AK947">
        <v>1</v>
      </c>
      <c r="AL947" t="s">
        <v>17086</v>
      </c>
      <c r="AM947" t="s">
        <v>607</v>
      </c>
      <c r="AN947" t="s">
        <v>17105</v>
      </c>
      <c r="AO947" t="s">
        <v>17977</v>
      </c>
      <c r="AP947" t="s">
        <v>74</v>
      </c>
      <c r="AQ947" t="s">
        <v>17978</v>
      </c>
      <c r="AR947" t="s">
        <v>17962</v>
      </c>
      <c r="AS947" t="s">
        <v>74</v>
      </c>
      <c r="AT947" t="s">
        <v>74</v>
      </c>
      <c r="AU947">
        <v>2019</v>
      </c>
      <c r="AV947" t="s">
        <v>74</v>
      </c>
      <c r="AW947" t="s">
        <v>74</v>
      </c>
      <c r="AX947" t="s">
        <v>74</v>
      </c>
      <c r="AY947" t="s">
        <v>74</v>
      </c>
      <c r="AZ947" t="s">
        <v>74</v>
      </c>
      <c r="BA947" t="s">
        <v>74</v>
      </c>
      <c r="BB947" t="s">
        <v>74</v>
      </c>
      <c r="BC947" t="s">
        <v>74</v>
      </c>
      <c r="BD947" t="s">
        <v>74</v>
      </c>
      <c r="BE947" t="s">
        <v>74</v>
      </c>
      <c r="BF947" t="s">
        <v>74</v>
      </c>
      <c r="BG947" t="s">
        <v>74</v>
      </c>
      <c r="BH947" t="s">
        <v>74</v>
      </c>
      <c r="BI947">
        <v>4</v>
      </c>
      <c r="BJ947" t="s">
        <v>17979</v>
      </c>
      <c r="BK947" t="s">
        <v>17108</v>
      </c>
      <c r="BL947" t="s">
        <v>6681</v>
      </c>
      <c r="BM947" t="s">
        <v>17980</v>
      </c>
      <c r="BN947" t="s">
        <v>74</v>
      </c>
      <c r="BO947" t="s">
        <v>74</v>
      </c>
      <c r="BP947" t="s">
        <v>74</v>
      </c>
      <c r="BQ947" t="s">
        <v>74</v>
      </c>
      <c r="BR947" t="s">
        <v>107</v>
      </c>
      <c r="BS947" t="s">
        <v>18019</v>
      </c>
      <c r="BT947" t="str">
        <f>HYPERLINK("https%3A%2F%2Fwww.webofscience.com%2Fwos%2Fwoscc%2Ffull-record%2FWOS:000534568500254","View Full Record in Web of Science")</f>
        <v>View Full Record in Web of Science</v>
      </c>
    </row>
    <row r="948" spans="1:72" x14ac:dyDescent="0.15">
      <c r="A948" t="s">
        <v>17084</v>
      </c>
      <c r="B948" t="s">
        <v>18020</v>
      </c>
      <c r="C948" t="s">
        <v>74</v>
      </c>
      <c r="D948" t="s">
        <v>18021</v>
      </c>
      <c r="E948" t="s">
        <v>74</v>
      </c>
      <c r="F948" t="s">
        <v>18022</v>
      </c>
      <c r="G948" t="s">
        <v>74</v>
      </c>
      <c r="H948" t="s">
        <v>74</v>
      </c>
      <c r="I948" t="s">
        <v>18023</v>
      </c>
      <c r="J948" t="s">
        <v>18024</v>
      </c>
      <c r="K948" t="s">
        <v>17875</v>
      </c>
      <c r="L948" t="s">
        <v>74</v>
      </c>
      <c r="M948" t="s">
        <v>78</v>
      </c>
      <c r="N948" t="s">
        <v>17090</v>
      </c>
      <c r="O948" t="s">
        <v>18025</v>
      </c>
      <c r="P948" t="s">
        <v>18026</v>
      </c>
      <c r="Q948" t="s">
        <v>18027</v>
      </c>
      <c r="R948" t="s">
        <v>74</v>
      </c>
      <c r="S948" t="s">
        <v>74</v>
      </c>
      <c r="T948" t="s">
        <v>18028</v>
      </c>
      <c r="U948" t="s">
        <v>74</v>
      </c>
      <c r="V948" t="s">
        <v>18029</v>
      </c>
      <c r="W948" t="s">
        <v>18030</v>
      </c>
      <c r="X948" t="s">
        <v>18031</v>
      </c>
      <c r="Y948" t="s">
        <v>18032</v>
      </c>
      <c r="Z948" t="s">
        <v>18033</v>
      </c>
      <c r="AA948" t="s">
        <v>18034</v>
      </c>
      <c r="AB948" t="s">
        <v>18035</v>
      </c>
      <c r="AC948" t="s">
        <v>18036</v>
      </c>
      <c r="AD948" t="s">
        <v>18037</v>
      </c>
      <c r="AE948" t="s">
        <v>18038</v>
      </c>
      <c r="AF948" t="s">
        <v>74</v>
      </c>
      <c r="AG948">
        <v>7</v>
      </c>
      <c r="AH948">
        <v>0</v>
      </c>
      <c r="AI948">
        <v>0</v>
      </c>
      <c r="AJ948">
        <v>0</v>
      </c>
      <c r="AK948">
        <v>0</v>
      </c>
      <c r="AL948" t="s">
        <v>17889</v>
      </c>
      <c r="AM948" t="s">
        <v>17890</v>
      </c>
      <c r="AN948" t="s">
        <v>17891</v>
      </c>
      <c r="AO948" t="s">
        <v>17892</v>
      </c>
      <c r="AP948" t="s">
        <v>17893</v>
      </c>
      <c r="AQ948" t="s">
        <v>18039</v>
      </c>
      <c r="AR948" t="s">
        <v>17895</v>
      </c>
      <c r="AS948" t="s">
        <v>74</v>
      </c>
      <c r="AT948" t="s">
        <v>74</v>
      </c>
      <c r="AU948">
        <v>2019</v>
      </c>
      <c r="AV948">
        <v>11208</v>
      </c>
      <c r="AW948" t="s">
        <v>74</v>
      </c>
      <c r="AX948" t="s">
        <v>74</v>
      </c>
      <c r="AY948" t="s">
        <v>74</v>
      </c>
      <c r="AZ948" t="s">
        <v>74</v>
      </c>
      <c r="BA948" t="s">
        <v>74</v>
      </c>
      <c r="BB948" t="s">
        <v>74</v>
      </c>
      <c r="BC948" t="s">
        <v>74</v>
      </c>
      <c r="BD948">
        <v>1120834</v>
      </c>
      <c r="BE948" t="s">
        <v>18040</v>
      </c>
      <c r="BF948" t="str">
        <f>HYPERLINK("http://dx.doi.org/10.1117/12.2539588","http://dx.doi.org/10.1117/12.2539588")</f>
        <v>http://dx.doi.org/10.1117/12.2539588</v>
      </c>
      <c r="BG948" t="s">
        <v>74</v>
      </c>
      <c r="BH948" t="s">
        <v>74</v>
      </c>
      <c r="BI948">
        <v>4</v>
      </c>
      <c r="BJ948" t="s">
        <v>18041</v>
      </c>
      <c r="BK948" t="s">
        <v>17108</v>
      </c>
      <c r="BL948" t="s">
        <v>18041</v>
      </c>
      <c r="BM948" t="s">
        <v>18042</v>
      </c>
      <c r="BN948" t="s">
        <v>74</v>
      </c>
      <c r="BO948" t="s">
        <v>74</v>
      </c>
      <c r="BP948" t="s">
        <v>74</v>
      </c>
      <c r="BQ948" t="s">
        <v>74</v>
      </c>
      <c r="BR948" t="s">
        <v>107</v>
      </c>
      <c r="BS948" t="s">
        <v>18043</v>
      </c>
      <c r="BT948" t="str">
        <f>HYPERLINK("https%3A%2F%2Fwww.webofscience.com%2Fwos%2Fwoscc%2Ffull-record%2FWOS:000527367300112","View Full Record in Web of Science")</f>
        <v>View Full Record in Web of Science</v>
      </c>
    </row>
    <row r="949" spans="1:72" x14ac:dyDescent="0.15">
      <c r="A949" t="s">
        <v>17084</v>
      </c>
      <c r="B949" t="s">
        <v>18044</v>
      </c>
      <c r="C949" t="s">
        <v>74</v>
      </c>
      <c r="D949" t="s">
        <v>18021</v>
      </c>
      <c r="E949" t="s">
        <v>74</v>
      </c>
      <c r="F949" t="s">
        <v>18045</v>
      </c>
      <c r="G949" t="s">
        <v>74</v>
      </c>
      <c r="H949" t="s">
        <v>74</v>
      </c>
      <c r="I949" t="s">
        <v>18046</v>
      </c>
      <c r="J949" t="s">
        <v>18024</v>
      </c>
      <c r="K949" t="s">
        <v>17875</v>
      </c>
      <c r="L949" t="s">
        <v>74</v>
      </c>
      <c r="M949" t="s">
        <v>78</v>
      </c>
      <c r="N949" t="s">
        <v>17090</v>
      </c>
      <c r="O949" t="s">
        <v>18025</v>
      </c>
      <c r="P949" t="s">
        <v>18026</v>
      </c>
      <c r="Q949" t="s">
        <v>18027</v>
      </c>
      <c r="R949" t="s">
        <v>74</v>
      </c>
      <c r="S949" t="s">
        <v>74</v>
      </c>
      <c r="T949" t="s">
        <v>18047</v>
      </c>
      <c r="U949" t="s">
        <v>74</v>
      </c>
      <c r="V949" t="s">
        <v>18048</v>
      </c>
      <c r="W949" t="s">
        <v>18049</v>
      </c>
      <c r="X949" t="s">
        <v>18050</v>
      </c>
      <c r="Y949" t="s">
        <v>18051</v>
      </c>
      <c r="Z949" t="s">
        <v>18052</v>
      </c>
      <c r="AA949" t="s">
        <v>74</v>
      </c>
      <c r="AB949" t="s">
        <v>18053</v>
      </c>
      <c r="AC949" t="s">
        <v>74</v>
      </c>
      <c r="AD949" t="s">
        <v>74</v>
      </c>
      <c r="AE949" t="s">
        <v>74</v>
      </c>
      <c r="AF949" t="s">
        <v>74</v>
      </c>
      <c r="AG949">
        <v>6</v>
      </c>
      <c r="AH949">
        <v>0</v>
      </c>
      <c r="AI949">
        <v>0</v>
      </c>
      <c r="AJ949">
        <v>0</v>
      </c>
      <c r="AK949">
        <v>3</v>
      </c>
      <c r="AL949" t="s">
        <v>17889</v>
      </c>
      <c r="AM949" t="s">
        <v>17890</v>
      </c>
      <c r="AN949" t="s">
        <v>17891</v>
      </c>
      <c r="AO949" t="s">
        <v>17892</v>
      </c>
      <c r="AP949" t="s">
        <v>17893</v>
      </c>
      <c r="AQ949" t="s">
        <v>18039</v>
      </c>
      <c r="AR949" t="s">
        <v>17895</v>
      </c>
      <c r="AS949" t="s">
        <v>74</v>
      </c>
      <c r="AT949" t="s">
        <v>74</v>
      </c>
      <c r="AU949">
        <v>2019</v>
      </c>
      <c r="AV949">
        <v>11208</v>
      </c>
      <c r="AW949" t="s">
        <v>74</v>
      </c>
      <c r="AX949" t="s">
        <v>74</v>
      </c>
      <c r="AY949" t="s">
        <v>74</v>
      </c>
      <c r="AZ949" t="s">
        <v>74</v>
      </c>
      <c r="BA949" t="s">
        <v>74</v>
      </c>
      <c r="BB949" t="s">
        <v>74</v>
      </c>
      <c r="BC949" t="s">
        <v>74</v>
      </c>
      <c r="BD949" t="s">
        <v>18054</v>
      </c>
      <c r="BE949" t="s">
        <v>18055</v>
      </c>
      <c r="BF949" t="str">
        <f>HYPERLINK("http://dx.doi.org/10.1117/12.2541104","http://dx.doi.org/10.1117/12.2541104")</f>
        <v>http://dx.doi.org/10.1117/12.2541104</v>
      </c>
      <c r="BG949" t="s">
        <v>74</v>
      </c>
      <c r="BH949" t="s">
        <v>74</v>
      </c>
      <c r="BI949">
        <v>4</v>
      </c>
      <c r="BJ949" t="s">
        <v>18041</v>
      </c>
      <c r="BK949" t="s">
        <v>17108</v>
      </c>
      <c r="BL949" t="s">
        <v>18041</v>
      </c>
      <c r="BM949" t="s">
        <v>18042</v>
      </c>
      <c r="BN949" t="s">
        <v>74</v>
      </c>
      <c r="BO949" t="s">
        <v>403</v>
      </c>
      <c r="BP949" t="s">
        <v>74</v>
      </c>
      <c r="BQ949" t="s">
        <v>74</v>
      </c>
      <c r="BR949" t="s">
        <v>107</v>
      </c>
      <c r="BS949" t="s">
        <v>18056</v>
      </c>
      <c r="BT949" t="str">
        <f>HYPERLINK("https%3A%2F%2Fwww.webofscience.com%2Fwos%2Fwoscc%2Ffull-record%2FWOS:000527367300210","View Full Record in Web of Science")</f>
        <v>View Full Record in Web of Science</v>
      </c>
    </row>
    <row r="950" spans="1:72" x14ac:dyDescent="0.15">
      <c r="A950" t="s">
        <v>17084</v>
      </c>
      <c r="B950" t="s">
        <v>18057</v>
      </c>
      <c r="C950" t="s">
        <v>74</v>
      </c>
      <c r="D950" t="s">
        <v>18021</v>
      </c>
      <c r="E950" t="s">
        <v>74</v>
      </c>
      <c r="F950" t="s">
        <v>18058</v>
      </c>
      <c r="G950" t="s">
        <v>74</v>
      </c>
      <c r="H950" t="s">
        <v>74</v>
      </c>
      <c r="I950" t="s">
        <v>18059</v>
      </c>
      <c r="J950" t="s">
        <v>18024</v>
      </c>
      <c r="K950" t="s">
        <v>17875</v>
      </c>
      <c r="L950" t="s">
        <v>74</v>
      </c>
      <c r="M950" t="s">
        <v>78</v>
      </c>
      <c r="N950" t="s">
        <v>17090</v>
      </c>
      <c r="O950" t="s">
        <v>18025</v>
      </c>
      <c r="P950" t="s">
        <v>18026</v>
      </c>
      <c r="Q950" t="s">
        <v>18027</v>
      </c>
      <c r="R950" t="s">
        <v>74</v>
      </c>
      <c r="S950" t="s">
        <v>74</v>
      </c>
      <c r="T950" t="s">
        <v>18060</v>
      </c>
      <c r="U950" t="s">
        <v>18061</v>
      </c>
      <c r="V950" t="s">
        <v>18062</v>
      </c>
      <c r="W950" t="s">
        <v>18063</v>
      </c>
      <c r="X950" t="s">
        <v>18064</v>
      </c>
      <c r="Y950" t="s">
        <v>18065</v>
      </c>
      <c r="Z950" t="s">
        <v>18066</v>
      </c>
      <c r="AA950" t="s">
        <v>18067</v>
      </c>
      <c r="AB950" t="s">
        <v>18068</v>
      </c>
      <c r="AC950" t="s">
        <v>18069</v>
      </c>
      <c r="AD950" t="s">
        <v>18070</v>
      </c>
      <c r="AE950" t="s">
        <v>18071</v>
      </c>
      <c r="AF950" t="s">
        <v>74</v>
      </c>
      <c r="AG950">
        <v>83</v>
      </c>
      <c r="AH950">
        <v>0</v>
      </c>
      <c r="AI950">
        <v>0</v>
      </c>
      <c r="AJ950">
        <v>1</v>
      </c>
      <c r="AK950">
        <v>12</v>
      </c>
      <c r="AL950" t="s">
        <v>17889</v>
      </c>
      <c r="AM950" t="s">
        <v>17890</v>
      </c>
      <c r="AN950" t="s">
        <v>17891</v>
      </c>
      <c r="AO950" t="s">
        <v>17892</v>
      </c>
      <c r="AP950" t="s">
        <v>17893</v>
      </c>
      <c r="AQ950" t="s">
        <v>18039</v>
      </c>
      <c r="AR950" t="s">
        <v>17895</v>
      </c>
      <c r="AS950" t="s">
        <v>74</v>
      </c>
      <c r="AT950" t="s">
        <v>74</v>
      </c>
      <c r="AU950">
        <v>2019</v>
      </c>
      <c r="AV950">
        <v>11208</v>
      </c>
      <c r="AW950" t="s">
        <v>74</v>
      </c>
      <c r="AX950" t="s">
        <v>74</v>
      </c>
      <c r="AY950" t="s">
        <v>74</v>
      </c>
      <c r="AZ950" t="s">
        <v>74</v>
      </c>
      <c r="BA950" t="s">
        <v>74</v>
      </c>
      <c r="BB950" t="s">
        <v>74</v>
      </c>
      <c r="BC950" t="s">
        <v>74</v>
      </c>
      <c r="BD950" t="s">
        <v>18072</v>
      </c>
      <c r="BE950" t="s">
        <v>18073</v>
      </c>
      <c r="BF950" t="str">
        <f>HYPERLINK("http://dx.doi.org/10.1117/12.2540793","http://dx.doi.org/10.1117/12.2540793")</f>
        <v>http://dx.doi.org/10.1117/12.2540793</v>
      </c>
      <c r="BG950" t="s">
        <v>74</v>
      </c>
      <c r="BH950" t="s">
        <v>74</v>
      </c>
      <c r="BI950">
        <v>10</v>
      </c>
      <c r="BJ950" t="s">
        <v>18041</v>
      </c>
      <c r="BK950" t="s">
        <v>17108</v>
      </c>
      <c r="BL950" t="s">
        <v>18041</v>
      </c>
      <c r="BM950" t="s">
        <v>18042</v>
      </c>
      <c r="BN950" t="s">
        <v>74</v>
      </c>
      <c r="BO950" t="s">
        <v>74</v>
      </c>
      <c r="BP950" t="s">
        <v>74</v>
      </c>
      <c r="BQ950" t="s">
        <v>74</v>
      </c>
      <c r="BR950" t="s">
        <v>107</v>
      </c>
      <c r="BS950" t="s">
        <v>18074</v>
      </c>
      <c r="BT950" t="str">
        <f>HYPERLINK("https%3A%2F%2Fwww.webofscience.com%2Fwos%2Fwoscc%2Ffull-record%2FWOS:000527367300282","View Full Record in Web of Science")</f>
        <v>View Full Record in Web of Science</v>
      </c>
    </row>
    <row r="951" spans="1:72" x14ac:dyDescent="0.15">
      <c r="A951" t="s">
        <v>17084</v>
      </c>
      <c r="B951" t="s">
        <v>18075</v>
      </c>
      <c r="C951" t="s">
        <v>74</v>
      </c>
      <c r="D951" t="s">
        <v>18021</v>
      </c>
      <c r="E951" t="s">
        <v>74</v>
      </c>
      <c r="F951" t="s">
        <v>18076</v>
      </c>
      <c r="G951" t="s">
        <v>74</v>
      </c>
      <c r="H951" t="s">
        <v>74</v>
      </c>
      <c r="I951" t="s">
        <v>18077</v>
      </c>
      <c r="J951" t="s">
        <v>18024</v>
      </c>
      <c r="K951" t="s">
        <v>17875</v>
      </c>
      <c r="L951" t="s">
        <v>74</v>
      </c>
      <c r="M951" t="s">
        <v>78</v>
      </c>
      <c r="N951" t="s">
        <v>17090</v>
      </c>
      <c r="O951" t="s">
        <v>18025</v>
      </c>
      <c r="P951" t="s">
        <v>18026</v>
      </c>
      <c r="Q951" t="s">
        <v>18027</v>
      </c>
      <c r="R951" t="s">
        <v>74</v>
      </c>
      <c r="S951" t="s">
        <v>74</v>
      </c>
      <c r="T951" t="s">
        <v>18078</v>
      </c>
      <c r="U951" t="s">
        <v>18079</v>
      </c>
      <c r="V951" t="s">
        <v>18080</v>
      </c>
      <c r="W951" t="s">
        <v>18081</v>
      </c>
      <c r="X951" t="s">
        <v>18082</v>
      </c>
      <c r="Y951" t="s">
        <v>18083</v>
      </c>
      <c r="Z951" t="s">
        <v>18084</v>
      </c>
      <c r="AA951" t="s">
        <v>18085</v>
      </c>
      <c r="AB951" t="s">
        <v>18086</v>
      </c>
      <c r="AC951" t="s">
        <v>18087</v>
      </c>
      <c r="AD951" t="s">
        <v>18088</v>
      </c>
      <c r="AE951" t="s">
        <v>18089</v>
      </c>
      <c r="AF951" t="s">
        <v>74</v>
      </c>
      <c r="AG951">
        <v>8</v>
      </c>
      <c r="AH951">
        <v>1</v>
      </c>
      <c r="AI951">
        <v>2</v>
      </c>
      <c r="AJ951">
        <v>3</v>
      </c>
      <c r="AK951">
        <v>19</v>
      </c>
      <c r="AL951" t="s">
        <v>17889</v>
      </c>
      <c r="AM951" t="s">
        <v>17890</v>
      </c>
      <c r="AN951" t="s">
        <v>17891</v>
      </c>
      <c r="AO951" t="s">
        <v>17892</v>
      </c>
      <c r="AP951" t="s">
        <v>17893</v>
      </c>
      <c r="AQ951" t="s">
        <v>18039</v>
      </c>
      <c r="AR951" t="s">
        <v>17895</v>
      </c>
      <c r="AS951" t="s">
        <v>74</v>
      </c>
      <c r="AT951" t="s">
        <v>74</v>
      </c>
      <c r="AU951">
        <v>2019</v>
      </c>
      <c r="AV951">
        <v>11208</v>
      </c>
      <c r="AW951" t="s">
        <v>74</v>
      </c>
      <c r="AX951" t="s">
        <v>74</v>
      </c>
      <c r="AY951" t="s">
        <v>74</v>
      </c>
      <c r="AZ951" t="s">
        <v>74</v>
      </c>
      <c r="BA951" t="s">
        <v>74</v>
      </c>
      <c r="BB951" t="s">
        <v>74</v>
      </c>
      <c r="BC951" t="s">
        <v>74</v>
      </c>
      <c r="BD951" t="s">
        <v>18090</v>
      </c>
      <c r="BE951" t="s">
        <v>18091</v>
      </c>
      <c r="BF951" t="str">
        <f>HYPERLINK("http://dx.doi.org/10.1117/12.2538888","http://dx.doi.org/10.1117/12.2538888")</f>
        <v>http://dx.doi.org/10.1117/12.2538888</v>
      </c>
      <c r="BG951" t="s">
        <v>74</v>
      </c>
      <c r="BH951" t="s">
        <v>74</v>
      </c>
      <c r="BI951">
        <v>5</v>
      </c>
      <c r="BJ951" t="s">
        <v>18041</v>
      </c>
      <c r="BK951" t="s">
        <v>17108</v>
      </c>
      <c r="BL951" t="s">
        <v>18041</v>
      </c>
      <c r="BM951" t="s">
        <v>18042</v>
      </c>
      <c r="BN951" t="s">
        <v>74</v>
      </c>
      <c r="BO951" t="s">
        <v>74</v>
      </c>
      <c r="BP951" t="s">
        <v>74</v>
      </c>
      <c r="BQ951" t="s">
        <v>74</v>
      </c>
      <c r="BR951" t="s">
        <v>107</v>
      </c>
      <c r="BS951" t="s">
        <v>18092</v>
      </c>
      <c r="BT951" t="str">
        <f>HYPERLINK("https%3A%2F%2Fwww.webofscience.com%2Fwos%2Fwoscc%2Ffull-record%2FWOS:000527367300103","View Full Record in Web of Science")</f>
        <v>View Full Record in Web of Science</v>
      </c>
    </row>
    <row r="952" spans="1:72" x14ac:dyDescent="0.15">
      <c r="A952" t="s">
        <v>17084</v>
      </c>
      <c r="B952" t="s">
        <v>18093</v>
      </c>
      <c r="C952" t="s">
        <v>74</v>
      </c>
      <c r="D952" t="s">
        <v>18021</v>
      </c>
      <c r="E952" t="s">
        <v>74</v>
      </c>
      <c r="F952" t="s">
        <v>18094</v>
      </c>
      <c r="G952" t="s">
        <v>74</v>
      </c>
      <c r="H952" t="s">
        <v>74</v>
      </c>
      <c r="I952" t="s">
        <v>18095</v>
      </c>
      <c r="J952" t="s">
        <v>18024</v>
      </c>
      <c r="K952" t="s">
        <v>17875</v>
      </c>
      <c r="L952" t="s">
        <v>74</v>
      </c>
      <c r="M952" t="s">
        <v>78</v>
      </c>
      <c r="N952" t="s">
        <v>17090</v>
      </c>
      <c r="O952" t="s">
        <v>18025</v>
      </c>
      <c r="P952" t="s">
        <v>18026</v>
      </c>
      <c r="Q952" t="s">
        <v>18027</v>
      </c>
      <c r="R952" t="s">
        <v>74</v>
      </c>
      <c r="S952" t="s">
        <v>74</v>
      </c>
      <c r="T952" t="s">
        <v>18096</v>
      </c>
      <c r="U952" t="s">
        <v>18097</v>
      </c>
      <c r="V952" t="s">
        <v>18098</v>
      </c>
      <c r="W952" t="s">
        <v>18099</v>
      </c>
      <c r="X952" t="s">
        <v>18100</v>
      </c>
      <c r="Y952" t="s">
        <v>18101</v>
      </c>
      <c r="Z952" t="s">
        <v>18102</v>
      </c>
      <c r="AA952" t="s">
        <v>18103</v>
      </c>
      <c r="AB952" t="s">
        <v>18104</v>
      </c>
      <c r="AC952" t="s">
        <v>18105</v>
      </c>
      <c r="AD952" t="s">
        <v>18106</v>
      </c>
      <c r="AE952" t="s">
        <v>18107</v>
      </c>
      <c r="AF952" t="s">
        <v>74</v>
      </c>
      <c r="AG952">
        <v>16</v>
      </c>
      <c r="AH952">
        <v>1</v>
      </c>
      <c r="AI952">
        <v>2</v>
      </c>
      <c r="AJ952">
        <v>0</v>
      </c>
      <c r="AK952">
        <v>2</v>
      </c>
      <c r="AL952" t="s">
        <v>17889</v>
      </c>
      <c r="AM952" t="s">
        <v>17890</v>
      </c>
      <c r="AN952" t="s">
        <v>17891</v>
      </c>
      <c r="AO952" t="s">
        <v>17892</v>
      </c>
      <c r="AP952" t="s">
        <v>17893</v>
      </c>
      <c r="AQ952" t="s">
        <v>18039</v>
      </c>
      <c r="AR952" t="s">
        <v>17895</v>
      </c>
      <c r="AS952" t="s">
        <v>74</v>
      </c>
      <c r="AT952" t="s">
        <v>74</v>
      </c>
      <c r="AU952">
        <v>2019</v>
      </c>
      <c r="AV952">
        <v>11208</v>
      </c>
      <c r="AW952" t="s">
        <v>74</v>
      </c>
      <c r="AX952" t="s">
        <v>74</v>
      </c>
      <c r="AY952" t="s">
        <v>74</v>
      </c>
      <c r="AZ952" t="s">
        <v>74</v>
      </c>
      <c r="BA952" t="s">
        <v>74</v>
      </c>
      <c r="BB952" t="s">
        <v>74</v>
      </c>
      <c r="BC952" t="s">
        <v>74</v>
      </c>
      <c r="BD952">
        <v>1120839</v>
      </c>
      <c r="BE952" t="s">
        <v>18108</v>
      </c>
      <c r="BF952" t="str">
        <f>HYPERLINK("http://dx.doi.org/10.1117/12.2539793","http://dx.doi.org/10.1117/12.2539793")</f>
        <v>http://dx.doi.org/10.1117/12.2539793</v>
      </c>
      <c r="BG952" t="s">
        <v>74</v>
      </c>
      <c r="BH952" t="s">
        <v>74</v>
      </c>
      <c r="BI952">
        <v>7</v>
      </c>
      <c r="BJ952" t="s">
        <v>18041</v>
      </c>
      <c r="BK952" t="s">
        <v>17108</v>
      </c>
      <c r="BL952" t="s">
        <v>18041</v>
      </c>
      <c r="BM952" t="s">
        <v>18042</v>
      </c>
      <c r="BN952" t="s">
        <v>74</v>
      </c>
      <c r="BO952" t="s">
        <v>74</v>
      </c>
      <c r="BP952" t="s">
        <v>74</v>
      </c>
      <c r="BQ952" t="s">
        <v>74</v>
      </c>
      <c r="BR952" t="s">
        <v>107</v>
      </c>
      <c r="BS952" t="s">
        <v>18109</v>
      </c>
      <c r="BT952" t="str">
        <f>HYPERLINK("https%3A%2F%2Fwww.webofscience.com%2Fwos%2Fwoscc%2Ffull-record%2FWOS:000527367300117","View Full Record in Web of Science")</f>
        <v>View Full Record in Web of Science</v>
      </c>
    </row>
    <row r="953" spans="1:72" x14ac:dyDescent="0.15">
      <c r="A953" t="s">
        <v>17084</v>
      </c>
      <c r="B953" t="s">
        <v>18110</v>
      </c>
      <c r="C953" t="s">
        <v>74</v>
      </c>
      <c r="D953" t="s">
        <v>18021</v>
      </c>
      <c r="E953" t="s">
        <v>74</v>
      </c>
      <c r="F953" t="s">
        <v>18111</v>
      </c>
      <c r="G953" t="s">
        <v>74</v>
      </c>
      <c r="H953" t="s">
        <v>74</v>
      </c>
      <c r="I953" t="s">
        <v>18112</v>
      </c>
      <c r="J953" t="s">
        <v>18024</v>
      </c>
      <c r="K953" t="s">
        <v>17875</v>
      </c>
      <c r="L953" t="s">
        <v>74</v>
      </c>
      <c r="M953" t="s">
        <v>78</v>
      </c>
      <c r="N953" t="s">
        <v>17090</v>
      </c>
      <c r="O953" t="s">
        <v>18025</v>
      </c>
      <c r="P953" t="s">
        <v>18026</v>
      </c>
      <c r="Q953" t="s">
        <v>18027</v>
      </c>
      <c r="R953" t="s">
        <v>74</v>
      </c>
      <c r="S953" t="s">
        <v>74</v>
      </c>
      <c r="T953" t="s">
        <v>18113</v>
      </c>
      <c r="U953" t="s">
        <v>18114</v>
      </c>
      <c r="V953" t="s">
        <v>18115</v>
      </c>
      <c r="W953" t="s">
        <v>18116</v>
      </c>
      <c r="X953" t="s">
        <v>18117</v>
      </c>
      <c r="Y953" t="s">
        <v>18101</v>
      </c>
      <c r="Z953" t="s">
        <v>18102</v>
      </c>
      <c r="AA953" t="s">
        <v>18118</v>
      </c>
      <c r="AB953" t="s">
        <v>74</v>
      </c>
      <c r="AC953" t="s">
        <v>18119</v>
      </c>
      <c r="AD953" t="s">
        <v>18120</v>
      </c>
      <c r="AE953" t="s">
        <v>18121</v>
      </c>
      <c r="AF953" t="s">
        <v>74</v>
      </c>
      <c r="AG953">
        <v>18</v>
      </c>
      <c r="AH953">
        <v>0</v>
      </c>
      <c r="AI953">
        <v>0</v>
      </c>
      <c r="AJ953">
        <v>0</v>
      </c>
      <c r="AK953">
        <v>8</v>
      </c>
      <c r="AL953" t="s">
        <v>17889</v>
      </c>
      <c r="AM953" t="s">
        <v>17890</v>
      </c>
      <c r="AN953" t="s">
        <v>17891</v>
      </c>
      <c r="AO953" t="s">
        <v>17892</v>
      </c>
      <c r="AP953" t="s">
        <v>17893</v>
      </c>
      <c r="AQ953" t="s">
        <v>18039</v>
      </c>
      <c r="AR953" t="s">
        <v>17895</v>
      </c>
      <c r="AS953" t="s">
        <v>74</v>
      </c>
      <c r="AT953" t="s">
        <v>74</v>
      </c>
      <c r="AU953">
        <v>2019</v>
      </c>
      <c r="AV953">
        <v>11208</v>
      </c>
      <c r="AW953" t="s">
        <v>74</v>
      </c>
      <c r="AX953" t="s">
        <v>74</v>
      </c>
      <c r="AY953" t="s">
        <v>74</v>
      </c>
      <c r="AZ953" t="s">
        <v>74</v>
      </c>
      <c r="BA953" t="s">
        <v>74</v>
      </c>
      <c r="BB953" t="s">
        <v>74</v>
      </c>
      <c r="BC953" t="s">
        <v>74</v>
      </c>
      <c r="BD953" t="s">
        <v>18122</v>
      </c>
      <c r="BE953" t="s">
        <v>18123</v>
      </c>
      <c r="BF953" t="str">
        <f>HYPERLINK("http://dx.doi.org/10.1117/12.2539895","http://dx.doi.org/10.1117/12.2539895")</f>
        <v>http://dx.doi.org/10.1117/12.2539895</v>
      </c>
      <c r="BG953" t="s">
        <v>74</v>
      </c>
      <c r="BH953" t="s">
        <v>74</v>
      </c>
      <c r="BI953">
        <v>7</v>
      </c>
      <c r="BJ953" t="s">
        <v>18041</v>
      </c>
      <c r="BK953" t="s">
        <v>17108</v>
      </c>
      <c r="BL953" t="s">
        <v>18041</v>
      </c>
      <c r="BM953" t="s">
        <v>18042</v>
      </c>
      <c r="BN953" t="s">
        <v>74</v>
      </c>
      <c r="BO953" t="s">
        <v>74</v>
      </c>
      <c r="BP953" t="s">
        <v>74</v>
      </c>
      <c r="BQ953" t="s">
        <v>74</v>
      </c>
      <c r="BR953" t="s">
        <v>107</v>
      </c>
      <c r="BS953" t="s">
        <v>18124</v>
      </c>
      <c r="BT953" t="str">
        <f>HYPERLINK("https%3A%2F%2Fwww.webofscience.com%2Fwos%2Fwoscc%2Ffull-record%2FWOS:000527367300120","View Full Record in Web of Science")</f>
        <v>View Full Record in Web of Science</v>
      </c>
    </row>
    <row r="954" spans="1:72" x14ac:dyDescent="0.15">
      <c r="A954" t="s">
        <v>72</v>
      </c>
      <c r="B954" t="s">
        <v>18125</v>
      </c>
      <c r="C954" t="s">
        <v>74</v>
      </c>
      <c r="D954" t="s">
        <v>74</v>
      </c>
      <c r="E954" t="s">
        <v>74</v>
      </c>
      <c r="F954" t="s">
        <v>18126</v>
      </c>
      <c r="G954" t="s">
        <v>74</v>
      </c>
      <c r="H954" t="s">
        <v>74</v>
      </c>
      <c r="I954" t="s">
        <v>18127</v>
      </c>
      <c r="J954" t="s">
        <v>18128</v>
      </c>
      <c r="K954" t="s">
        <v>74</v>
      </c>
      <c r="L954" t="s">
        <v>74</v>
      </c>
      <c r="M954" t="s">
        <v>78</v>
      </c>
      <c r="N954" t="s">
        <v>79</v>
      </c>
      <c r="O954" t="s">
        <v>74</v>
      </c>
      <c r="P954" t="s">
        <v>74</v>
      </c>
      <c r="Q954" t="s">
        <v>74</v>
      </c>
      <c r="R954" t="s">
        <v>74</v>
      </c>
      <c r="S954" t="s">
        <v>74</v>
      </c>
      <c r="T954" t="s">
        <v>18129</v>
      </c>
      <c r="U954" t="s">
        <v>18130</v>
      </c>
      <c r="V954" t="s">
        <v>18131</v>
      </c>
      <c r="W954" t="s">
        <v>18132</v>
      </c>
      <c r="X954" t="s">
        <v>18133</v>
      </c>
      <c r="Y954" t="s">
        <v>18134</v>
      </c>
      <c r="Z954" t="s">
        <v>18135</v>
      </c>
      <c r="AA954" t="s">
        <v>74</v>
      </c>
      <c r="AB954" t="s">
        <v>18136</v>
      </c>
      <c r="AC954" t="s">
        <v>18137</v>
      </c>
      <c r="AD954" t="s">
        <v>1798</v>
      </c>
      <c r="AE954" t="s">
        <v>18138</v>
      </c>
      <c r="AF954" t="s">
        <v>74</v>
      </c>
      <c r="AG954">
        <v>45</v>
      </c>
      <c r="AH954">
        <v>1</v>
      </c>
      <c r="AI954">
        <v>2</v>
      </c>
      <c r="AJ954">
        <v>0</v>
      </c>
      <c r="AK954">
        <v>9</v>
      </c>
      <c r="AL954" t="s">
        <v>18139</v>
      </c>
      <c r="AM954" t="s">
        <v>18140</v>
      </c>
      <c r="AN954" t="s">
        <v>18141</v>
      </c>
      <c r="AO954" t="s">
        <v>18142</v>
      </c>
      <c r="AP954" t="s">
        <v>18143</v>
      </c>
      <c r="AQ954" t="s">
        <v>74</v>
      </c>
      <c r="AR954" t="s">
        <v>18144</v>
      </c>
      <c r="AS954" t="s">
        <v>18145</v>
      </c>
      <c r="AT954" t="s">
        <v>74</v>
      </c>
      <c r="AU954">
        <v>2019</v>
      </c>
      <c r="AV954">
        <v>30</v>
      </c>
      <c r="AW954">
        <v>6</v>
      </c>
      <c r="AX954" t="s">
        <v>74</v>
      </c>
      <c r="AY954" t="s">
        <v>74</v>
      </c>
      <c r="AZ954" t="s">
        <v>74</v>
      </c>
      <c r="BA954" t="s">
        <v>74</v>
      </c>
      <c r="BB954">
        <v>821</v>
      </c>
      <c r="BC954">
        <v>830</v>
      </c>
      <c r="BD954" t="s">
        <v>74</v>
      </c>
      <c r="BE954" t="s">
        <v>18146</v>
      </c>
      <c r="BF954" t="str">
        <f>HYPERLINK("http://dx.doi.org/10.3319/TAO.2019.04.30.01","http://dx.doi.org/10.3319/TAO.2019.04.30.01")</f>
        <v>http://dx.doi.org/10.3319/TAO.2019.04.30.01</v>
      </c>
      <c r="BG954" t="s">
        <v>74</v>
      </c>
      <c r="BH954" t="s">
        <v>74</v>
      </c>
      <c r="BI954">
        <v>10</v>
      </c>
      <c r="BJ954" t="s">
        <v>18147</v>
      </c>
      <c r="BK954" t="s">
        <v>102</v>
      </c>
      <c r="BL954" t="s">
        <v>18148</v>
      </c>
      <c r="BM954" t="s">
        <v>18149</v>
      </c>
      <c r="BN954" t="s">
        <v>74</v>
      </c>
      <c r="BO954" t="s">
        <v>1415</v>
      </c>
      <c r="BP954" t="s">
        <v>74</v>
      </c>
      <c r="BQ954" t="s">
        <v>74</v>
      </c>
      <c r="BR954" t="s">
        <v>107</v>
      </c>
      <c r="BS954" t="s">
        <v>18150</v>
      </c>
      <c r="BT954" t="str">
        <f>HYPERLINK("https%3A%2F%2Fwww.webofscience.com%2Fwos%2Fwoscc%2Ffull-record%2FWOS:000528198900007","View Full Record in Web of Science")</f>
        <v>View Full Record in Web of Science</v>
      </c>
    </row>
    <row r="955" spans="1:72" x14ac:dyDescent="0.15">
      <c r="A955" t="s">
        <v>16882</v>
      </c>
      <c r="B955" t="s">
        <v>18151</v>
      </c>
      <c r="C955" t="s">
        <v>74</v>
      </c>
      <c r="D955" t="s">
        <v>18152</v>
      </c>
      <c r="E955" t="s">
        <v>74</v>
      </c>
      <c r="F955" t="s">
        <v>18153</v>
      </c>
      <c r="G955" t="s">
        <v>74</v>
      </c>
      <c r="H955" t="s">
        <v>74</v>
      </c>
      <c r="I955" t="s">
        <v>18154</v>
      </c>
      <c r="J955" t="s">
        <v>18155</v>
      </c>
      <c r="K955" t="s">
        <v>74</v>
      </c>
      <c r="L955" t="s">
        <v>74</v>
      </c>
      <c r="M955" t="s">
        <v>78</v>
      </c>
      <c r="N955" t="s">
        <v>17065</v>
      </c>
      <c r="O955" t="s">
        <v>74</v>
      </c>
      <c r="P955" t="s">
        <v>74</v>
      </c>
      <c r="Q955" t="s">
        <v>74</v>
      </c>
      <c r="R955" t="s">
        <v>74</v>
      </c>
      <c r="S955" t="s">
        <v>74</v>
      </c>
      <c r="T955" t="s">
        <v>18156</v>
      </c>
      <c r="U955" t="s">
        <v>18157</v>
      </c>
      <c r="V955" t="s">
        <v>18158</v>
      </c>
      <c r="W955" t="s">
        <v>18159</v>
      </c>
      <c r="X955" t="s">
        <v>18160</v>
      </c>
      <c r="Y955" t="s">
        <v>18161</v>
      </c>
      <c r="Z955" t="s">
        <v>18162</v>
      </c>
      <c r="AA955" t="s">
        <v>18163</v>
      </c>
      <c r="AB955" t="s">
        <v>18164</v>
      </c>
      <c r="AC955" t="s">
        <v>18165</v>
      </c>
      <c r="AD955" t="s">
        <v>18166</v>
      </c>
      <c r="AE955" t="s">
        <v>18167</v>
      </c>
      <c r="AF955" t="s">
        <v>74</v>
      </c>
      <c r="AG955">
        <v>50</v>
      </c>
      <c r="AH955">
        <v>2</v>
      </c>
      <c r="AI955">
        <v>2</v>
      </c>
      <c r="AJ955">
        <v>0</v>
      </c>
      <c r="AK955">
        <v>2</v>
      </c>
      <c r="AL955" t="s">
        <v>18168</v>
      </c>
      <c r="AM955" t="s">
        <v>18169</v>
      </c>
      <c r="AN955" t="s">
        <v>18170</v>
      </c>
      <c r="AO955" t="s">
        <v>74</v>
      </c>
      <c r="AP955" t="s">
        <v>74</v>
      </c>
      <c r="AQ955" t="s">
        <v>18171</v>
      </c>
      <c r="AR955" t="s">
        <v>74</v>
      </c>
      <c r="AS955" t="s">
        <v>74</v>
      </c>
      <c r="AT955" t="s">
        <v>74</v>
      </c>
      <c r="AU955">
        <v>2019</v>
      </c>
      <c r="AV955" t="s">
        <v>74</v>
      </c>
      <c r="AW955" t="s">
        <v>74</v>
      </c>
      <c r="AX955" t="s">
        <v>74</v>
      </c>
      <c r="AY955" t="s">
        <v>74</v>
      </c>
      <c r="AZ955" t="s">
        <v>74</v>
      </c>
      <c r="BA955" t="s">
        <v>74</v>
      </c>
      <c r="BB955">
        <v>273</v>
      </c>
      <c r="BC955">
        <v>287</v>
      </c>
      <c r="BD955" t="s">
        <v>74</v>
      </c>
      <c r="BE955" t="s">
        <v>74</v>
      </c>
      <c r="BF955" t="s">
        <v>74</v>
      </c>
      <c r="BG955" t="s">
        <v>18172</v>
      </c>
      <c r="BH955" t="s">
        <v>74</v>
      </c>
      <c r="BI955">
        <v>15</v>
      </c>
      <c r="BJ955" t="s">
        <v>18173</v>
      </c>
      <c r="BK955" t="s">
        <v>16914</v>
      </c>
      <c r="BL955" t="s">
        <v>18173</v>
      </c>
      <c r="BM955" t="s">
        <v>18174</v>
      </c>
      <c r="BN955" t="s">
        <v>74</v>
      </c>
      <c r="BO955" t="s">
        <v>74</v>
      </c>
      <c r="BP955" t="s">
        <v>74</v>
      </c>
      <c r="BQ955" t="s">
        <v>74</v>
      </c>
      <c r="BR955" t="s">
        <v>107</v>
      </c>
      <c r="BS955" t="s">
        <v>18175</v>
      </c>
      <c r="BT955" t="str">
        <f>HYPERLINK("https%3A%2F%2Fwww.webofscience.com%2Fwos%2Fwoscc%2Ffull-record%2FWOS:000526928100014","View Full Record in Web of Science")</f>
        <v>View Full Record in Web of Science</v>
      </c>
    </row>
    <row r="956" spans="1:72" x14ac:dyDescent="0.15">
      <c r="A956" t="s">
        <v>16882</v>
      </c>
      <c r="B956" t="s">
        <v>13476</v>
      </c>
      <c r="C956" t="s">
        <v>74</v>
      </c>
      <c r="D956" t="s">
        <v>18176</v>
      </c>
      <c r="E956" t="s">
        <v>74</v>
      </c>
      <c r="F956" t="s">
        <v>13477</v>
      </c>
      <c r="G956" t="s">
        <v>74</v>
      </c>
      <c r="H956" t="s">
        <v>74</v>
      </c>
      <c r="I956" t="s">
        <v>18177</v>
      </c>
      <c r="J956" t="s">
        <v>18178</v>
      </c>
      <c r="K956" t="s">
        <v>74</v>
      </c>
      <c r="L956" t="s">
        <v>74</v>
      </c>
      <c r="M956" t="s">
        <v>78</v>
      </c>
      <c r="N956" t="s">
        <v>17476</v>
      </c>
      <c r="O956" t="s">
        <v>74</v>
      </c>
      <c r="P956" t="s">
        <v>74</v>
      </c>
      <c r="Q956" t="s">
        <v>74</v>
      </c>
      <c r="R956" t="s">
        <v>74</v>
      </c>
      <c r="S956" t="s">
        <v>74</v>
      </c>
      <c r="T956" t="s">
        <v>74</v>
      </c>
      <c r="U956" t="s">
        <v>74</v>
      </c>
      <c r="V956" t="s">
        <v>74</v>
      </c>
      <c r="W956" t="s">
        <v>18179</v>
      </c>
      <c r="X956" t="s">
        <v>13483</v>
      </c>
      <c r="Y956" t="s">
        <v>18180</v>
      </c>
      <c r="Z956" t="s">
        <v>74</v>
      </c>
      <c r="AA956" t="s">
        <v>74</v>
      </c>
      <c r="AB956" t="s">
        <v>74</v>
      </c>
      <c r="AC956" t="s">
        <v>74</v>
      </c>
      <c r="AD956" t="s">
        <v>74</v>
      </c>
      <c r="AE956" t="s">
        <v>74</v>
      </c>
      <c r="AF956" t="s">
        <v>74</v>
      </c>
      <c r="AG956">
        <v>41</v>
      </c>
      <c r="AH956">
        <v>0</v>
      </c>
      <c r="AI956">
        <v>0</v>
      </c>
      <c r="AJ956">
        <v>0</v>
      </c>
      <c r="AK956">
        <v>0</v>
      </c>
      <c r="AL956" t="s">
        <v>18181</v>
      </c>
      <c r="AM956" t="s">
        <v>18182</v>
      </c>
      <c r="AN956" t="s">
        <v>18183</v>
      </c>
      <c r="AO956" t="s">
        <v>74</v>
      </c>
      <c r="AP956" t="s">
        <v>74</v>
      </c>
      <c r="AQ956" t="s">
        <v>18184</v>
      </c>
      <c r="AR956" t="s">
        <v>74</v>
      </c>
      <c r="AS956" t="s">
        <v>74</v>
      </c>
      <c r="AT956" t="s">
        <v>74</v>
      </c>
      <c r="AU956">
        <v>2019</v>
      </c>
      <c r="AV956" t="s">
        <v>74</v>
      </c>
      <c r="AW956" t="s">
        <v>74</v>
      </c>
      <c r="AX956" t="s">
        <v>74</v>
      </c>
      <c r="AY956" t="s">
        <v>74</v>
      </c>
      <c r="AZ956" t="s">
        <v>74</v>
      </c>
      <c r="BA956" t="s">
        <v>74</v>
      </c>
      <c r="BB956">
        <v>259</v>
      </c>
      <c r="BC956">
        <v>276</v>
      </c>
      <c r="BD956" t="s">
        <v>74</v>
      </c>
      <c r="BE956" t="s">
        <v>74</v>
      </c>
      <c r="BF956" t="s">
        <v>74</v>
      </c>
      <c r="BG956" t="s">
        <v>74</v>
      </c>
      <c r="BH956" t="s">
        <v>74</v>
      </c>
      <c r="BI956">
        <v>18</v>
      </c>
      <c r="BJ956" t="s">
        <v>18185</v>
      </c>
      <c r="BK956" t="s">
        <v>16894</v>
      </c>
      <c r="BL956" t="s">
        <v>18186</v>
      </c>
      <c r="BM956" t="s">
        <v>18187</v>
      </c>
      <c r="BN956" t="s">
        <v>74</v>
      </c>
      <c r="BO956" t="s">
        <v>74</v>
      </c>
      <c r="BP956" t="s">
        <v>74</v>
      </c>
      <c r="BQ956" t="s">
        <v>74</v>
      </c>
      <c r="BR956" t="s">
        <v>107</v>
      </c>
      <c r="BS956" t="s">
        <v>18188</v>
      </c>
      <c r="BT956" t="str">
        <f>HYPERLINK("https%3A%2F%2Fwww.webofscience.com%2Fwos%2Fwoscc%2Ffull-record%2FWOS:000524666700012","View Full Record in Web of Science")</f>
        <v>View Full Record in Web of Science</v>
      </c>
    </row>
    <row r="957" spans="1:72" x14ac:dyDescent="0.15">
      <c r="A957" t="s">
        <v>16897</v>
      </c>
      <c r="B957" t="s">
        <v>18189</v>
      </c>
      <c r="C957" t="s">
        <v>74</v>
      </c>
      <c r="D957" t="s">
        <v>18190</v>
      </c>
      <c r="E957" t="s">
        <v>18191</v>
      </c>
      <c r="F957" t="s">
        <v>18192</v>
      </c>
      <c r="G957" t="s">
        <v>74</v>
      </c>
      <c r="H957" t="s">
        <v>74</v>
      </c>
      <c r="I957" t="s">
        <v>18193</v>
      </c>
      <c r="J957" t="s">
        <v>18194</v>
      </c>
      <c r="K957" t="s">
        <v>18195</v>
      </c>
      <c r="L957" t="s">
        <v>74</v>
      </c>
      <c r="M957" t="s">
        <v>78</v>
      </c>
      <c r="N957" t="s">
        <v>17065</v>
      </c>
      <c r="O957" t="s">
        <v>74</v>
      </c>
      <c r="P957" t="s">
        <v>74</v>
      </c>
      <c r="Q957" t="s">
        <v>74</v>
      </c>
      <c r="R957" t="s">
        <v>74</v>
      </c>
      <c r="S957" t="s">
        <v>74</v>
      </c>
      <c r="T957" t="s">
        <v>18196</v>
      </c>
      <c r="U957" t="s">
        <v>18197</v>
      </c>
      <c r="V957" t="s">
        <v>18198</v>
      </c>
      <c r="W957" t="s">
        <v>18199</v>
      </c>
      <c r="X957" t="s">
        <v>18200</v>
      </c>
      <c r="Y957" t="s">
        <v>18201</v>
      </c>
      <c r="Z957" t="s">
        <v>18202</v>
      </c>
      <c r="AA957" t="s">
        <v>18203</v>
      </c>
      <c r="AB957" t="s">
        <v>18204</v>
      </c>
      <c r="AC957" t="s">
        <v>18205</v>
      </c>
      <c r="AD957" t="s">
        <v>3239</v>
      </c>
      <c r="AE957" t="s">
        <v>74</v>
      </c>
      <c r="AF957" t="s">
        <v>74</v>
      </c>
      <c r="AG957">
        <v>94</v>
      </c>
      <c r="AH957">
        <v>1</v>
      </c>
      <c r="AI957">
        <v>1</v>
      </c>
      <c r="AJ957">
        <v>1</v>
      </c>
      <c r="AK957">
        <v>5</v>
      </c>
      <c r="AL957" t="s">
        <v>18206</v>
      </c>
      <c r="AM957" t="s">
        <v>18207</v>
      </c>
      <c r="AN957" t="s">
        <v>18208</v>
      </c>
      <c r="AO957" t="s">
        <v>18209</v>
      </c>
      <c r="AP957" t="s">
        <v>74</v>
      </c>
      <c r="AQ957" t="s">
        <v>74</v>
      </c>
      <c r="AR957" t="s">
        <v>18210</v>
      </c>
      <c r="AS957" t="s">
        <v>74</v>
      </c>
      <c r="AT957" t="s">
        <v>74</v>
      </c>
      <c r="AU957">
        <v>2019</v>
      </c>
      <c r="AV957">
        <v>369</v>
      </c>
      <c r="AW957" t="s">
        <v>74</v>
      </c>
      <c r="AX957" t="s">
        <v>74</v>
      </c>
      <c r="AY957" t="s">
        <v>74</v>
      </c>
      <c r="AZ957" t="s">
        <v>74</v>
      </c>
      <c r="BA957" t="s">
        <v>74</v>
      </c>
      <c r="BB957" t="s">
        <v>74</v>
      </c>
      <c r="BC957" t="s">
        <v>74</v>
      </c>
      <c r="BD957" t="s">
        <v>74</v>
      </c>
      <c r="BE957" t="s">
        <v>18211</v>
      </c>
      <c r="BF957" t="str">
        <f>HYPERLINK("http://dx.doi.org/10.14379/iodp.proc.369.101.2019","http://dx.doi.org/10.14379/iodp.proc.369.101.2019")</f>
        <v>http://dx.doi.org/10.14379/iodp.proc.369.101.2019</v>
      </c>
      <c r="BG957" t="s">
        <v>18212</v>
      </c>
      <c r="BH957" t="s">
        <v>74</v>
      </c>
      <c r="BI957">
        <v>25</v>
      </c>
      <c r="BJ957" t="s">
        <v>18213</v>
      </c>
      <c r="BK957" t="s">
        <v>16914</v>
      </c>
      <c r="BL957" t="s">
        <v>18214</v>
      </c>
      <c r="BM957" t="s">
        <v>18215</v>
      </c>
      <c r="BN957" t="s">
        <v>74</v>
      </c>
      <c r="BO957" t="s">
        <v>851</v>
      </c>
      <c r="BP957" t="s">
        <v>74</v>
      </c>
      <c r="BQ957" t="s">
        <v>74</v>
      </c>
      <c r="BR957" t="s">
        <v>107</v>
      </c>
      <c r="BS957" t="s">
        <v>18216</v>
      </c>
      <c r="BT957" t="str">
        <f>HYPERLINK("https%3A%2F%2Fwww.webofscience.com%2Fwos%2Fwoscc%2Ffull-record%2FWOS:000515055400002","View Full Record in Web of Science")</f>
        <v>View Full Record in Web of Science</v>
      </c>
    </row>
    <row r="958" spans="1:72" x14ac:dyDescent="0.15">
      <c r="A958" t="s">
        <v>72</v>
      </c>
      <c r="B958" t="s">
        <v>18217</v>
      </c>
      <c r="C958" t="s">
        <v>74</v>
      </c>
      <c r="D958" t="s">
        <v>74</v>
      </c>
      <c r="E958" t="s">
        <v>74</v>
      </c>
      <c r="F958" t="s">
        <v>18218</v>
      </c>
      <c r="G958" t="s">
        <v>74</v>
      </c>
      <c r="H958" t="s">
        <v>74</v>
      </c>
      <c r="I958" t="s">
        <v>18219</v>
      </c>
      <c r="J958" t="s">
        <v>18220</v>
      </c>
      <c r="K958" t="s">
        <v>74</v>
      </c>
      <c r="L958" t="s">
        <v>74</v>
      </c>
      <c r="M958" t="s">
        <v>78</v>
      </c>
      <c r="N958" t="s">
        <v>79</v>
      </c>
      <c r="O958" t="s">
        <v>74</v>
      </c>
      <c r="P958" t="s">
        <v>74</v>
      </c>
      <c r="Q958" t="s">
        <v>74</v>
      </c>
      <c r="R958" t="s">
        <v>74</v>
      </c>
      <c r="S958" t="s">
        <v>74</v>
      </c>
      <c r="T958" t="s">
        <v>18221</v>
      </c>
      <c r="U958" t="s">
        <v>18222</v>
      </c>
      <c r="V958" t="s">
        <v>18223</v>
      </c>
      <c r="W958" t="s">
        <v>18224</v>
      </c>
      <c r="X958" t="s">
        <v>18225</v>
      </c>
      <c r="Y958" t="s">
        <v>18226</v>
      </c>
      <c r="Z958" t="s">
        <v>18227</v>
      </c>
      <c r="AA958" t="s">
        <v>18228</v>
      </c>
      <c r="AB958" t="s">
        <v>18229</v>
      </c>
      <c r="AC958" t="s">
        <v>18230</v>
      </c>
      <c r="AD958" t="s">
        <v>18231</v>
      </c>
      <c r="AE958" t="s">
        <v>18232</v>
      </c>
      <c r="AF958" t="s">
        <v>74</v>
      </c>
      <c r="AG958">
        <v>25</v>
      </c>
      <c r="AH958">
        <v>5</v>
      </c>
      <c r="AI958">
        <v>5</v>
      </c>
      <c r="AJ958">
        <v>1</v>
      </c>
      <c r="AK958">
        <v>5</v>
      </c>
      <c r="AL958" t="s">
        <v>18233</v>
      </c>
      <c r="AM958" t="s">
        <v>10255</v>
      </c>
      <c r="AN958" t="s">
        <v>18234</v>
      </c>
      <c r="AO958" t="s">
        <v>18235</v>
      </c>
      <c r="AP958" t="s">
        <v>18236</v>
      </c>
      <c r="AQ958" t="s">
        <v>74</v>
      </c>
      <c r="AR958" t="s">
        <v>18237</v>
      </c>
      <c r="AS958" t="s">
        <v>18238</v>
      </c>
      <c r="AT958" t="s">
        <v>74</v>
      </c>
      <c r="AU958">
        <v>2019</v>
      </c>
      <c r="AV958">
        <v>37</v>
      </c>
      <c r="AW958" t="s">
        <v>74</v>
      </c>
      <c r="AX958" t="s">
        <v>74</v>
      </c>
      <c r="AY958" t="s">
        <v>74</v>
      </c>
      <c r="AZ958" t="s">
        <v>74</v>
      </c>
      <c r="BA958" t="s">
        <v>74</v>
      </c>
      <c r="BB958">
        <v>23</v>
      </c>
      <c r="BC958">
        <v>30</v>
      </c>
      <c r="BD958" t="s">
        <v>74</v>
      </c>
      <c r="BE958" t="s">
        <v>18239</v>
      </c>
      <c r="BF958" t="str">
        <f>HYPERLINK("http://dx.doi.org/10.5331/bgr.19A02","http://dx.doi.org/10.5331/bgr.19A02")</f>
        <v>http://dx.doi.org/10.5331/bgr.19A02</v>
      </c>
      <c r="BG958" t="s">
        <v>74</v>
      </c>
      <c r="BH958" t="s">
        <v>74</v>
      </c>
      <c r="BI958">
        <v>8</v>
      </c>
      <c r="BJ958" t="s">
        <v>12670</v>
      </c>
      <c r="BK958" t="s">
        <v>2712</v>
      </c>
      <c r="BL958" t="s">
        <v>12671</v>
      </c>
      <c r="BM958" t="s">
        <v>18240</v>
      </c>
      <c r="BN958" t="s">
        <v>74</v>
      </c>
      <c r="BO958" t="s">
        <v>1415</v>
      </c>
      <c r="BP958" t="s">
        <v>74</v>
      </c>
      <c r="BQ958" t="s">
        <v>74</v>
      </c>
      <c r="BR958" t="s">
        <v>107</v>
      </c>
      <c r="BS958" t="s">
        <v>18241</v>
      </c>
      <c r="BT958" t="str">
        <f>HYPERLINK("https%3A%2F%2Fwww.webofscience.com%2Fwos%2Fwoscc%2Ffull-record%2FWOS:000522686000002","View Full Record in Web of Science")</f>
        <v>View Full Record in Web of Science</v>
      </c>
    </row>
    <row r="959" spans="1:72" x14ac:dyDescent="0.15">
      <c r="A959" t="s">
        <v>72</v>
      </c>
      <c r="B959" t="s">
        <v>18242</v>
      </c>
      <c r="C959" t="s">
        <v>74</v>
      </c>
      <c r="D959" t="s">
        <v>74</v>
      </c>
      <c r="E959" t="s">
        <v>74</v>
      </c>
      <c r="F959" t="s">
        <v>18243</v>
      </c>
      <c r="G959" t="s">
        <v>74</v>
      </c>
      <c r="H959" t="s">
        <v>74</v>
      </c>
      <c r="I959" t="s">
        <v>18244</v>
      </c>
      <c r="J959" t="s">
        <v>18245</v>
      </c>
      <c r="K959" t="s">
        <v>74</v>
      </c>
      <c r="L959" t="s">
        <v>74</v>
      </c>
      <c r="M959" t="s">
        <v>78</v>
      </c>
      <c r="N959" t="s">
        <v>79</v>
      </c>
      <c r="O959" t="s">
        <v>74</v>
      </c>
      <c r="P959" t="s">
        <v>74</v>
      </c>
      <c r="Q959" t="s">
        <v>74</v>
      </c>
      <c r="R959" t="s">
        <v>74</v>
      </c>
      <c r="S959" t="s">
        <v>74</v>
      </c>
      <c r="T959" t="s">
        <v>18246</v>
      </c>
      <c r="U959" t="s">
        <v>18247</v>
      </c>
      <c r="V959" t="s">
        <v>18248</v>
      </c>
      <c r="W959" t="s">
        <v>18249</v>
      </c>
      <c r="X959" t="s">
        <v>74</v>
      </c>
      <c r="Y959" t="s">
        <v>18250</v>
      </c>
      <c r="Z959" t="s">
        <v>18251</v>
      </c>
      <c r="AA959" t="s">
        <v>74</v>
      </c>
      <c r="AB959" t="s">
        <v>74</v>
      </c>
      <c r="AC959" t="s">
        <v>74</v>
      </c>
      <c r="AD959" t="s">
        <v>74</v>
      </c>
      <c r="AE959" t="s">
        <v>74</v>
      </c>
      <c r="AF959" t="s">
        <v>74</v>
      </c>
      <c r="AG959">
        <v>50</v>
      </c>
      <c r="AH959">
        <v>10</v>
      </c>
      <c r="AI959">
        <v>10</v>
      </c>
      <c r="AJ959">
        <v>0</v>
      </c>
      <c r="AK959">
        <v>5</v>
      </c>
      <c r="AL959" t="s">
        <v>18252</v>
      </c>
      <c r="AM959" t="s">
        <v>18253</v>
      </c>
      <c r="AN959" t="s">
        <v>18254</v>
      </c>
      <c r="AO959" t="s">
        <v>18255</v>
      </c>
      <c r="AP959" t="s">
        <v>18256</v>
      </c>
      <c r="AQ959" t="s">
        <v>74</v>
      </c>
      <c r="AR959" t="s">
        <v>18245</v>
      </c>
      <c r="AS959" t="s">
        <v>18245</v>
      </c>
      <c r="AT959" t="s">
        <v>74</v>
      </c>
      <c r="AU959">
        <v>2019</v>
      </c>
      <c r="AV959">
        <v>66</v>
      </c>
      <c r="AW959">
        <v>3</v>
      </c>
      <c r="AX959" t="s">
        <v>74</v>
      </c>
      <c r="AY959" t="s">
        <v>74</v>
      </c>
      <c r="AZ959" t="s">
        <v>74</v>
      </c>
      <c r="BA959" t="s">
        <v>74</v>
      </c>
      <c r="BB959">
        <v>150</v>
      </c>
      <c r="BC959">
        <v>163</v>
      </c>
      <c r="BD959" t="s">
        <v>74</v>
      </c>
      <c r="BE959" t="s">
        <v>74</v>
      </c>
      <c r="BF959" t="s">
        <v>74</v>
      </c>
      <c r="BG959" t="s">
        <v>74</v>
      </c>
      <c r="BH959" t="s">
        <v>74</v>
      </c>
      <c r="BI959">
        <v>14</v>
      </c>
      <c r="BJ959" t="s">
        <v>3452</v>
      </c>
      <c r="BK959" t="s">
        <v>102</v>
      </c>
      <c r="BL959" t="s">
        <v>1674</v>
      </c>
      <c r="BM959" t="s">
        <v>18257</v>
      </c>
      <c r="BN959" t="s">
        <v>74</v>
      </c>
      <c r="BO959" t="s">
        <v>74</v>
      </c>
      <c r="BP959" t="s">
        <v>74</v>
      </c>
      <c r="BQ959" t="s">
        <v>74</v>
      </c>
      <c r="BR959" t="s">
        <v>107</v>
      </c>
      <c r="BS959" t="s">
        <v>18258</v>
      </c>
      <c r="BT959" t="str">
        <f>HYPERLINK("https%3A%2F%2Fwww.webofscience.com%2Fwos%2Fwoscc%2Ffull-record%2FWOS:000522425400004","View Full Record in Web of Science")</f>
        <v>View Full Record in Web of Science</v>
      </c>
    </row>
    <row r="960" spans="1:72" x14ac:dyDescent="0.15">
      <c r="A960" t="s">
        <v>17084</v>
      </c>
      <c r="B960" t="s">
        <v>18259</v>
      </c>
      <c r="C960" t="s">
        <v>74</v>
      </c>
      <c r="D960" t="s">
        <v>74</v>
      </c>
      <c r="E960" t="s">
        <v>17086</v>
      </c>
      <c r="F960" t="s">
        <v>18260</v>
      </c>
      <c r="G960" t="s">
        <v>74</v>
      </c>
      <c r="H960" t="s">
        <v>74</v>
      </c>
      <c r="I960" t="s">
        <v>18261</v>
      </c>
      <c r="J960" t="s">
        <v>18262</v>
      </c>
      <c r="K960" t="s">
        <v>18263</v>
      </c>
      <c r="L960" t="s">
        <v>74</v>
      </c>
      <c r="M960" t="s">
        <v>78</v>
      </c>
      <c r="N960" t="s">
        <v>17090</v>
      </c>
      <c r="O960" t="s">
        <v>18264</v>
      </c>
      <c r="P960" t="s">
        <v>18265</v>
      </c>
      <c r="Q960" t="s">
        <v>18266</v>
      </c>
      <c r="R960" t="s">
        <v>74</v>
      </c>
      <c r="S960" t="s">
        <v>74</v>
      </c>
      <c r="T960" t="s">
        <v>74</v>
      </c>
      <c r="U960" t="s">
        <v>74</v>
      </c>
      <c r="V960" t="s">
        <v>18267</v>
      </c>
      <c r="W960" t="s">
        <v>18268</v>
      </c>
      <c r="X960" t="s">
        <v>18269</v>
      </c>
      <c r="Y960" t="s">
        <v>18270</v>
      </c>
      <c r="Z960" t="s">
        <v>74</v>
      </c>
      <c r="AA960" t="s">
        <v>74</v>
      </c>
      <c r="AB960" t="s">
        <v>74</v>
      </c>
      <c r="AC960" t="s">
        <v>74</v>
      </c>
      <c r="AD960" t="s">
        <v>74</v>
      </c>
      <c r="AE960" t="s">
        <v>74</v>
      </c>
      <c r="AF960" t="s">
        <v>74</v>
      </c>
      <c r="AG960">
        <v>9</v>
      </c>
      <c r="AH960">
        <v>1</v>
      </c>
      <c r="AI960">
        <v>1</v>
      </c>
      <c r="AJ960">
        <v>0</v>
      </c>
      <c r="AK960">
        <v>2</v>
      </c>
      <c r="AL960" t="s">
        <v>17086</v>
      </c>
      <c r="AM960" t="s">
        <v>607</v>
      </c>
      <c r="AN960" t="s">
        <v>17105</v>
      </c>
      <c r="AO960" t="s">
        <v>18271</v>
      </c>
      <c r="AP960" t="s">
        <v>74</v>
      </c>
      <c r="AQ960" t="s">
        <v>18272</v>
      </c>
      <c r="AR960" t="s">
        <v>18273</v>
      </c>
      <c r="AS960" t="s">
        <v>74</v>
      </c>
      <c r="AT960" t="s">
        <v>74</v>
      </c>
      <c r="AU960">
        <v>2019</v>
      </c>
      <c r="AV960" t="s">
        <v>74</v>
      </c>
      <c r="AW960" t="s">
        <v>74</v>
      </c>
      <c r="AX960" t="s">
        <v>74</v>
      </c>
      <c r="AY960" t="s">
        <v>74</v>
      </c>
      <c r="AZ960" t="s">
        <v>74</v>
      </c>
      <c r="BA960" t="s">
        <v>74</v>
      </c>
      <c r="BB960">
        <v>1088</v>
      </c>
      <c r="BC960">
        <v>1091</v>
      </c>
      <c r="BD960" t="s">
        <v>74</v>
      </c>
      <c r="BE960" t="s">
        <v>74</v>
      </c>
      <c r="BF960" t="s">
        <v>74</v>
      </c>
      <c r="BG960" t="s">
        <v>74</v>
      </c>
      <c r="BH960" t="s">
        <v>74</v>
      </c>
      <c r="BI960">
        <v>4</v>
      </c>
      <c r="BJ960" t="s">
        <v>18274</v>
      </c>
      <c r="BK960" t="s">
        <v>17108</v>
      </c>
      <c r="BL960" t="s">
        <v>18275</v>
      </c>
      <c r="BM960" t="s">
        <v>18276</v>
      </c>
      <c r="BN960" t="s">
        <v>74</v>
      </c>
      <c r="BO960" t="s">
        <v>403</v>
      </c>
      <c r="BP960" t="s">
        <v>74</v>
      </c>
      <c r="BQ960" t="s">
        <v>74</v>
      </c>
      <c r="BR960" t="s">
        <v>107</v>
      </c>
      <c r="BS960" t="s">
        <v>18277</v>
      </c>
      <c r="BT960" t="str">
        <f>HYPERLINK("https%3A%2F%2Fwww.webofscience.com%2Fwos%2Fwoscc%2Ffull-record%2FWOS:000519270601090","View Full Record in Web of Science")</f>
        <v>View Full Record in Web of Science</v>
      </c>
    </row>
    <row r="961" spans="1:72" x14ac:dyDescent="0.15">
      <c r="A961" t="s">
        <v>17084</v>
      </c>
      <c r="B961" t="s">
        <v>18278</v>
      </c>
      <c r="C961" t="s">
        <v>74</v>
      </c>
      <c r="D961" t="s">
        <v>74</v>
      </c>
      <c r="E961" t="s">
        <v>17086</v>
      </c>
      <c r="F961" t="s">
        <v>18279</v>
      </c>
      <c r="G961" t="s">
        <v>74</v>
      </c>
      <c r="H961" t="s">
        <v>74</v>
      </c>
      <c r="I961" t="s">
        <v>18280</v>
      </c>
      <c r="J961" t="s">
        <v>18262</v>
      </c>
      <c r="K961" t="s">
        <v>18263</v>
      </c>
      <c r="L961" t="s">
        <v>74</v>
      </c>
      <c r="M961" t="s">
        <v>78</v>
      </c>
      <c r="N961" t="s">
        <v>17090</v>
      </c>
      <c r="O961" t="s">
        <v>18264</v>
      </c>
      <c r="P961" t="s">
        <v>18265</v>
      </c>
      <c r="Q961" t="s">
        <v>18266</v>
      </c>
      <c r="R961" t="s">
        <v>74</v>
      </c>
      <c r="S961" t="s">
        <v>74</v>
      </c>
      <c r="T961" t="s">
        <v>18281</v>
      </c>
      <c r="U961" t="s">
        <v>74</v>
      </c>
      <c r="V961" t="s">
        <v>18282</v>
      </c>
      <c r="W961" t="s">
        <v>18283</v>
      </c>
      <c r="X961" t="s">
        <v>18284</v>
      </c>
      <c r="Y961" t="s">
        <v>18285</v>
      </c>
      <c r="Z961" t="s">
        <v>74</v>
      </c>
      <c r="AA961" t="s">
        <v>18286</v>
      </c>
      <c r="AB961" t="s">
        <v>18287</v>
      </c>
      <c r="AC961" t="s">
        <v>18288</v>
      </c>
      <c r="AD961" t="s">
        <v>18289</v>
      </c>
      <c r="AE961" t="s">
        <v>18290</v>
      </c>
      <c r="AF961" t="s">
        <v>74</v>
      </c>
      <c r="AG961">
        <v>6</v>
      </c>
      <c r="AH961">
        <v>1</v>
      </c>
      <c r="AI961">
        <v>1</v>
      </c>
      <c r="AJ961">
        <v>1</v>
      </c>
      <c r="AK961">
        <v>3</v>
      </c>
      <c r="AL961" t="s">
        <v>17086</v>
      </c>
      <c r="AM961" t="s">
        <v>607</v>
      </c>
      <c r="AN961" t="s">
        <v>17105</v>
      </c>
      <c r="AO961" t="s">
        <v>18271</v>
      </c>
      <c r="AP961" t="s">
        <v>74</v>
      </c>
      <c r="AQ961" t="s">
        <v>18272</v>
      </c>
      <c r="AR961" t="s">
        <v>18273</v>
      </c>
      <c r="AS961" t="s">
        <v>74</v>
      </c>
      <c r="AT961" t="s">
        <v>74</v>
      </c>
      <c r="AU961">
        <v>2019</v>
      </c>
      <c r="AV961" t="s">
        <v>74</v>
      </c>
      <c r="AW961" t="s">
        <v>74</v>
      </c>
      <c r="AX961" t="s">
        <v>74</v>
      </c>
      <c r="AY961" t="s">
        <v>74</v>
      </c>
      <c r="AZ961" t="s">
        <v>74</v>
      </c>
      <c r="BA961" t="s">
        <v>74</v>
      </c>
      <c r="BB961">
        <v>1148</v>
      </c>
      <c r="BC961">
        <v>1151</v>
      </c>
      <c r="BD961" t="s">
        <v>74</v>
      </c>
      <c r="BE961" t="s">
        <v>18291</v>
      </c>
      <c r="BF961" t="str">
        <f>HYPERLINK("http://dx.doi.org/10.1109/igarss.2019.8898009","http://dx.doi.org/10.1109/igarss.2019.8898009")</f>
        <v>http://dx.doi.org/10.1109/igarss.2019.8898009</v>
      </c>
      <c r="BG961" t="s">
        <v>74</v>
      </c>
      <c r="BH961" t="s">
        <v>74</v>
      </c>
      <c r="BI961">
        <v>4</v>
      </c>
      <c r="BJ961" t="s">
        <v>18274</v>
      </c>
      <c r="BK961" t="s">
        <v>17108</v>
      </c>
      <c r="BL961" t="s">
        <v>18275</v>
      </c>
      <c r="BM961" t="s">
        <v>18276</v>
      </c>
      <c r="BN961" t="s">
        <v>74</v>
      </c>
      <c r="BO961" t="s">
        <v>403</v>
      </c>
      <c r="BP961" t="s">
        <v>74</v>
      </c>
      <c r="BQ961" t="s">
        <v>74</v>
      </c>
      <c r="BR961" t="s">
        <v>107</v>
      </c>
      <c r="BS961" t="s">
        <v>18292</v>
      </c>
      <c r="BT961" t="str">
        <f>HYPERLINK("https%3A%2F%2Fwww.webofscience.com%2Fwos%2Fwoscc%2Ffull-record%2FWOS:000519270601105","View Full Record in Web of Science")</f>
        <v>View Full Record in Web of Science</v>
      </c>
    </row>
    <row r="962" spans="1:72" x14ac:dyDescent="0.15">
      <c r="A962" t="s">
        <v>17084</v>
      </c>
      <c r="B962" t="s">
        <v>18293</v>
      </c>
      <c r="C962" t="s">
        <v>74</v>
      </c>
      <c r="D962" t="s">
        <v>74</v>
      </c>
      <c r="E962" t="s">
        <v>17086</v>
      </c>
      <c r="F962" t="s">
        <v>18294</v>
      </c>
      <c r="G962" t="s">
        <v>74</v>
      </c>
      <c r="H962" t="s">
        <v>74</v>
      </c>
      <c r="I962" t="s">
        <v>18295</v>
      </c>
      <c r="J962" t="s">
        <v>18262</v>
      </c>
      <c r="K962" t="s">
        <v>18263</v>
      </c>
      <c r="L962" t="s">
        <v>74</v>
      </c>
      <c r="M962" t="s">
        <v>78</v>
      </c>
      <c r="N962" t="s">
        <v>17090</v>
      </c>
      <c r="O962" t="s">
        <v>18264</v>
      </c>
      <c r="P962" t="s">
        <v>18265</v>
      </c>
      <c r="Q962" t="s">
        <v>18266</v>
      </c>
      <c r="R962" t="s">
        <v>74</v>
      </c>
      <c r="S962" t="s">
        <v>74</v>
      </c>
      <c r="T962" t="s">
        <v>18296</v>
      </c>
      <c r="U962" t="s">
        <v>18297</v>
      </c>
      <c r="V962" t="s">
        <v>18298</v>
      </c>
      <c r="W962" t="s">
        <v>18299</v>
      </c>
      <c r="X962" t="s">
        <v>18300</v>
      </c>
      <c r="Y962" t="s">
        <v>18301</v>
      </c>
      <c r="Z962" t="s">
        <v>74</v>
      </c>
      <c r="AA962" t="s">
        <v>74</v>
      </c>
      <c r="AB962" t="s">
        <v>74</v>
      </c>
      <c r="AC962" t="s">
        <v>18302</v>
      </c>
      <c r="AD962" t="s">
        <v>18303</v>
      </c>
      <c r="AE962" t="s">
        <v>18304</v>
      </c>
      <c r="AF962" t="s">
        <v>74</v>
      </c>
      <c r="AG962">
        <v>14</v>
      </c>
      <c r="AH962">
        <v>0</v>
      </c>
      <c r="AI962">
        <v>0</v>
      </c>
      <c r="AJ962">
        <v>0</v>
      </c>
      <c r="AK962">
        <v>1</v>
      </c>
      <c r="AL962" t="s">
        <v>17086</v>
      </c>
      <c r="AM962" t="s">
        <v>607</v>
      </c>
      <c r="AN962" t="s">
        <v>17105</v>
      </c>
      <c r="AO962" t="s">
        <v>18271</v>
      </c>
      <c r="AP962" t="s">
        <v>74</v>
      </c>
      <c r="AQ962" t="s">
        <v>18272</v>
      </c>
      <c r="AR962" t="s">
        <v>18273</v>
      </c>
      <c r="AS962" t="s">
        <v>74</v>
      </c>
      <c r="AT962" t="s">
        <v>74</v>
      </c>
      <c r="AU962">
        <v>2019</v>
      </c>
      <c r="AV962" t="s">
        <v>74</v>
      </c>
      <c r="AW962" t="s">
        <v>74</v>
      </c>
      <c r="AX962" t="s">
        <v>74</v>
      </c>
      <c r="AY962" t="s">
        <v>74</v>
      </c>
      <c r="AZ962" t="s">
        <v>74</v>
      </c>
      <c r="BA962" t="s">
        <v>74</v>
      </c>
      <c r="BB962">
        <v>2034</v>
      </c>
      <c r="BC962">
        <v>2037</v>
      </c>
      <c r="BD962" t="s">
        <v>74</v>
      </c>
      <c r="BE962" t="s">
        <v>18305</v>
      </c>
      <c r="BF962" t="str">
        <f>HYPERLINK("http://dx.doi.org/10.1109/igarss.2019.8899171","http://dx.doi.org/10.1109/igarss.2019.8899171")</f>
        <v>http://dx.doi.org/10.1109/igarss.2019.8899171</v>
      </c>
      <c r="BG962" t="s">
        <v>74</v>
      </c>
      <c r="BH962" t="s">
        <v>74</v>
      </c>
      <c r="BI962">
        <v>4</v>
      </c>
      <c r="BJ962" t="s">
        <v>18274</v>
      </c>
      <c r="BK962" t="s">
        <v>17108</v>
      </c>
      <c r="BL962" t="s">
        <v>18275</v>
      </c>
      <c r="BM962" t="s">
        <v>18276</v>
      </c>
      <c r="BN962" t="s">
        <v>74</v>
      </c>
      <c r="BO962" t="s">
        <v>74</v>
      </c>
      <c r="BP962" t="s">
        <v>74</v>
      </c>
      <c r="BQ962" t="s">
        <v>74</v>
      </c>
      <c r="BR962" t="s">
        <v>107</v>
      </c>
      <c r="BS962" t="s">
        <v>18306</v>
      </c>
      <c r="BT962" t="str">
        <f>HYPERLINK("https%3A%2F%2Fwww.webofscience.com%2Fwos%2Fwoscc%2Ffull-record%2FWOS:000519270602053","View Full Record in Web of Science")</f>
        <v>View Full Record in Web of Science</v>
      </c>
    </row>
    <row r="963" spans="1:72" x14ac:dyDescent="0.15">
      <c r="A963" t="s">
        <v>17084</v>
      </c>
      <c r="B963" t="s">
        <v>18307</v>
      </c>
      <c r="C963" t="s">
        <v>74</v>
      </c>
      <c r="D963" t="s">
        <v>74</v>
      </c>
      <c r="E963" t="s">
        <v>17086</v>
      </c>
      <c r="F963" t="s">
        <v>18308</v>
      </c>
      <c r="G963" t="s">
        <v>74</v>
      </c>
      <c r="H963" t="s">
        <v>74</v>
      </c>
      <c r="I963" t="s">
        <v>18309</v>
      </c>
      <c r="J963" t="s">
        <v>18262</v>
      </c>
      <c r="K963" t="s">
        <v>18263</v>
      </c>
      <c r="L963" t="s">
        <v>74</v>
      </c>
      <c r="M963" t="s">
        <v>78</v>
      </c>
      <c r="N963" t="s">
        <v>17090</v>
      </c>
      <c r="O963" t="s">
        <v>18264</v>
      </c>
      <c r="P963" t="s">
        <v>18265</v>
      </c>
      <c r="Q963" t="s">
        <v>18266</v>
      </c>
      <c r="R963" t="s">
        <v>74</v>
      </c>
      <c r="S963" t="s">
        <v>74</v>
      </c>
      <c r="T963" t="s">
        <v>18310</v>
      </c>
      <c r="U963" t="s">
        <v>18311</v>
      </c>
      <c r="V963" t="s">
        <v>18312</v>
      </c>
      <c r="W963" t="s">
        <v>18313</v>
      </c>
      <c r="X963" t="s">
        <v>18314</v>
      </c>
      <c r="Y963" t="s">
        <v>18315</v>
      </c>
      <c r="Z963" t="s">
        <v>74</v>
      </c>
      <c r="AA963" t="s">
        <v>18316</v>
      </c>
      <c r="AB963" t="s">
        <v>18317</v>
      </c>
      <c r="AC963" t="s">
        <v>18318</v>
      </c>
      <c r="AD963" t="s">
        <v>18319</v>
      </c>
      <c r="AE963" t="s">
        <v>18320</v>
      </c>
      <c r="AF963" t="s">
        <v>74</v>
      </c>
      <c r="AG963">
        <v>22</v>
      </c>
      <c r="AH963">
        <v>1</v>
      </c>
      <c r="AI963">
        <v>1</v>
      </c>
      <c r="AJ963">
        <v>1</v>
      </c>
      <c r="AK963">
        <v>5</v>
      </c>
      <c r="AL963" t="s">
        <v>17086</v>
      </c>
      <c r="AM963" t="s">
        <v>607</v>
      </c>
      <c r="AN963" t="s">
        <v>17105</v>
      </c>
      <c r="AO963" t="s">
        <v>18271</v>
      </c>
      <c r="AP963" t="s">
        <v>74</v>
      </c>
      <c r="AQ963" t="s">
        <v>18272</v>
      </c>
      <c r="AR963" t="s">
        <v>18273</v>
      </c>
      <c r="AS963" t="s">
        <v>74</v>
      </c>
      <c r="AT963" t="s">
        <v>74</v>
      </c>
      <c r="AU963">
        <v>2019</v>
      </c>
      <c r="AV963" t="s">
        <v>74</v>
      </c>
      <c r="AW963" t="s">
        <v>74</v>
      </c>
      <c r="AX963" t="s">
        <v>74</v>
      </c>
      <c r="AY963" t="s">
        <v>74</v>
      </c>
      <c r="AZ963" t="s">
        <v>74</v>
      </c>
      <c r="BA963" t="s">
        <v>74</v>
      </c>
      <c r="BB963">
        <v>3986</v>
      </c>
      <c r="BC963">
        <v>3989</v>
      </c>
      <c r="BD963" t="s">
        <v>74</v>
      </c>
      <c r="BE963" t="s">
        <v>74</v>
      </c>
      <c r="BF963" t="s">
        <v>74</v>
      </c>
      <c r="BG963" t="s">
        <v>74</v>
      </c>
      <c r="BH963" t="s">
        <v>74</v>
      </c>
      <c r="BI963">
        <v>4</v>
      </c>
      <c r="BJ963" t="s">
        <v>18274</v>
      </c>
      <c r="BK963" t="s">
        <v>17108</v>
      </c>
      <c r="BL963" t="s">
        <v>18275</v>
      </c>
      <c r="BM963" t="s">
        <v>18276</v>
      </c>
      <c r="BN963" t="s">
        <v>74</v>
      </c>
      <c r="BO963" t="s">
        <v>74</v>
      </c>
      <c r="BP963" t="s">
        <v>74</v>
      </c>
      <c r="BQ963" t="s">
        <v>74</v>
      </c>
      <c r="BR963" t="s">
        <v>107</v>
      </c>
      <c r="BS963" t="s">
        <v>18321</v>
      </c>
      <c r="BT963" t="str">
        <f>HYPERLINK("https%3A%2F%2Fwww.webofscience.com%2Fwos%2Fwoscc%2Ffull-record%2FWOS:000519270603237","View Full Record in Web of Science")</f>
        <v>View Full Record in Web of Science</v>
      </c>
    </row>
    <row r="964" spans="1:72" x14ac:dyDescent="0.15">
      <c r="A964" t="s">
        <v>17084</v>
      </c>
      <c r="B964" t="s">
        <v>18322</v>
      </c>
      <c r="C964" t="s">
        <v>74</v>
      </c>
      <c r="D964" t="s">
        <v>74</v>
      </c>
      <c r="E964" t="s">
        <v>17086</v>
      </c>
      <c r="F964" t="s">
        <v>18323</v>
      </c>
      <c r="G964" t="s">
        <v>74</v>
      </c>
      <c r="H964" t="s">
        <v>74</v>
      </c>
      <c r="I964" t="s">
        <v>18324</v>
      </c>
      <c r="J964" t="s">
        <v>18262</v>
      </c>
      <c r="K964" t="s">
        <v>18263</v>
      </c>
      <c r="L964" t="s">
        <v>74</v>
      </c>
      <c r="M964" t="s">
        <v>78</v>
      </c>
      <c r="N964" t="s">
        <v>17090</v>
      </c>
      <c r="O964" t="s">
        <v>18264</v>
      </c>
      <c r="P964" t="s">
        <v>18265</v>
      </c>
      <c r="Q964" t="s">
        <v>18266</v>
      </c>
      <c r="R964" t="s">
        <v>74</v>
      </c>
      <c r="S964" t="s">
        <v>74</v>
      </c>
      <c r="T964" t="s">
        <v>18325</v>
      </c>
      <c r="U964" t="s">
        <v>74</v>
      </c>
      <c r="V964" t="s">
        <v>18326</v>
      </c>
      <c r="W964" t="s">
        <v>18327</v>
      </c>
      <c r="X964" t="s">
        <v>18328</v>
      </c>
      <c r="Y964" t="s">
        <v>18329</v>
      </c>
      <c r="Z964" t="s">
        <v>74</v>
      </c>
      <c r="AA964" t="s">
        <v>18330</v>
      </c>
      <c r="AB964" t="s">
        <v>18331</v>
      </c>
      <c r="AC964" t="s">
        <v>18332</v>
      </c>
      <c r="AD964" t="s">
        <v>18333</v>
      </c>
      <c r="AE964" t="s">
        <v>18334</v>
      </c>
      <c r="AF964" t="s">
        <v>74</v>
      </c>
      <c r="AG964">
        <v>27</v>
      </c>
      <c r="AH964">
        <v>1</v>
      </c>
      <c r="AI964">
        <v>1</v>
      </c>
      <c r="AJ964">
        <v>0</v>
      </c>
      <c r="AK964">
        <v>6</v>
      </c>
      <c r="AL964" t="s">
        <v>17086</v>
      </c>
      <c r="AM964" t="s">
        <v>607</v>
      </c>
      <c r="AN964" t="s">
        <v>17105</v>
      </c>
      <c r="AO964" t="s">
        <v>18271</v>
      </c>
      <c r="AP964" t="s">
        <v>74</v>
      </c>
      <c r="AQ964" t="s">
        <v>18272</v>
      </c>
      <c r="AR964" t="s">
        <v>18273</v>
      </c>
      <c r="AS964" t="s">
        <v>74</v>
      </c>
      <c r="AT964" t="s">
        <v>74</v>
      </c>
      <c r="AU964">
        <v>2019</v>
      </c>
      <c r="AV964" t="s">
        <v>74</v>
      </c>
      <c r="AW964" t="s">
        <v>74</v>
      </c>
      <c r="AX964" t="s">
        <v>74</v>
      </c>
      <c r="AY964" t="s">
        <v>74</v>
      </c>
      <c r="AZ964" t="s">
        <v>74</v>
      </c>
      <c r="BA964" t="s">
        <v>74</v>
      </c>
      <c r="BB964">
        <v>4012</v>
      </c>
      <c r="BC964">
        <v>4015</v>
      </c>
      <c r="BD964" t="s">
        <v>74</v>
      </c>
      <c r="BE964" t="s">
        <v>18335</v>
      </c>
      <c r="BF964" t="str">
        <f>HYPERLINK("http://dx.doi.org/10.1109/igarss.2019.8900079","http://dx.doi.org/10.1109/igarss.2019.8900079")</f>
        <v>http://dx.doi.org/10.1109/igarss.2019.8900079</v>
      </c>
      <c r="BG964" t="s">
        <v>74</v>
      </c>
      <c r="BH964" t="s">
        <v>74</v>
      </c>
      <c r="BI964">
        <v>4</v>
      </c>
      <c r="BJ964" t="s">
        <v>18274</v>
      </c>
      <c r="BK964" t="s">
        <v>17108</v>
      </c>
      <c r="BL964" t="s">
        <v>18275</v>
      </c>
      <c r="BM964" t="s">
        <v>18276</v>
      </c>
      <c r="BN964" t="s">
        <v>74</v>
      </c>
      <c r="BO964" t="s">
        <v>74</v>
      </c>
      <c r="BP964" t="s">
        <v>74</v>
      </c>
      <c r="BQ964" t="s">
        <v>74</v>
      </c>
      <c r="BR964" t="s">
        <v>107</v>
      </c>
      <c r="BS964" t="s">
        <v>18336</v>
      </c>
      <c r="BT964" t="str">
        <f>HYPERLINK("https%3A%2F%2Fwww.webofscience.com%2Fwos%2Fwoscc%2Ffull-record%2FWOS:000519270603242","View Full Record in Web of Science")</f>
        <v>View Full Record in Web of Science</v>
      </c>
    </row>
    <row r="965" spans="1:72" x14ac:dyDescent="0.15">
      <c r="A965" t="s">
        <v>17084</v>
      </c>
      <c r="B965" t="s">
        <v>18337</v>
      </c>
      <c r="C965" t="s">
        <v>74</v>
      </c>
      <c r="D965" t="s">
        <v>74</v>
      </c>
      <c r="E965" t="s">
        <v>17086</v>
      </c>
      <c r="F965" t="s">
        <v>18338</v>
      </c>
      <c r="G965" t="s">
        <v>74</v>
      </c>
      <c r="H965" t="s">
        <v>74</v>
      </c>
      <c r="I965" t="s">
        <v>18339</v>
      </c>
      <c r="J965" t="s">
        <v>18262</v>
      </c>
      <c r="K965" t="s">
        <v>18263</v>
      </c>
      <c r="L965" t="s">
        <v>74</v>
      </c>
      <c r="M965" t="s">
        <v>78</v>
      </c>
      <c r="N965" t="s">
        <v>17090</v>
      </c>
      <c r="O965" t="s">
        <v>18264</v>
      </c>
      <c r="P965" t="s">
        <v>18265</v>
      </c>
      <c r="Q965" t="s">
        <v>18266</v>
      </c>
      <c r="R965" t="s">
        <v>74</v>
      </c>
      <c r="S965" t="s">
        <v>74</v>
      </c>
      <c r="T965" t="s">
        <v>18340</v>
      </c>
      <c r="U965" t="s">
        <v>18341</v>
      </c>
      <c r="V965" t="s">
        <v>18342</v>
      </c>
      <c r="W965" t="s">
        <v>18343</v>
      </c>
      <c r="X965" t="s">
        <v>18344</v>
      </c>
      <c r="Y965" t="s">
        <v>18345</v>
      </c>
      <c r="Z965" t="s">
        <v>74</v>
      </c>
      <c r="AA965" t="s">
        <v>74</v>
      </c>
      <c r="AB965" t="s">
        <v>74</v>
      </c>
      <c r="AC965" t="s">
        <v>18346</v>
      </c>
      <c r="AD965" t="s">
        <v>6499</v>
      </c>
      <c r="AE965" t="s">
        <v>18347</v>
      </c>
      <c r="AF965" t="s">
        <v>74</v>
      </c>
      <c r="AG965">
        <v>5</v>
      </c>
      <c r="AH965">
        <v>0</v>
      </c>
      <c r="AI965">
        <v>0</v>
      </c>
      <c r="AJ965">
        <v>2</v>
      </c>
      <c r="AK965">
        <v>11</v>
      </c>
      <c r="AL965" t="s">
        <v>17086</v>
      </c>
      <c r="AM965" t="s">
        <v>607</v>
      </c>
      <c r="AN965" t="s">
        <v>17105</v>
      </c>
      <c r="AO965" t="s">
        <v>18271</v>
      </c>
      <c r="AP965" t="s">
        <v>74</v>
      </c>
      <c r="AQ965" t="s">
        <v>18272</v>
      </c>
      <c r="AR965" t="s">
        <v>18273</v>
      </c>
      <c r="AS965" t="s">
        <v>74</v>
      </c>
      <c r="AT965" t="s">
        <v>74</v>
      </c>
      <c r="AU965">
        <v>2019</v>
      </c>
      <c r="AV965" t="s">
        <v>74</v>
      </c>
      <c r="AW965" t="s">
        <v>74</v>
      </c>
      <c r="AX965" t="s">
        <v>74</v>
      </c>
      <c r="AY965" t="s">
        <v>74</v>
      </c>
      <c r="AZ965" t="s">
        <v>74</v>
      </c>
      <c r="BA965" t="s">
        <v>74</v>
      </c>
      <c r="BB965">
        <v>4141</v>
      </c>
      <c r="BC965">
        <v>4144</v>
      </c>
      <c r="BD965" t="s">
        <v>74</v>
      </c>
      <c r="BE965" t="s">
        <v>18348</v>
      </c>
      <c r="BF965" t="str">
        <f>HYPERLINK("http://dx.doi.org/10.1109/igarss.2019.8898788","http://dx.doi.org/10.1109/igarss.2019.8898788")</f>
        <v>http://dx.doi.org/10.1109/igarss.2019.8898788</v>
      </c>
      <c r="BG965" t="s">
        <v>74</v>
      </c>
      <c r="BH965" t="s">
        <v>74</v>
      </c>
      <c r="BI965">
        <v>4</v>
      </c>
      <c r="BJ965" t="s">
        <v>18274</v>
      </c>
      <c r="BK965" t="s">
        <v>17108</v>
      </c>
      <c r="BL965" t="s">
        <v>18275</v>
      </c>
      <c r="BM965" t="s">
        <v>18276</v>
      </c>
      <c r="BN965" t="s">
        <v>74</v>
      </c>
      <c r="BO965" t="s">
        <v>74</v>
      </c>
      <c r="BP965" t="s">
        <v>74</v>
      </c>
      <c r="BQ965" t="s">
        <v>74</v>
      </c>
      <c r="BR965" t="s">
        <v>107</v>
      </c>
      <c r="BS965" t="s">
        <v>18349</v>
      </c>
      <c r="BT965" t="str">
        <f>HYPERLINK("https%3A%2F%2Fwww.webofscience.com%2Fwos%2Fwoscc%2Ffull-record%2FWOS:000519270604019","View Full Record in Web of Science")</f>
        <v>View Full Record in Web of Science</v>
      </c>
    </row>
    <row r="966" spans="1:72" x14ac:dyDescent="0.15">
      <c r="A966" t="s">
        <v>17084</v>
      </c>
      <c r="B966" t="s">
        <v>18350</v>
      </c>
      <c r="C966" t="s">
        <v>74</v>
      </c>
      <c r="D966" t="s">
        <v>74</v>
      </c>
      <c r="E966" t="s">
        <v>17086</v>
      </c>
      <c r="F966" t="s">
        <v>18351</v>
      </c>
      <c r="G966" t="s">
        <v>74</v>
      </c>
      <c r="H966" t="s">
        <v>74</v>
      </c>
      <c r="I966" t="s">
        <v>18352</v>
      </c>
      <c r="J966" t="s">
        <v>18262</v>
      </c>
      <c r="K966" t="s">
        <v>18263</v>
      </c>
      <c r="L966" t="s">
        <v>74</v>
      </c>
      <c r="M966" t="s">
        <v>78</v>
      </c>
      <c r="N966" t="s">
        <v>17090</v>
      </c>
      <c r="O966" t="s">
        <v>18264</v>
      </c>
      <c r="P966" t="s">
        <v>18265</v>
      </c>
      <c r="Q966" t="s">
        <v>18266</v>
      </c>
      <c r="R966" t="s">
        <v>74</v>
      </c>
      <c r="S966" t="s">
        <v>74</v>
      </c>
      <c r="T966" t="s">
        <v>18353</v>
      </c>
      <c r="U966" t="s">
        <v>18354</v>
      </c>
      <c r="V966" t="s">
        <v>18355</v>
      </c>
      <c r="W966" t="s">
        <v>18356</v>
      </c>
      <c r="X966" t="s">
        <v>18357</v>
      </c>
      <c r="Y966" t="s">
        <v>18358</v>
      </c>
      <c r="Z966" t="s">
        <v>74</v>
      </c>
      <c r="AA966" t="s">
        <v>74</v>
      </c>
      <c r="AB966" t="s">
        <v>18359</v>
      </c>
      <c r="AC966" t="s">
        <v>74</v>
      </c>
      <c r="AD966" t="s">
        <v>74</v>
      </c>
      <c r="AE966" t="s">
        <v>74</v>
      </c>
      <c r="AF966" t="s">
        <v>74</v>
      </c>
      <c r="AG966">
        <v>17</v>
      </c>
      <c r="AH966">
        <v>0</v>
      </c>
      <c r="AI966">
        <v>0</v>
      </c>
      <c r="AJ966">
        <v>0</v>
      </c>
      <c r="AK966">
        <v>13</v>
      </c>
      <c r="AL966" t="s">
        <v>17086</v>
      </c>
      <c r="AM966" t="s">
        <v>607</v>
      </c>
      <c r="AN966" t="s">
        <v>17105</v>
      </c>
      <c r="AO966" t="s">
        <v>18271</v>
      </c>
      <c r="AP966" t="s">
        <v>74</v>
      </c>
      <c r="AQ966" t="s">
        <v>18272</v>
      </c>
      <c r="AR966" t="s">
        <v>18273</v>
      </c>
      <c r="AS966" t="s">
        <v>74</v>
      </c>
      <c r="AT966" t="s">
        <v>74</v>
      </c>
      <c r="AU966">
        <v>2019</v>
      </c>
      <c r="AV966" t="s">
        <v>74</v>
      </c>
      <c r="AW966" t="s">
        <v>74</v>
      </c>
      <c r="AX966" t="s">
        <v>74</v>
      </c>
      <c r="AY966" t="s">
        <v>74</v>
      </c>
      <c r="AZ966" t="s">
        <v>74</v>
      </c>
      <c r="BA966" t="s">
        <v>74</v>
      </c>
      <c r="BB966">
        <v>4145</v>
      </c>
      <c r="BC966">
        <v>4148</v>
      </c>
      <c r="BD966" t="s">
        <v>74</v>
      </c>
      <c r="BE966" t="s">
        <v>18360</v>
      </c>
      <c r="BF966" t="str">
        <f>HYPERLINK("http://dx.doi.org/10.1109/igarss.2019.8898351","http://dx.doi.org/10.1109/igarss.2019.8898351")</f>
        <v>http://dx.doi.org/10.1109/igarss.2019.8898351</v>
      </c>
      <c r="BG966" t="s">
        <v>74</v>
      </c>
      <c r="BH966" t="s">
        <v>74</v>
      </c>
      <c r="BI966">
        <v>4</v>
      </c>
      <c r="BJ966" t="s">
        <v>18274</v>
      </c>
      <c r="BK966" t="s">
        <v>17108</v>
      </c>
      <c r="BL966" t="s">
        <v>18275</v>
      </c>
      <c r="BM966" t="s">
        <v>18276</v>
      </c>
      <c r="BN966" t="s">
        <v>74</v>
      </c>
      <c r="BO966" t="s">
        <v>74</v>
      </c>
      <c r="BP966" t="s">
        <v>74</v>
      </c>
      <c r="BQ966" t="s">
        <v>74</v>
      </c>
      <c r="BR966" t="s">
        <v>107</v>
      </c>
      <c r="BS966" t="s">
        <v>18361</v>
      </c>
      <c r="BT966" t="str">
        <f>HYPERLINK("https%3A%2F%2Fwww.webofscience.com%2Fwos%2Fwoscc%2Ffull-record%2FWOS:000519270604020","View Full Record in Web of Science")</f>
        <v>View Full Record in Web of Science</v>
      </c>
    </row>
    <row r="967" spans="1:72" x14ac:dyDescent="0.15">
      <c r="A967" t="s">
        <v>17084</v>
      </c>
      <c r="B967" t="s">
        <v>18362</v>
      </c>
      <c r="C967" t="s">
        <v>74</v>
      </c>
      <c r="D967" t="s">
        <v>74</v>
      </c>
      <c r="E967" t="s">
        <v>17086</v>
      </c>
      <c r="F967" t="s">
        <v>18363</v>
      </c>
      <c r="G967" t="s">
        <v>74</v>
      </c>
      <c r="H967" t="s">
        <v>74</v>
      </c>
      <c r="I967" t="s">
        <v>18364</v>
      </c>
      <c r="J967" t="s">
        <v>18262</v>
      </c>
      <c r="K967" t="s">
        <v>18263</v>
      </c>
      <c r="L967" t="s">
        <v>74</v>
      </c>
      <c r="M967" t="s">
        <v>78</v>
      </c>
      <c r="N967" t="s">
        <v>17090</v>
      </c>
      <c r="O967" t="s">
        <v>18264</v>
      </c>
      <c r="P967" t="s">
        <v>18265</v>
      </c>
      <c r="Q967" t="s">
        <v>18266</v>
      </c>
      <c r="R967" t="s">
        <v>74</v>
      </c>
      <c r="S967" t="s">
        <v>74</v>
      </c>
      <c r="T967" t="s">
        <v>18365</v>
      </c>
      <c r="U967" t="s">
        <v>74</v>
      </c>
      <c r="V967" t="s">
        <v>18366</v>
      </c>
      <c r="W967" t="s">
        <v>18367</v>
      </c>
      <c r="X967" t="s">
        <v>18368</v>
      </c>
      <c r="Y967" t="s">
        <v>18369</v>
      </c>
      <c r="Z967" t="s">
        <v>74</v>
      </c>
      <c r="AA967" t="s">
        <v>18370</v>
      </c>
      <c r="AB967" t="s">
        <v>18371</v>
      </c>
      <c r="AC967" t="s">
        <v>18372</v>
      </c>
      <c r="AD967" t="s">
        <v>18373</v>
      </c>
      <c r="AE967" t="s">
        <v>18374</v>
      </c>
      <c r="AF967" t="s">
        <v>74</v>
      </c>
      <c r="AG967">
        <v>6</v>
      </c>
      <c r="AH967">
        <v>2</v>
      </c>
      <c r="AI967">
        <v>2</v>
      </c>
      <c r="AJ967">
        <v>0</v>
      </c>
      <c r="AK967">
        <v>3</v>
      </c>
      <c r="AL967" t="s">
        <v>17086</v>
      </c>
      <c r="AM967" t="s">
        <v>607</v>
      </c>
      <c r="AN967" t="s">
        <v>17105</v>
      </c>
      <c r="AO967" t="s">
        <v>18271</v>
      </c>
      <c r="AP967" t="s">
        <v>74</v>
      </c>
      <c r="AQ967" t="s">
        <v>18272</v>
      </c>
      <c r="AR967" t="s">
        <v>18273</v>
      </c>
      <c r="AS967" t="s">
        <v>74</v>
      </c>
      <c r="AT967" t="s">
        <v>74</v>
      </c>
      <c r="AU967">
        <v>2019</v>
      </c>
      <c r="AV967" t="s">
        <v>74</v>
      </c>
      <c r="AW967" t="s">
        <v>74</v>
      </c>
      <c r="AX967" t="s">
        <v>74</v>
      </c>
      <c r="AY967" t="s">
        <v>74</v>
      </c>
      <c r="AZ967" t="s">
        <v>74</v>
      </c>
      <c r="BA967" t="s">
        <v>74</v>
      </c>
      <c r="BB967">
        <v>4161</v>
      </c>
      <c r="BC967">
        <v>4164</v>
      </c>
      <c r="BD967" t="s">
        <v>74</v>
      </c>
      <c r="BE967" t="s">
        <v>74</v>
      </c>
      <c r="BF967" t="s">
        <v>74</v>
      </c>
      <c r="BG967" t="s">
        <v>74</v>
      </c>
      <c r="BH967" t="s">
        <v>74</v>
      </c>
      <c r="BI967">
        <v>4</v>
      </c>
      <c r="BJ967" t="s">
        <v>18274</v>
      </c>
      <c r="BK967" t="s">
        <v>17108</v>
      </c>
      <c r="BL967" t="s">
        <v>18275</v>
      </c>
      <c r="BM967" t="s">
        <v>18276</v>
      </c>
      <c r="BN967" t="s">
        <v>74</v>
      </c>
      <c r="BO967" t="s">
        <v>74</v>
      </c>
      <c r="BP967" t="s">
        <v>74</v>
      </c>
      <c r="BQ967" t="s">
        <v>74</v>
      </c>
      <c r="BR967" t="s">
        <v>107</v>
      </c>
      <c r="BS967" t="s">
        <v>18375</v>
      </c>
      <c r="BT967" t="str">
        <f>HYPERLINK("https%3A%2F%2Fwww.webofscience.com%2Fwos%2Fwoscc%2Ffull-record%2FWOS:000519270604024","View Full Record in Web of Science")</f>
        <v>View Full Record in Web of Science</v>
      </c>
    </row>
    <row r="968" spans="1:72" x14ac:dyDescent="0.15">
      <c r="A968" t="s">
        <v>17084</v>
      </c>
      <c r="B968" t="s">
        <v>18376</v>
      </c>
      <c r="C968" t="s">
        <v>74</v>
      </c>
      <c r="D968" t="s">
        <v>74</v>
      </c>
      <c r="E968" t="s">
        <v>17086</v>
      </c>
      <c r="F968" t="s">
        <v>18377</v>
      </c>
      <c r="G968" t="s">
        <v>74</v>
      </c>
      <c r="H968" t="s">
        <v>74</v>
      </c>
      <c r="I968" t="s">
        <v>18378</v>
      </c>
      <c r="J968" t="s">
        <v>18262</v>
      </c>
      <c r="K968" t="s">
        <v>18263</v>
      </c>
      <c r="L968" t="s">
        <v>74</v>
      </c>
      <c r="M968" t="s">
        <v>78</v>
      </c>
      <c r="N968" t="s">
        <v>17090</v>
      </c>
      <c r="O968" t="s">
        <v>18264</v>
      </c>
      <c r="P968" t="s">
        <v>18265</v>
      </c>
      <c r="Q968" t="s">
        <v>18266</v>
      </c>
      <c r="R968" t="s">
        <v>74</v>
      </c>
      <c r="S968" t="s">
        <v>74</v>
      </c>
      <c r="T968" t="s">
        <v>18379</v>
      </c>
      <c r="U968" t="s">
        <v>74</v>
      </c>
      <c r="V968" t="s">
        <v>18380</v>
      </c>
      <c r="W968" t="s">
        <v>18381</v>
      </c>
      <c r="X968" t="s">
        <v>18382</v>
      </c>
      <c r="Y968" t="s">
        <v>18383</v>
      </c>
      <c r="Z968" t="s">
        <v>74</v>
      </c>
      <c r="AA968" t="s">
        <v>18384</v>
      </c>
      <c r="AB968" t="s">
        <v>18385</v>
      </c>
      <c r="AC968" t="s">
        <v>18386</v>
      </c>
      <c r="AD968" t="s">
        <v>18387</v>
      </c>
      <c r="AE968" t="s">
        <v>18388</v>
      </c>
      <c r="AF968" t="s">
        <v>74</v>
      </c>
      <c r="AG968">
        <v>5</v>
      </c>
      <c r="AH968">
        <v>0</v>
      </c>
      <c r="AI968">
        <v>0</v>
      </c>
      <c r="AJ968">
        <v>1</v>
      </c>
      <c r="AK968">
        <v>6</v>
      </c>
      <c r="AL968" t="s">
        <v>17086</v>
      </c>
      <c r="AM968" t="s">
        <v>607</v>
      </c>
      <c r="AN968" t="s">
        <v>17105</v>
      </c>
      <c r="AO968" t="s">
        <v>18271</v>
      </c>
      <c r="AP968" t="s">
        <v>74</v>
      </c>
      <c r="AQ968" t="s">
        <v>18272</v>
      </c>
      <c r="AR968" t="s">
        <v>18273</v>
      </c>
      <c r="AS968" t="s">
        <v>74</v>
      </c>
      <c r="AT968" t="s">
        <v>74</v>
      </c>
      <c r="AU968">
        <v>2019</v>
      </c>
      <c r="AV968" t="s">
        <v>74</v>
      </c>
      <c r="AW968" t="s">
        <v>74</v>
      </c>
      <c r="AX968" t="s">
        <v>74</v>
      </c>
      <c r="AY968" t="s">
        <v>74</v>
      </c>
      <c r="AZ968" t="s">
        <v>74</v>
      </c>
      <c r="BA968" t="s">
        <v>74</v>
      </c>
      <c r="BB968">
        <v>4210</v>
      </c>
      <c r="BC968">
        <v>4213</v>
      </c>
      <c r="BD968" t="s">
        <v>74</v>
      </c>
      <c r="BE968" t="s">
        <v>18389</v>
      </c>
      <c r="BF968" t="str">
        <f>HYPERLINK("http://dx.doi.org/10.1109/igarss.2019.8899166","http://dx.doi.org/10.1109/igarss.2019.8899166")</f>
        <v>http://dx.doi.org/10.1109/igarss.2019.8899166</v>
      </c>
      <c r="BG968" t="s">
        <v>74</v>
      </c>
      <c r="BH968" t="s">
        <v>74</v>
      </c>
      <c r="BI968">
        <v>4</v>
      </c>
      <c r="BJ968" t="s">
        <v>18274</v>
      </c>
      <c r="BK968" t="s">
        <v>17108</v>
      </c>
      <c r="BL968" t="s">
        <v>18275</v>
      </c>
      <c r="BM968" t="s">
        <v>18276</v>
      </c>
      <c r="BN968" t="s">
        <v>74</v>
      </c>
      <c r="BO968" t="s">
        <v>74</v>
      </c>
      <c r="BP968" t="s">
        <v>74</v>
      </c>
      <c r="BQ968" t="s">
        <v>74</v>
      </c>
      <c r="BR968" t="s">
        <v>107</v>
      </c>
      <c r="BS968" t="s">
        <v>18390</v>
      </c>
      <c r="BT968" t="str">
        <f>HYPERLINK("https%3A%2F%2Fwww.webofscience.com%2Fwos%2Fwoscc%2Ffull-record%2FWOS:000519270604035","View Full Record in Web of Science")</f>
        <v>View Full Record in Web of Science</v>
      </c>
    </row>
    <row r="969" spans="1:72" x14ac:dyDescent="0.15">
      <c r="A969" t="s">
        <v>17084</v>
      </c>
      <c r="B969" t="s">
        <v>18391</v>
      </c>
      <c r="C969" t="s">
        <v>74</v>
      </c>
      <c r="D969" t="s">
        <v>74</v>
      </c>
      <c r="E969" t="s">
        <v>17086</v>
      </c>
      <c r="F969" t="s">
        <v>18392</v>
      </c>
      <c r="G969" t="s">
        <v>74</v>
      </c>
      <c r="H969" t="s">
        <v>74</v>
      </c>
      <c r="I969" t="s">
        <v>18393</v>
      </c>
      <c r="J969" t="s">
        <v>18262</v>
      </c>
      <c r="K969" t="s">
        <v>18263</v>
      </c>
      <c r="L969" t="s">
        <v>74</v>
      </c>
      <c r="M969" t="s">
        <v>78</v>
      </c>
      <c r="N969" t="s">
        <v>17090</v>
      </c>
      <c r="O969" t="s">
        <v>18264</v>
      </c>
      <c r="P969" t="s">
        <v>18265</v>
      </c>
      <c r="Q969" t="s">
        <v>18266</v>
      </c>
      <c r="R969" t="s">
        <v>74</v>
      </c>
      <c r="S969" t="s">
        <v>74</v>
      </c>
      <c r="T969" t="s">
        <v>18394</v>
      </c>
      <c r="U969" t="s">
        <v>18395</v>
      </c>
      <c r="V969" t="s">
        <v>18396</v>
      </c>
      <c r="W969" t="s">
        <v>18397</v>
      </c>
      <c r="X969" t="s">
        <v>18398</v>
      </c>
      <c r="Y969" t="s">
        <v>18399</v>
      </c>
      <c r="Z969" t="s">
        <v>74</v>
      </c>
      <c r="AA969" t="s">
        <v>18400</v>
      </c>
      <c r="AB969" t="s">
        <v>18401</v>
      </c>
      <c r="AC969" t="s">
        <v>18402</v>
      </c>
      <c r="AD969" t="s">
        <v>18403</v>
      </c>
      <c r="AE969" t="s">
        <v>18404</v>
      </c>
      <c r="AF969" t="s">
        <v>74</v>
      </c>
      <c r="AG969">
        <v>11</v>
      </c>
      <c r="AH969">
        <v>1</v>
      </c>
      <c r="AI969">
        <v>1</v>
      </c>
      <c r="AJ969">
        <v>0</v>
      </c>
      <c r="AK969">
        <v>2</v>
      </c>
      <c r="AL969" t="s">
        <v>17086</v>
      </c>
      <c r="AM969" t="s">
        <v>607</v>
      </c>
      <c r="AN969" t="s">
        <v>17105</v>
      </c>
      <c r="AO969" t="s">
        <v>18271</v>
      </c>
      <c r="AP969" t="s">
        <v>74</v>
      </c>
      <c r="AQ969" t="s">
        <v>18272</v>
      </c>
      <c r="AR969" t="s">
        <v>18273</v>
      </c>
      <c r="AS969" t="s">
        <v>74</v>
      </c>
      <c r="AT969" t="s">
        <v>74</v>
      </c>
      <c r="AU969">
        <v>2019</v>
      </c>
      <c r="AV969" t="s">
        <v>74</v>
      </c>
      <c r="AW969" t="s">
        <v>74</v>
      </c>
      <c r="AX969" t="s">
        <v>74</v>
      </c>
      <c r="AY969" t="s">
        <v>74</v>
      </c>
      <c r="AZ969" t="s">
        <v>74</v>
      </c>
      <c r="BA969" t="s">
        <v>74</v>
      </c>
      <c r="BB969">
        <v>6760</v>
      </c>
      <c r="BC969">
        <v>6763</v>
      </c>
      <c r="BD969" t="s">
        <v>74</v>
      </c>
      <c r="BE969" t="s">
        <v>18405</v>
      </c>
      <c r="BF969" t="str">
        <f>HYPERLINK("http://dx.doi.org/10.1109/igarss.2019.8900375","http://dx.doi.org/10.1109/igarss.2019.8900375")</f>
        <v>http://dx.doi.org/10.1109/igarss.2019.8900375</v>
      </c>
      <c r="BG969" t="s">
        <v>74</v>
      </c>
      <c r="BH969" t="s">
        <v>74</v>
      </c>
      <c r="BI969">
        <v>4</v>
      </c>
      <c r="BJ969" t="s">
        <v>18274</v>
      </c>
      <c r="BK969" t="s">
        <v>17108</v>
      </c>
      <c r="BL969" t="s">
        <v>18275</v>
      </c>
      <c r="BM969" t="s">
        <v>18276</v>
      </c>
      <c r="BN969" t="s">
        <v>74</v>
      </c>
      <c r="BO969" t="s">
        <v>7156</v>
      </c>
      <c r="BP969" t="s">
        <v>74</v>
      </c>
      <c r="BQ969" t="s">
        <v>74</v>
      </c>
      <c r="BR969" t="s">
        <v>107</v>
      </c>
      <c r="BS969" t="s">
        <v>18406</v>
      </c>
      <c r="BT969" t="str">
        <f>HYPERLINK("https%3A%2F%2Fwww.webofscience.com%2Fwos%2Fwoscc%2Ffull-record%2FWOS:000519270606093","View Full Record in Web of Science")</f>
        <v>View Full Record in Web of Science</v>
      </c>
    </row>
    <row r="970" spans="1:72" x14ac:dyDescent="0.15">
      <c r="A970" t="s">
        <v>17084</v>
      </c>
      <c r="B970" t="s">
        <v>18407</v>
      </c>
      <c r="C970" t="s">
        <v>74</v>
      </c>
      <c r="D970" t="s">
        <v>74</v>
      </c>
      <c r="E970" t="s">
        <v>17086</v>
      </c>
      <c r="F970" t="s">
        <v>18408</v>
      </c>
      <c r="G970" t="s">
        <v>74</v>
      </c>
      <c r="H970" t="s">
        <v>74</v>
      </c>
      <c r="I970" t="s">
        <v>18409</v>
      </c>
      <c r="J970" t="s">
        <v>18262</v>
      </c>
      <c r="K970" t="s">
        <v>18263</v>
      </c>
      <c r="L970" t="s">
        <v>74</v>
      </c>
      <c r="M970" t="s">
        <v>78</v>
      </c>
      <c r="N970" t="s">
        <v>17090</v>
      </c>
      <c r="O970" t="s">
        <v>18264</v>
      </c>
      <c r="P970" t="s">
        <v>18265</v>
      </c>
      <c r="Q970" t="s">
        <v>18266</v>
      </c>
      <c r="R970" t="s">
        <v>74</v>
      </c>
      <c r="S970" t="s">
        <v>74</v>
      </c>
      <c r="T970" t="s">
        <v>18410</v>
      </c>
      <c r="U970" t="s">
        <v>18411</v>
      </c>
      <c r="V970" t="s">
        <v>18412</v>
      </c>
      <c r="W970" t="s">
        <v>18413</v>
      </c>
      <c r="X970" t="s">
        <v>18414</v>
      </c>
      <c r="Y970" t="s">
        <v>18415</v>
      </c>
      <c r="Z970" t="s">
        <v>74</v>
      </c>
      <c r="AA970" t="s">
        <v>18416</v>
      </c>
      <c r="AB970" t="s">
        <v>18417</v>
      </c>
      <c r="AC970" t="s">
        <v>18418</v>
      </c>
      <c r="AD970" t="s">
        <v>18418</v>
      </c>
      <c r="AE970" t="s">
        <v>18419</v>
      </c>
      <c r="AF970" t="s">
        <v>74</v>
      </c>
      <c r="AG970">
        <v>18</v>
      </c>
      <c r="AH970">
        <v>0</v>
      </c>
      <c r="AI970">
        <v>0</v>
      </c>
      <c r="AJ970">
        <v>0</v>
      </c>
      <c r="AK970">
        <v>1</v>
      </c>
      <c r="AL970" t="s">
        <v>17086</v>
      </c>
      <c r="AM970" t="s">
        <v>607</v>
      </c>
      <c r="AN970" t="s">
        <v>17105</v>
      </c>
      <c r="AO970" t="s">
        <v>18271</v>
      </c>
      <c r="AP970" t="s">
        <v>74</v>
      </c>
      <c r="AQ970" t="s">
        <v>18272</v>
      </c>
      <c r="AR970" t="s">
        <v>18273</v>
      </c>
      <c r="AS970" t="s">
        <v>74</v>
      </c>
      <c r="AT970" t="s">
        <v>74</v>
      </c>
      <c r="AU970">
        <v>2019</v>
      </c>
      <c r="AV970" t="s">
        <v>74</v>
      </c>
      <c r="AW970" t="s">
        <v>74</v>
      </c>
      <c r="AX970" t="s">
        <v>74</v>
      </c>
      <c r="AY970" t="s">
        <v>74</v>
      </c>
      <c r="AZ970" t="s">
        <v>74</v>
      </c>
      <c r="BA970" t="s">
        <v>74</v>
      </c>
      <c r="BB970">
        <v>8054</v>
      </c>
      <c r="BC970">
        <v>8057</v>
      </c>
      <c r="BD970" t="s">
        <v>74</v>
      </c>
      <c r="BE970" t="s">
        <v>18420</v>
      </c>
      <c r="BF970" t="str">
        <f>HYPERLINK("http://dx.doi.org/10.1109/igarss.2019.8900435","http://dx.doi.org/10.1109/igarss.2019.8900435")</f>
        <v>http://dx.doi.org/10.1109/igarss.2019.8900435</v>
      </c>
      <c r="BG970" t="s">
        <v>74</v>
      </c>
      <c r="BH970" t="s">
        <v>74</v>
      </c>
      <c r="BI970">
        <v>4</v>
      </c>
      <c r="BJ970" t="s">
        <v>18274</v>
      </c>
      <c r="BK970" t="s">
        <v>17108</v>
      </c>
      <c r="BL970" t="s">
        <v>18275</v>
      </c>
      <c r="BM970" t="s">
        <v>18276</v>
      </c>
      <c r="BN970" t="s">
        <v>74</v>
      </c>
      <c r="BO970" t="s">
        <v>74</v>
      </c>
      <c r="BP970" t="s">
        <v>74</v>
      </c>
      <c r="BQ970" t="s">
        <v>74</v>
      </c>
      <c r="BR970" t="s">
        <v>107</v>
      </c>
      <c r="BS970" t="s">
        <v>18421</v>
      </c>
      <c r="BT970" t="str">
        <f>HYPERLINK("https%3A%2F%2Fwww.webofscience.com%2Fwos%2Fwoscc%2Ffull-record%2FWOS:000519270607105","View Full Record in Web of Science")</f>
        <v>View Full Record in Web of Science</v>
      </c>
    </row>
    <row r="971" spans="1:72" x14ac:dyDescent="0.15">
      <c r="A971" t="s">
        <v>17084</v>
      </c>
      <c r="B971" t="s">
        <v>18422</v>
      </c>
      <c r="C971" t="s">
        <v>74</v>
      </c>
      <c r="D971" t="s">
        <v>74</v>
      </c>
      <c r="E971" t="s">
        <v>17086</v>
      </c>
      <c r="F971" t="s">
        <v>18423</v>
      </c>
      <c r="G971" t="s">
        <v>74</v>
      </c>
      <c r="H971" t="s">
        <v>74</v>
      </c>
      <c r="I971" t="s">
        <v>18424</v>
      </c>
      <c r="J971" t="s">
        <v>18262</v>
      </c>
      <c r="K971" t="s">
        <v>18263</v>
      </c>
      <c r="L971" t="s">
        <v>74</v>
      </c>
      <c r="M971" t="s">
        <v>78</v>
      </c>
      <c r="N971" t="s">
        <v>17090</v>
      </c>
      <c r="O971" t="s">
        <v>18264</v>
      </c>
      <c r="P971" t="s">
        <v>18265</v>
      </c>
      <c r="Q971" t="s">
        <v>18266</v>
      </c>
      <c r="R971" t="s">
        <v>74</v>
      </c>
      <c r="S971" t="s">
        <v>74</v>
      </c>
      <c r="T971" t="s">
        <v>18425</v>
      </c>
      <c r="U971" t="s">
        <v>18426</v>
      </c>
      <c r="V971" t="s">
        <v>18427</v>
      </c>
      <c r="W971" t="s">
        <v>18428</v>
      </c>
      <c r="X971" t="s">
        <v>18429</v>
      </c>
      <c r="Y971" t="s">
        <v>18430</v>
      </c>
      <c r="Z971" t="s">
        <v>74</v>
      </c>
      <c r="AA971" t="s">
        <v>74</v>
      </c>
      <c r="AB971" t="s">
        <v>74</v>
      </c>
      <c r="AC971" t="s">
        <v>74</v>
      </c>
      <c r="AD971" t="s">
        <v>74</v>
      </c>
      <c r="AE971" t="s">
        <v>74</v>
      </c>
      <c r="AF971" t="s">
        <v>74</v>
      </c>
      <c r="AG971">
        <v>7</v>
      </c>
      <c r="AH971">
        <v>0</v>
      </c>
      <c r="AI971">
        <v>0</v>
      </c>
      <c r="AJ971">
        <v>1</v>
      </c>
      <c r="AK971">
        <v>4</v>
      </c>
      <c r="AL971" t="s">
        <v>17086</v>
      </c>
      <c r="AM971" t="s">
        <v>607</v>
      </c>
      <c r="AN971" t="s">
        <v>17105</v>
      </c>
      <c r="AO971" t="s">
        <v>18271</v>
      </c>
      <c r="AP971" t="s">
        <v>74</v>
      </c>
      <c r="AQ971" t="s">
        <v>18272</v>
      </c>
      <c r="AR971" t="s">
        <v>18273</v>
      </c>
      <c r="AS971" t="s">
        <v>74</v>
      </c>
      <c r="AT971" t="s">
        <v>74</v>
      </c>
      <c r="AU971">
        <v>2019</v>
      </c>
      <c r="AV971" t="s">
        <v>74</v>
      </c>
      <c r="AW971" t="s">
        <v>74</v>
      </c>
      <c r="AX971" t="s">
        <v>74</v>
      </c>
      <c r="AY971" t="s">
        <v>74</v>
      </c>
      <c r="AZ971" t="s">
        <v>74</v>
      </c>
      <c r="BA971" t="s">
        <v>74</v>
      </c>
      <c r="BB971">
        <v>8834</v>
      </c>
      <c r="BC971">
        <v>8836</v>
      </c>
      <c r="BD971" t="s">
        <v>74</v>
      </c>
      <c r="BE971" t="s">
        <v>18431</v>
      </c>
      <c r="BF971" t="str">
        <f>HYPERLINK("http://dx.doi.org/10.1109/igarss.2019.8899259","http://dx.doi.org/10.1109/igarss.2019.8899259")</f>
        <v>http://dx.doi.org/10.1109/igarss.2019.8899259</v>
      </c>
      <c r="BG971" t="s">
        <v>74</v>
      </c>
      <c r="BH971" t="s">
        <v>74</v>
      </c>
      <c r="BI971">
        <v>3</v>
      </c>
      <c r="BJ971" t="s">
        <v>18274</v>
      </c>
      <c r="BK971" t="s">
        <v>17108</v>
      </c>
      <c r="BL971" t="s">
        <v>18275</v>
      </c>
      <c r="BM971" t="s">
        <v>18276</v>
      </c>
      <c r="BN971" t="s">
        <v>74</v>
      </c>
      <c r="BO971" t="s">
        <v>74</v>
      </c>
      <c r="BP971" t="s">
        <v>74</v>
      </c>
      <c r="BQ971" t="s">
        <v>74</v>
      </c>
      <c r="BR971" t="s">
        <v>107</v>
      </c>
      <c r="BS971" t="s">
        <v>18432</v>
      </c>
      <c r="BT971" t="str">
        <f>HYPERLINK("https%3A%2F%2Fwww.webofscience.com%2Fwos%2Fwoscc%2Ffull-record%2FWOS:000519270608026","View Full Record in Web of Science")</f>
        <v>View Full Record in Web of Science</v>
      </c>
    </row>
    <row r="972" spans="1:72" x14ac:dyDescent="0.15">
      <c r="A972" t="s">
        <v>17084</v>
      </c>
      <c r="B972" t="s">
        <v>18433</v>
      </c>
      <c r="C972" t="s">
        <v>74</v>
      </c>
      <c r="D972" t="s">
        <v>74</v>
      </c>
      <c r="E972" t="s">
        <v>17086</v>
      </c>
      <c r="F972" t="s">
        <v>18434</v>
      </c>
      <c r="G972" t="s">
        <v>74</v>
      </c>
      <c r="H972" t="s">
        <v>74</v>
      </c>
      <c r="I972" t="s">
        <v>18435</v>
      </c>
      <c r="J972" t="s">
        <v>18262</v>
      </c>
      <c r="K972" t="s">
        <v>18263</v>
      </c>
      <c r="L972" t="s">
        <v>74</v>
      </c>
      <c r="M972" t="s">
        <v>78</v>
      </c>
      <c r="N972" t="s">
        <v>17090</v>
      </c>
      <c r="O972" t="s">
        <v>18264</v>
      </c>
      <c r="P972" t="s">
        <v>18265</v>
      </c>
      <c r="Q972" t="s">
        <v>18266</v>
      </c>
      <c r="R972" t="s">
        <v>74</v>
      </c>
      <c r="S972" t="s">
        <v>74</v>
      </c>
      <c r="T972" t="s">
        <v>18436</v>
      </c>
      <c r="U972" t="s">
        <v>74</v>
      </c>
      <c r="V972" t="s">
        <v>18437</v>
      </c>
      <c r="W972" t="s">
        <v>18438</v>
      </c>
      <c r="X972" t="s">
        <v>18439</v>
      </c>
      <c r="Y972" t="s">
        <v>18440</v>
      </c>
      <c r="Z972" t="s">
        <v>18441</v>
      </c>
      <c r="AA972" t="s">
        <v>18442</v>
      </c>
      <c r="AB972" t="s">
        <v>74</v>
      </c>
      <c r="AC972" t="s">
        <v>74</v>
      </c>
      <c r="AD972" t="s">
        <v>74</v>
      </c>
      <c r="AE972" t="s">
        <v>74</v>
      </c>
      <c r="AF972" t="s">
        <v>74</v>
      </c>
      <c r="AG972">
        <v>8</v>
      </c>
      <c r="AH972">
        <v>4</v>
      </c>
      <c r="AI972">
        <v>4</v>
      </c>
      <c r="AJ972">
        <v>0</v>
      </c>
      <c r="AK972">
        <v>2</v>
      </c>
      <c r="AL972" t="s">
        <v>17086</v>
      </c>
      <c r="AM972" t="s">
        <v>607</v>
      </c>
      <c r="AN972" t="s">
        <v>17105</v>
      </c>
      <c r="AO972" t="s">
        <v>18271</v>
      </c>
      <c r="AP972" t="s">
        <v>74</v>
      </c>
      <c r="AQ972" t="s">
        <v>18272</v>
      </c>
      <c r="AR972" t="s">
        <v>18273</v>
      </c>
      <c r="AS972" t="s">
        <v>74</v>
      </c>
      <c r="AT972" t="s">
        <v>74</v>
      </c>
      <c r="AU972">
        <v>2019</v>
      </c>
      <c r="AV972" t="s">
        <v>74</v>
      </c>
      <c r="AW972" t="s">
        <v>74</v>
      </c>
      <c r="AX972" t="s">
        <v>74</v>
      </c>
      <c r="AY972" t="s">
        <v>74</v>
      </c>
      <c r="AZ972" t="s">
        <v>74</v>
      </c>
      <c r="BA972" t="s">
        <v>74</v>
      </c>
      <c r="BB972">
        <v>8917</v>
      </c>
      <c r="BC972">
        <v>8920</v>
      </c>
      <c r="BD972" t="s">
        <v>74</v>
      </c>
      <c r="BE972" t="s">
        <v>18443</v>
      </c>
      <c r="BF972" t="str">
        <f>HYPERLINK("http://dx.doi.org/10.1109/igarss.2019.8898014","http://dx.doi.org/10.1109/igarss.2019.8898014")</f>
        <v>http://dx.doi.org/10.1109/igarss.2019.8898014</v>
      </c>
      <c r="BG972" t="s">
        <v>74</v>
      </c>
      <c r="BH972" t="s">
        <v>74</v>
      </c>
      <c r="BI972">
        <v>4</v>
      </c>
      <c r="BJ972" t="s">
        <v>18274</v>
      </c>
      <c r="BK972" t="s">
        <v>17108</v>
      </c>
      <c r="BL972" t="s">
        <v>18275</v>
      </c>
      <c r="BM972" t="s">
        <v>18276</v>
      </c>
      <c r="BN972" t="s">
        <v>74</v>
      </c>
      <c r="BO972" t="s">
        <v>74</v>
      </c>
      <c r="BP972" t="s">
        <v>74</v>
      </c>
      <c r="BQ972" t="s">
        <v>74</v>
      </c>
      <c r="BR972" t="s">
        <v>107</v>
      </c>
      <c r="BS972" t="s">
        <v>18444</v>
      </c>
      <c r="BT972" t="str">
        <f>HYPERLINK("https%3A%2F%2Fwww.webofscience.com%2Fwos%2Fwoscc%2Ffull-record%2FWOS:000519270608045","View Full Record in Web of Science")</f>
        <v>View Full Record in Web of Science</v>
      </c>
    </row>
    <row r="973" spans="1:72" x14ac:dyDescent="0.15">
      <c r="A973" t="s">
        <v>17084</v>
      </c>
      <c r="B973" t="s">
        <v>18445</v>
      </c>
      <c r="C973" t="s">
        <v>74</v>
      </c>
      <c r="D973" t="s">
        <v>74</v>
      </c>
      <c r="E973" t="s">
        <v>17086</v>
      </c>
      <c r="F973" t="s">
        <v>18446</v>
      </c>
      <c r="G973" t="s">
        <v>74</v>
      </c>
      <c r="H973" t="s">
        <v>74</v>
      </c>
      <c r="I973" t="s">
        <v>18447</v>
      </c>
      <c r="J973" t="s">
        <v>18262</v>
      </c>
      <c r="K973" t="s">
        <v>18263</v>
      </c>
      <c r="L973" t="s">
        <v>74</v>
      </c>
      <c r="M973" t="s">
        <v>78</v>
      </c>
      <c r="N973" t="s">
        <v>17090</v>
      </c>
      <c r="O973" t="s">
        <v>18264</v>
      </c>
      <c r="P973" t="s">
        <v>18265</v>
      </c>
      <c r="Q973" t="s">
        <v>18266</v>
      </c>
      <c r="R973" t="s">
        <v>74</v>
      </c>
      <c r="S973" t="s">
        <v>74</v>
      </c>
      <c r="T973" t="s">
        <v>18448</v>
      </c>
      <c r="U973" t="s">
        <v>74</v>
      </c>
      <c r="V973" t="s">
        <v>18449</v>
      </c>
      <c r="W973" t="s">
        <v>18450</v>
      </c>
      <c r="X973" t="s">
        <v>17999</v>
      </c>
      <c r="Y973" t="s">
        <v>18451</v>
      </c>
      <c r="Z973" t="s">
        <v>18452</v>
      </c>
      <c r="AA973" t="s">
        <v>74</v>
      </c>
      <c r="AB973" t="s">
        <v>18453</v>
      </c>
      <c r="AC973" t="s">
        <v>18454</v>
      </c>
      <c r="AD973" t="s">
        <v>18455</v>
      </c>
      <c r="AE973" t="s">
        <v>18456</v>
      </c>
      <c r="AF973" t="s">
        <v>74</v>
      </c>
      <c r="AG973">
        <v>5</v>
      </c>
      <c r="AH973">
        <v>3</v>
      </c>
      <c r="AI973">
        <v>3</v>
      </c>
      <c r="AJ973">
        <v>0</v>
      </c>
      <c r="AK973">
        <v>1</v>
      </c>
      <c r="AL973" t="s">
        <v>17086</v>
      </c>
      <c r="AM973" t="s">
        <v>607</v>
      </c>
      <c r="AN973" t="s">
        <v>17105</v>
      </c>
      <c r="AO973" t="s">
        <v>18271</v>
      </c>
      <c r="AP973" t="s">
        <v>74</v>
      </c>
      <c r="AQ973" t="s">
        <v>18272</v>
      </c>
      <c r="AR973" t="s">
        <v>18273</v>
      </c>
      <c r="AS973" t="s">
        <v>74</v>
      </c>
      <c r="AT973" t="s">
        <v>74</v>
      </c>
      <c r="AU973">
        <v>2019</v>
      </c>
      <c r="AV973" t="s">
        <v>74</v>
      </c>
      <c r="AW973" t="s">
        <v>74</v>
      </c>
      <c r="AX973" t="s">
        <v>74</v>
      </c>
      <c r="AY973" t="s">
        <v>74</v>
      </c>
      <c r="AZ973" t="s">
        <v>74</v>
      </c>
      <c r="BA973" t="s">
        <v>74</v>
      </c>
      <c r="BB973">
        <v>10099</v>
      </c>
      <c r="BC973">
        <v>10102</v>
      </c>
      <c r="BD973" t="s">
        <v>74</v>
      </c>
      <c r="BE973" t="s">
        <v>18457</v>
      </c>
      <c r="BF973" t="str">
        <f>HYPERLINK("http://dx.doi.org/10.1109/igarss.2019.8898079","http://dx.doi.org/10.1109/igarss.2019.8898079")</f>
        <v>http://dx.doi.org/10.1109/igarss.2019.8898079</v>
      </c>
      <c r="BG973" t="s">
        <v>74</v>
      </c>
      <c r="BH973" t="s">
        <v>74</v>
      </c>
      <c r="BI973">
        <v>4</v>
      </c>
      <c r="BJ973" t="s">
        <v>18274</v>
      </c>
      <c r="BK973" t="s">
        <v>17108</v>
      </c>
      <c r="BL973" t="s">
        <v>18275</v>
      </c>
      <c r="BM973" t="s">
        <v>18276</v>
      </c>
      <c r="BN973" t="s">
        <v>74</v>
      </c>
      <c r="BO973" t="s">
        <v>5573</v>
      </c>
      <c r="BP973" t="s">
        <v>74</v>
      </c>
      <c r="BQ973" t="s">
        <v>74</v>
      </c>
      <c r="BR973" t="s">
        <v>107</v>
      </c>
      <c r="BS973" t="s">
        <v>18458</v>
      </c>
      <c r="BT973" t="str">
        <f>HYPERLINK("https%3A%2F%2Fwww.webofscience.com%2Fwos%2Fwoscc%2Ffull-record%2FWOS:000519270601069","View Full Record in Web of Science")</f>
        <v>View Full Record in Web of Science</v>
      </c>
    </row>
    <row r="974" spans="1:72" x14ac:dyDescent="0.15">
      <c r="A974" t="s">
        <v>17084</v>
      </c>
      <c r="B974" t="s">
        <v>18459</v>
      </c>
      <c r="C974" t="s">
        <v>74</v>
      </c>
      <c r="D974" t="s">
        <v>74</v>
      </c>
      <c r="E974" t="s">
        <v>17086</v>
      </c>
      <c r="F974" t="s">
        <v>18460</v>
      </c>
      <c r="G974" t="s">
        <v>74</v>
      </c>
      <c r="H974" t="s">
        <v>74</v>
      </c>
      <c r="I974" t="s">
        <v>18461</v>
      </c>
      <c r="J974" t="s">
        <v>18462</v>
      </c>
      <c r="K974" t="s">
        <v>18463</v>
      </c>
      <c r="L974" t="s">
        <v>74</v>
      </c>
      <c r="M974" t="s">
        <v>78</v>
      </c>
      <c r="N974" t="s">
        <v>17090</v>
      </c>
      <c r="O974" t="s">
        <v>18464</v>
      </c>
      <c r="P974" t="s">
        <v>18465</v>
      </c>
      <c r="Q974" t="s">
        <v>18466</v>
      </c>
      <c r="R974" t="s">
        <v>74</v>
      </c>
      <c r="S974" t="s">
        <v>74</v>
      </c>
      <c r="T974" t="s">
        <v>18467</v>
      </c>
      <c r="U974" t="s">
        <v>74</v>
      </c>
      <c r="V974" t="s">
        <v>18468</v>
      </c>
      <c r="W974" t="s">
        <v>18469</v>
      </c>
      <c r="X974" t="s">
        <v>18470</v>
      </c>
      <c r="Y974" t="s">
        <v>18471</v>
      </c>
      <c r="Z974" t="s">
        <v>18472</v>
      </c>
      <c r="AA974" t="s">
        <v>74</v>
      </c>
      <c r="AB974" t="s">
        <v>74</v>
      </c>
      <c r="AC974" t="s">
        <v>74</v>
      </c>
      <c r="AD974" t="s">
        <v>74</v>
      </c>
      <c r="AE974" t="s">
        <v>74</v>
      </c>
      <c r="AF974" t="s">
        <v>74</v>
      </c>
      <c r="AG974">
        <v>6</v>
      </c>
      <c r="AH974">
        <v>0</v>
      </c>
      <c r="AI974">
        <v>0</v>
      </c>
      <c r="AJ974">
        <v>0</v>
      </c>
      <c r="AK974">
        <v>0</v>
      </c>
      <c r="AL974" t="s">
        <v>17086</v>
      </c>
      <c r="AM974" t="s">
        <v>607</v>
      </c>
      <c r="AN974" t="s">
        <v>17105</v>
      </c>
      <c r="AO974" t="s">
        <v>18473</v>
      </c>
      <c r="AP974" t="s">
        <v>74</v>
      </c>
      <c r="AQ974" t="s">
        <v>18474</v>
      </c>
      <c r="AR974" t="s">
        <v>18475</v>
      </c>
      <c r="AS974" t="s">
        <v>74</v>
      </c>
      <c r="AT974" t="s">
        <v>74</v>
      </c>
      <c r="AU974">
        <v>2019</v>
      </c>
      <c r="AV974" t="s">
        <v>74</v>
      </c>
      <c r="AW974" t="s">
        <v>74</v>
      </c>
      <c r="AX974" t="s">
        <v>74</v>
      </c>
      <c r="AY974" t="s">
        <v>74</v>
      </c>
      <c r="AZ974" t="s">
        <v>74</v>
      </c>
      <c r="BA974" t="s">
        <v>74</v>
      </c>
      <c r="BB974" t="s">
        <v>74</v>
      </c>
      <c r="BC974" t="s">
        <v>74</v>
      </c>
      <c r="BD974" t="s">
        <v>74</v>
      </c>
      <c r="BE974" t="s">
        <v>74</v>
      </c>
      <c r="BF974" t="s">
        <v>74</v>
      </c>
      <c r="BG974" t="s">
        <v>74</v>
      </c>
      <c r="BH974" t="s">
        <v>74</v>
      </c>
      <c r="BI974">
        <v>6</v>
      </c>
      <c r="BJ974" t="s">
        <v>18476</v>
      </c>
      <c r="BK974" t="s">
        <v>17108</v>
      </c>
      <c r="BL974" t="s">
        <v>18476</v>
      </c>
      <c r="BM974" t="s">
        <v>18477</v>
      </c>
      <c r="BN974" t="s">
        <v>74</v>
      </c>
      <c r="BO974" t="s">
        <v>74</v>
      </c>
      <c r="BP974" t="s">
        <v>74</v>
      </c>
      <c r="BQ974" t="s">
        <v>74</v>
      </c>
      <c r="BR974" t="s">
        <v>107</v>
      </c>
      <c r="BS974" t="s">
        <v>18478</v>
      </c>
      <c r="BT974" t="str">
        <f>HYPERLINK("https%3A%2F%2Fwww.webofscience.com%2Fwos%2Fwoscc%2Ffull-record%2FWOS:000519086301099","View Full Record in Web of Science")</f>
        <v>View Full Record in Web of Science</v>
      </c>
    </row>
    <row r="975" spans="1:72" x14ac:dyDescent="0.15">
      <c r="A975" t="s">
        <v>16882</v>
      </c>
      <c r="B975" t="s">
        <v>18479</v>
      </c>
      <c r="C975" t="s">
        <v>74</v>
      </c>
      <c r="D975" t="s">
        <v>18480</v>
      </c>
      <c r="E975" t="s">
        <v>74</v>
      </c>
      <c r="F975" t="s">
        <v>18481</v>
      </c>
      <c r="G975" t="s">
        <v>74</v>
      </c>
      <c r="H975" t="s">
        <v>74</v>
      </c>
      <c r="I975" t="s">
        <v>18482</v>
      </c>
      <c r="J975" t="s">
        <v>18483</v>
      </c>
      <c r="K975" t="s">
        <v>74</v>
      </c>
      <c r="L975" t="s">
        <v>74</v>
      </c>
      <c r="M975" t="s">
        <v>78</v>
      </c>
      <c r="N975" t="s">
        <v>17065</v>
      </c>
      <c r="O975" t="s">
        <v>74</v>
      </c>
      <c r="P975" t="s">
        <v>74</v>
      </c>
      <c r="Q975" t="s">
        <v>74</v>
      </c>
      <c r="R975" t="s">
        <v>74</v>
      </c>
      <c r="S975" t="s">
        <v>74</v>
      </c>
      <c r="T975" t="s">
        <v>74</v>
      </c>
      <c r="U975" t="s">
        <v>18484</v>
      </c>
      <c r="V975" t="s">
        <v>74</v>
      </c>
      <c r="W975" t="s">
        <v>18485</v>
      </c>
      <c r="X975" t="s">
        <v>18486</v>
      </c>
      <c r="Y975" t="s">
        <v>18487</v>
      </c>
      <c r="Z975" t="s">
        <v>74</v>
      </c>
      <c r="AA975" t="s">
        <v>18488</v>
      </c>
      <c r="AB975" t="s">
        <v>18489</v>
      </c>
      <c r="AC975" t="s">
        <v>74</v>
      </c>
      <c r="AD975" t="s">
        <v>74</v>
      </c>
      <c r="AE975" t="s">
        <v>74</v>
      </c>
      <c r="AF975" t="s">
        <v>74</v>
      </c>
      <c r="AG975">
        <v>24</v>
      </c>
      <c r="AH975">
        <v>7</v>
      </c>
      <c r="AI975">
        <v>8</v>
      </c>
      <c r="AJ975">
        <v>0</v>
      </c>
      <c r="AK975">
        <v>1</v>
      </c>
      <c r="AL975" t="s">
        <v>17381</v>
      </c>
      <c r="AM975" t="s">
        <v>329</v>
      </c>
      <c r="AN975" t="s">
        <v>17382</v>
      </c>
      <c r="AO975" t="s">
        <v>74</v>
      </c>
      <c r="AP975" t="s">
        <v>74</v>
      </c>
      <c r="AQ975" t="s">
        <v>18490</v>
      </c>
      <c r="AR975" t="s">
        <v>74</v>
      </c>
      <c r="AS975" t="s">
        <v>74</v>
      </c>
      <c r="AT975" t="s">
        <v>74</v>
      </c>
      <c r="AU975">
        <v>2019</v>
      </c>
      <c r="AV975" t="s">
        <v>74</v>
      </c>
      <c r="AW975" t="s">
        <v>74</v>
      </c>
      <c r="AX975" t="s">
        <v>74</v>
      </c>
      <c r="AY975" t="s">
        <v>74</v>
      </c>
      <c r="AZ975" t="s">
        <v>74</v>
      </c>
      <c r="BA975" t="s">
        <v>74</v>
      </c>
      <c r="BB975">
        <v>141</v>
      </c>
      <c r="BC975">
        <v>157</v>
      </c>
      <c r="BD975" t="s">
        <v>74</v>
      </c>
      <c r="BE975" t="s">
        <v>18491</v>
      </c>
      <c r="BF975" t="str">
        <f>HYPERLINK("http://dx.doi.org/10.1016/B978-0-12-409548-9.11297-7","http://dx.doi.org/10.1016/B978-0-12-409548-9.11297-7")</f>
        <v>http://dx.doi.org/10.1016/B978-0-12-409548-9.11297-7</v>
      </c>
      <c r="BG975" t="s">
        <v>74</v>
      </c>
      <c r="BH975" t="s">
        <v>74</v>
      </c>
      <c r="BI975">
        <v>17</v>
      </c>
      <c r="BJ975" t="s">
        <v>277</v>
      </c>
      <c r="BK975" t="s">
        <v>16914</v>
      </c>
      <c r="BL975" t="s">
        <v>277</v>
      </c>
      <c r="BM975" t="s">
        <v>18492</v>
      </c>
      <c r="BN975" t="s">
        <v>74</v>
      </c>
      <c r="BO975" t="s">
        <v>74</v>
      </c>
      <c r="BP975" t="s">
        <v>74</v>
      </c>
      <c r="BQ975" t="s">
        <v>74</v>
      </c>
      <c r="BR975" t="s">
        <v>107</v>
      </c>
      <c r="BS975" t="s">
        <v>18493</v>
      </c>
      <c r="BT975" t="str">
        <f>HYPERLINK("https%3A%2F%2Fwww.webofscience.com%2Fwos%2Fwoscc%2Ffull-record%2FWOS:000519759300017","View Full Record in Web of Science")</f>
        <v>View Full Record in Web of Science</v>
      </c>
    </row>
    <row r="976" spans="1:72" x14ac:dyDescent="0.15">
      <c r="A976" t="s">
        <v>16882</v>
      </c>
      <c r="B976" t="s">
        <v>18494</v>
      </c>
      <c r="C976" t="s">
        <v>74</v>
      </c>
      <c r="D976" t="s">
        <v>18480</v>
      </c>
      <c r="E976" t="s">
        <v>74</v>
      </c>
      <c r="F976" t="s">
        <v>18495</v>
      </c>
      <c r="G976" t="s">
        <v>74</v>
      </c>
      <c r="H976" t="s">
        <v>74</v>
      </c>
      <c r="I976" t="s">
        <v>18496</v>
      </c>
      <c r="J976" t="s">
        <v>18483</v>
      </c>
      <c r="K976" t="s">
        <v>74</v>
      </c>
      <c r="L976" t="s">
        <v>74</v>
      </c>
      <c r="M976" t="s">
        <v>78</v>
      </c>
      <c r="N976" t="s">
        <v>17065</v>
      </c>
      <c r="O976" t="s">
        <v>74</v>
      </c>
      <c r="P976" t="s">
        <v>74</v>
      </c>
      <c r="Q976" t="s">
        <v>74</v>
      </c>
      <c r="R976" t="s">
        <v>74</v>
      </c>
      <c r="S976" t="s">
        <v>74</v>
      </c>
      <c r="T976" t="s">
        <v>74</v>
      </c>
      <c r="U976" t="s">
        <v>74</v>
      </c>
      <c r="V976" t="s">
        <v>74</v>
      </c>
      <c r="W976" t="s">
        <v>18497</v>
      </c>
      <c r="X976" t="s">
        <v>18498</v>
      </c>
      <c r="Y976" t="s">
        <v>18499</v>
      </c>
      <c r="Z976" t="s">
        <v>74</v>
      </c>
      <c r="AA976" t="s">
        <v>74</v>
      </c>
      <c r="AB976" t="s">
        <v>74</v>
      </c>
      <c r="AC976" t="s">
        <v>74</v>
      </c>
      <c r="AD976" t="s">
        <v>74</v>
      </c>
      <c r="AE976" t="s">
        <v>74</v>
      </c>
      <c r="AF976" t="s">
        <v>74</v>
      </c>
      <c r="AG976">
        <v>0</v>
      </c>
      <c r="AH976">
        <v>6</v>
      </c>
      <c r="AI976">
        <v>7</v>
      </c>
      <c r="AJ976">
        <v>2</v>
      </c>
      <c r="AK976">
        <v>6</v>
      </c>
      <c r="AL976" t="s">
        <v>17381</v>
      </c>
      <c r="AM976" t="s">
        <v>329</v>
      </c>
      <c r="AN976" t="s">
        <v>17382</v>
      </c>
      <c r="AO976" t="s">
        <v>74</v>
      </c>
      <c r="AP976" t="s">
        <v>74</v>
      </c>
      <c r="AQ976" t="s">
        <v>18490</v>
      </c>
      <c r="AR976" t="s">
        <v>74</v>
      </c>
      <c r="AS976" t="s">
        <v>74</v>
      </c>
      <c r="AT976" t="s">
        <v>74</v>
      </c>
      <c r="AU976">
        <v>2019</v>
      </c>
      <c r="AV976" t="s">
        <v>74</v>
      </c>
      <c r="AW976" t="s">
        <v>74</v>
      </c>
      <c r="AX976" t="s">
        <v>74</v>
      </c>
      <c r="AY976" t="s">
        <v>74</v>
      </c>
      <c r="AZ976" t="s">
        <v>74</v>
      </c>
      <c r="BA976" t="s">
        <v>74</v>
      </c>
      <c r="BB976">
        <v>248</v>
      </c>
      <c r="BC976">
        <v>261</v>
      </c>
      <c r="BD976" t="s">
        <v>74</v>
      </c>
      <c r="BE976" t="s">
        <v>18500</v>
      </c>
      <c r="BF976" t="str">
        <f>HYPERLINK("http://dx.doi.org/10.1016/B978-0-12-409548-9.11298-9","http://dx.doi.org/10.1016/B978-0-12-409548-9.11298-9")</f>
        <v>http://dx.doi.org/10.1016/B978-0-12-409548-9.11298-9</v>
      </c>
      <c r="BG976" t="s">
        <v>74</v>
      </c>
      <c r="BH976" t="s">
        <v>74</v>
      </c>
      <c r="BI976">
        <v>14</v>
      </c>
      <c r="BJ976" t="s">
        <v>277</v>
      </c>
      <c r="BK976" t="s">
        <v>16914</v>
      </c>
      <c r="BL976" t="s">
        <v>277</v>
      </c>
      <c r="BM976" t="s">
        <v>18492</v>
      </c>
      <c r="BN976" t="s">
        <v>74</v>
      </c>
      <c r="BO976" t="s">
        <v>74</v>
      </c>
      <c r="BP976" t="s">
        <v>74</v>
      </c>
      <c r="BQ976" t="s">
        <v>74</v>
      </c>
      <c r="BR976" t="s">
        <v>107</v>
      </c>
      <c r="BS976" t="s">
        <v>18501</v>
      </c>
      <c r="BT976" t="str">
        <f>HYPERLINK("https%3A%2F%2Fwww.webofscience.com%2Fwos%2Fwoscc%2Ffull-record%2FWOS:000519759300027","View Full Record in Web of Science")</f>
        <v>View Full Record in Web of Science</v>
      </c>
    </row>
    <row r="977" spans="1:72" x14ac:dyDescent="0.15">
      <c r="A977" t="s">
        <v>16882</v>
      </c>
      <c r="B977" t="s">
        <v>18502</v>
      </c>
      <c r="C977" t="s">
        <v>74</v>
      </c>
      <c r="D977" t="s">
        <v>18480</v>
      </c>
      <c r="E977" t="s">
        <v>74</v>
      </c>
      <c r="F977" t="s">
        <v>18503</v>
      </c>
      <c r="G977" t="s">
        <v>74</v>
      </c>
      <c r="H977" t="s">
        <v>74</v>
      </c>
      <c r="I977" t="s">
        <v>18504</v>
      </c>
      <c r="J977" t="s">
        <v>18505</v>
      </c>
      <c r="K977" t="s">
        <v>74</v>
      </c>
      <c r="L977" t="s">
        <v>74</v>
      </c>
      <c r="M977" t="s">
        <v>78</v>
      </c>
      <c r="N977" t="s">
        <v>17065</v>
      </c>
      <c r="O977" t="s">
        <v>74</v>
      </c>
      <c r="P977" t="s">
        <v>74</v>
      </c>
      <c r="Q977" t="s">
        <v>74</v>
      </c>
      <c r="R977" t="s">
        <v>74</v>
      </c>
      <c r="S977" t="s">
        <v>74</v>
      </c>
      <c r="T977" t="s">
        <v>74</v>
      </c>
      <c r="U977" t="s">
        <v>74</v>
      </c>
      <c r="V977" t="s">
        <v>74</v>
      </c>
      <c r="W977" t="s">
        <v>18506</v>
      </c>
      <c r="X977" t="s">
        <v>18507</v>
      </c>
      <c r="Y977" t="s">
        <v>18508</v>
      </c>
      <c r="Z977" t="s">
        <v>74</v>
      </c>
      <c r="AA977" t="s">
        <v>74</v>
      </c>
      <c r="AB977" t="s">
        <v>74</v>
      </c>
      <c r="AC977" t="s">
        <v>74</v>
      </c>
      <c r="AD977" t="s">
        <v>74</v>
      </c>
      <c r="AE977" t="s">
        <v>74</v>
      </c>
      <c r="AF977" t="s">
        <v>74</v>
      </c>
      <c r="AG977">
        <v>0</v>
      </c>
      <c r="AH977">
        <v>0</v>
      </c>
      <c r="AI977">
        <v>0</v>
      </c>
      <c r="AJ977">
        <v>0</v>
      </c>
      <c r="AK977">
        <v>1</v>
      </c>
      <c r="AL977" t="s">
        <v>17381</v>
      </c>
      <c r="AM977" t="s">
        <v>329</v>
      </c>
      <c r="AN977" t="s">
        <v>17382</v>
      </c>
      <c r="AO977" t="s">
        <v>74</v>
      </c>
      <c r="AP977" t="s">
        <v>74</v>
      </c>
      <c r="AQ977" t="s">
        <v>18490</v>
      </c>
      <c r="AR977" t="s">
        <v>74</v>
      </c>
      <c r="AS977" t="s">
        <v>74</v>
      </c>
      <c r="AT977" t="s">
        <v>74</v>
      </c>
      <c r="AU977">
        <v>2019</v>
      </c>
      <c r="AV977" t="s">
        <v>74</v>
      </c>
      <c r="AW977" t="s">
        <v>74</v>
      </c>
      <c r="AX977" t="s">
        <v>74</v>
      </c>
      <c r="AY977" t="s">
        <v>74</v>
      </c>
      <c r="AZ977" t="s">
        <v>74</v>
      </c>
      <c r="BA977" t="s">
        <v>74</v>
      </c>
      <c r="BB977">
        <v>138</v>
      </c>
      <c r="BC977">
        <v>141</v>
      </c>
      <c r="BD977" t="s">
        <v>74</v>
      </c>
      <c r="BE977" t="s">
        <v>18509</v>
      </c>
      <c r="BF977" t="str">
        <f>HYPERLINK("http://dx.doi.org/10.1016/B978-0-12-409548-9.11363-6","http://dx.doi.org/10.1016/B978-0-12-409548-9.11363-6")</f>
        <v>http://dx.doi.org/10.1016/B978-0-12-409548-9.11363-6</v>
      </c>
      <c r="BG977" t="s">
        <v>74</v>
      </c>
      <c r="BH977" t="s">
        <v>74</v>
      </c>
      <c r="BI977">
        <v>4</v>
      </c>
      <c r="BJ977" t="s">
        <v>8634</v>
      </c>
      <c r="BK977" t="s">
        <v>16914</v>
      </c>
      <c r="BL977" t="s">
        <v>830</v>
      </c>
      <c r="BM977" t="s">
        <v>18510</v>
      </c>
      <c r="BN977" t="s">
        <v>74</v>
      </c>
      <c r="BO977" t="s">
        <v>74</v>
      </c>
      <c r="BP977" t="s">
        <v>74</v>
      </c>
      <c r="BQ977" t="s">
        <v>74</v>
      </c>
      <c r="BR977" t="s">
        <v>107</v>
      </c>
      <c r="BS977" t="s">
        <v>18511</v>
      </c>
      <c r="BT977" t="str">
        <f>HYPERLINK("https%3A%2F%2Fwww.webofscience.com%2Fwos%2Fwoscc%2Ffull-record%2FWOS:000519757700018","View Full Record in Web of Science")</f>
        <v>View Full Record in Web of Science</v>
      </c>
    </row>
    <row r="978" spans="1:72" x14ac:dyDescent="0.15">
      <c r="A978" t="s">
        <v>16882</v>
      </c>
      <c r="B978" t="s">
        <v>18512</v>
      </c>
      <c r="C978" t="s">
        <v>74</v>
      </c>
      <c r="D978" t="s">
        <v>18480</v>
      </c>
      <c r="E978" t="s">
        <v>74</v>
      </c>
      <c r="F978" t="s">
        <v>18513</v>
      </c>
      <c r="G978" t="s">
        <v>74</v>
      </c>
      <c r="H978" t="s">
        <v>74</v>
      </c>
      <c r="I978" t="s">
        <v>18514</v>
      </c>
      <c r="J978" t="s">
        <v>18505</v>
      </c>
      <c r="K978" t="s">
        <v>74</v>
      </c>
      <c r="L978" t="s">
        <v>74</v>
      </c>
      <c r="M978" t="s">
        <v>78</v>
      </c>
      <c r="N978" t="s">
        <v>17065</v>
      </c>
      <c r="O978" t="s">
        <v>74</v>
      </c>
      <c r="P978" t="s">
        <v>74</v>
      </c>
      <c r="Q978" t="s">
        <v>74</v>
      </c>
      <c r="R978" t="s">
        <v>74</v>
      </c>
      <c r="S978" t="s">
        <v>74</v>
      </c>
      <c r="T978" t="s">
        <v>74</v>
      </c>
      <c r="U978" t="s">
        <v>74</v>
      </c>
      <c r="V978" t="s">
        <v>74</v>
      </c>
      <c r="W978" t="s">
        <v>18515</v>
      </c>
      <c r="X978" t="s">
        <v>933</v>
      </c>
      <c r="Y978" t="s">
        <v>18516</v>
      </c>
      <c r="Z978" t="s">
        <v>74</v>
      </c>
      <c r="AA978" t="s">
        <v>74</v>
      </c>
      <c r="AB978" t="s">
        <v>74</v>
      </c>
      <c r="AC978" t="s">
        <v>74</v>
      </c>
      <c r="AD978" t="s">
        <v>74</v>
      </c>
      <c r="AE978" t="s">
        <v>74</v>
      </c>
      <c r="AF978" t="s">
        <v>74</v>
      </c>
      <c r="AG978">
        <v>0</v>
      </c>
      <c r="AH978">
        <v>0</v>
      </c>
      <c r="AI978">
        <v>0</v>
      </c>
      <c r="AJ978">
        <v>0</v>
      </c>
      <c r="AK978">
        <v>0</v>
      </c>
      <c r="AL978" t="s">
        <v>17381</v>
      </c>
      <c r="AM978" t="s">
        <v>329</v>
      </c>
      <c r="AN978" t="s">
        <v>17382</v>
      </c>
      <c r="AO978" t="s">
        <v>74</v>
      </c>
      <c r="AP978" t="s">
        <v>74</v>
      </c>
      <c r="AQ978" t="s">
        <v>18490</v>
      </c>
      <c r="AR978" t="s">
        <v>74</v>
      </c>
      <c r="AS978" t="s">
        <v>74</v>
      </c>
      <c r="AT978" t="s">
        <v>74</v>
      </c>
      <c r="AU978">
        <v>2019</v>
      </c>
      <c r="AV978" t="s">
        <v>74</v>
      </c>
      <c r="AW978" t="s">
        <v>74</v>
      </c>
      <c r="AX978" t="s">
        <v>74</v>
      </c>
      <c r="AY978" t="s">
        <v>74</v>
      </c>
      <c r="AZ978" t="s">
        <v>74</v>
      </c>
      <c r="BA978" t="s">
        <v>74</v>
      </c>
      <c r="BB978">
        <v>510</v>
      </c>
      <c r="BC978">
        <v>516</v>
      </c>
      <c r="BD978" t="s">
        <v>74</v>
      </c>
      <c r="BE978" t="s">
        <v>18517</v>
      </c>
      <c r="BF978" t="str">
        <f>HYPERLINK("http://dx.doi.org/10.1016/B978-0-12-409548-9.11636-7","http://dx.doi.org/10.1016/B978-0-12-409548-9.11636-7")</f>
        <v>http://dx.doi.org/10.1016/B978-0-12-409548-9.11636-7</v>
      </c>
      <c r="BG978" t="s">
        <v>74</v>
      </c>
      <c r="BH978" t="s">
        <v>74</v>
      </c>
      <c r="BI978">
        <v>7</v>
      </c>
      <c r="BJ978" t="s">
        <v>8634</v>
      </c>
      <c r="BK978" t="s">
        <v>16914</v>
      </c>
      <c r="BL978" t="s">
        <v>830</v>
      </c>
      <c r="BM978" t="s">
        <v>18510</v>
      </c>
      <c r="BN978" t="s">
        <v>74</v>
      </c>
      <c r="BO978" t="s">
        <v>74</v>
      </c>
      <c r="BP978" t="s">
        <v>74</v>
      </c>
      <c r="BQ978" t="s">
        <v>74</v>
      </c>
      <c r="BR978" t="s">
        <v>107</v>
      </c>
      <c r="BS978" t="s">
        <v>18518</v>
      </c>
      <c r="BT978" t="str">
        <f>HYPERLINK("https%3A%2F%2Fwww.webofscience.com%2Fwos%2Fwoscc%2Ffull-record%2FWOS:000519757700061","View Full Record in Web of Science")</f>
        <v>View Full Record in Web of Science</v>
      </c>
    </row>
    <row r="979" spans="1:72" x14ac:dyDescent="0.15">
      <c r="A979" t="s">
        <v>16882</v>
      </c>
      <c r="B979" t="s">
        <v>18519</v>
      </c>
      <c r="C979" t="s">
        <v>74</v>
      </c>
      <c r="D979" t="s">
        <v>18480</v>
      </c>
      <c r="E979" t="s">
        <v>74</v>
      </c>
      <c r="F979" t="s">
        <v>18520</v>
      </c>
      <c r="G979" t="s">
        <v>74</v>
      </c>
      <c r="H979" t="s">
        <v>74</v>
      </c>
      <c r="I979" t="s">
        <v>18521</v>
      </c>
      <c r="J979" t="s">
        <v>18522</v>
      </c>
      <c r="K979" t="s">
        <v>74</v>
      </c>
      <c r="L979" t="s">
        <v>74</v>
      </c>
      <c r="M979" t="s">
        <v>78</v>
      </c>
      <c r="N979" t="s">
        <v>17065</v>
      </c>
      <c r="O979" t="s">
        <v>74</v>
      </c>
      <c r="P979" t="s">
        <v>74</v>
      </c>
      <c r="Q979" t="s">
        <v>74</v>
      </c>
      <c r="R979" t="s">
        <v>74</v>
      </c>
      <c r="S979" t="s">
        <v>74</v>
      </c>
      <c r="T979" t="s">
        <v>74</v>
      </c>
      <c r="U979" t="s">
        <v>74</v>
      </c>
      <c r="V979" t="s">
        <v>74</v>
      </c>
      <c r="W979" t="s">
        <v>18523</v>
      </c>
      <c r="X979" t="s">
        <v>933</v>
      </c>
      <c r="Y979" t="s">
        <v>18524</v>
      </c>
      <c r="Z979" t="s">
        <v>74</v>
      </c>
      <c r="AA979" t="s">
        <v>6592</v>
      </c>
      <c r="AB979" t="s">
        <v>74</v>
      </c>
      <c r="AC979" t="s">
        <v>74</v>
      </c>
      <c r="AD979" t="s">
        <v>74</v>
      </c>
      <c r="AE979" t="s">
        <v>74</v>
      </c>
      <c r="AF979" t="s">
        <v>74</v>
      </c>
      <c r="AG979">
        <v>0</v>
      </c>
      <c r="AH979">
        <v>0</v>
      </c>
      <c r="AI979">
        <v>0</v>
      </c>
      <c r="AJ979">
        <v>0</v>
      </c>
      <c r="AK979">
        <v>0</v>
      </c>
      <c r="AL979" t="s">
        <v>17381</v>
      </c>
      <c r="AM979" t="s">
        <v>329</v>
      </c>
      <c r="AN979" t="s">
        <v>17382</v>
      </c>
      <c r="AO979" t="s">
        <v>74</v>
      </c>
      <c r="AP979" t="s">
        <v>74</v>
      </c>
      <c r="AQ979" t="s">
        <v>18490</v>
      </c>
      <c r="AR979" t="s">
        <v>74</v>
      </c>
      <c r="AS979" t="s">
        <v>74</v>
      </c>
      <c r="AT979" t="s">
        <v>74</v>
      </c>
      <c r="AU979">
        <v>2019</v>
      </c>
      <c r="AV979" t="s">
        <v>74</v>
      </c>
      <c r="AW979" t="s">
        <v>74</v>
      </c>
      <c r="AX979" t="s">
        <v>74</v>
      </c>
      <c r="AY979" t="s">
        <v>74</v>
      </c>
      <c r="AZ979" t="s">
        <v>74</v>
      </c>
      <c r="BA979" t="s">
        <v>74</v>
      </c>
      <c r="BB979">
        <v>553</v>
      </c>
      <c r="BC979">
        <v>560</v>
      </c>
      <c r="BD979" t="s">
        <v>74</v>
      </c>
      <c r="BE979" t="s">
        <v>18525</v>
      </c>
      <c r="BF979" t="str">
        <f>HYPERLINK("http://dx.doi.org/10.1016/B978-0-12-409548-9.11634-3","http://dx.doi.org/10.1016/B978-0-12-409548-9.11634-3")</f>
        <v>http://dx.doi.org/10.1016/B978-0-12-409548-9.11634-3</v>
      </c>
      <c r="BG979" t="s">
        <v>74</v>
      </c>
      <c r="BH979" t="s">
        <v>74</v>
      </c>
      <c r="BI979">
        <v>8</v>
      </c>
      <c r="BJ979" t="s">
        <v>1332</v>
      </c>
      <c r="BK979" t="s">
        <v>16914</v>
      </c>
      <c r="BL979" t="s">
        <v>1333</v>
      </c>
      <c r="BM979" t="s">
        <v>18526</v>
      </c>
      <c r="BN979" t="s">
        <v>74</v>
      </c>
      <c r="BO979" t="s">
        <v>74</v>
      </c>
      <c r="BP979" t="s">
        <v>74</v>
      </c>
      <c r="BQ979" t="s">
        <v>74</v>
      </c>
      <c r="BR979" t="s">
        <v>107</v>
      </c>
      <c r="BS979" t="s">
        <v>18527</v>
      </c>
      <c r="BT979" t="str">
        <f>HYPERLINK("https%3A%2F%2Fwww.webofscience.com%2Fwos%2Fwoscc%2Ffull-record%2FWOS:000519755300060","View Full Record in Web of Science")</f>
        <v>View Full Record in Web of Science</v>
      </c>
    </row>
    <row r="980" spans="1:72" x14ac:dyDescent="0.15">
      <c r="A980" t="s">
        <v>16882</v>
      </c>
      <c r="B980" t="s">
        <v>18528</v>
      </c>
      <c r="C980" t="s">
        <v>74</v>
      </c>
      <c r="D980" t="s">
        <v>18480</v>
      </c>
      <c r="E980" t="s">
        <v>74</v>
      </c>
      <c r="F980" t="s">
        <v>18529</v>
      </c>
      <c r="G980" t="s">
        <v>74</v>
      </c>
      <c r="H980" t="s">
        <v>74</v>
      </c>
      <c r="I980" t="s">
        <v>18530</v>
      </c>
      <c r="J980" t="s">
        <v>18522</v>
      </c>
      <c r="K980" t="s">
        <v>74</v>
      </c>
      <c r="L980" t="s">
        <v>74</v>
      </c>
      <c r="M980" t="s">
        <v>78</v>
      </c>
      <c r="N980" t="s">
        <v>17065</v>
      </c>
      <c r="O980" t="s">
        <v>74</v>
      </c>
      <c r="P980" t="s">
        <v>74</v>
      </c>
      <c r="Q980" t="s">
        <v>74</v>
      </c>
      <c r="R980" t="s">
        <v>74</v>
      </c>
      <c r="S980" t="s">
        <v>74</v>
      </c>
      <c r="T980" t="s">
        <v>74</v>
      </c>
      <c r="U980" t="s">
        <v>74</v>
      </c>
      <c r="V980" t="s">
        <v>74</v>
      </c>
      <c r="W980" t="s">
        <v>18531</v>
      </c>
      <c r="X980" t="s">
        <v>18532</v>
      </c>
      <c r="Y980" t="s">
        <v>18533</v>
      </c>
      <c r="Z980" t="s">
        <v>74</v>
      </c>
      <c r="AA980" t="s">
        <v>74</v>
      </c>
      <c r="AB980" t="s">
        <v>18534</v>
      </c>
      <c r="AC980" t="s">
        <v>18535</v>
      </c>
      <c r="AD980" t="s">
        <v>3239</v>
      </c>
      <c r="AE980" t="s">
        <v>74</v>
      </c>
      <c r="AF980" t="s">
        <v>74</v>
      </c>
      <c r="AG980">
        <v>0</v>
      </c>
      <c r="AH980">
        <v>0</v>
      </c>
      <c r="AI980">
        <v>0</v>
      </c>
      <c r="AJ980">
        <v>0</v>
      </c>
      <c r="AK980">
        <v>2</v>
      </c>
      <c r="AL980" t="s">
        <v>17381</v>
      </c>
      <c r="AM980" t="s">
        <v>329</v>
      </c>
      <c r="AN980" t="s">
        <v>17382</v>
      </c>
      <c r="AO980" t="s">
        <v>74</v>
      </c>
      <c r="AP980" t="s">
        <v>74</v>
      </c>
      <c r="AQ980" t="s">
        <v>18490</v>
      </c>
      <c r="AR980" t="s">
        <v>74</v>
      </c>
      <c r="AS980" t="s">
        <v>74</v>
      </c>
      <c r="AT980" t="s">
        <v>74</v>
      </c>
      <c r="AU980">
        <v>2019</v>
      </c>
      <c r="AV980" t="s">
        <v>74</v>
      </c>
      <c r="AW980" t="s">
        <v>74</v>
      </c>
      <c r="AX980" t="s">
        <v>74</v>
      </c>
      <c r="AY980" t="s">
        <v>74</v>
      </c>
      <c r="AZ980" t="s">
        <v>74</v>
      </c>
      <c r="BA980" t="s">
        <v>74</v>
      </c>
      <c r="BB980">
        <v>771</v>
      </c>
      <c r="BC980">
        <v>777</v>
      </c>
      <c r="BD980" t="s">
        <v>74</v>
      </c>
      <c r="BE980" t="s">
        <v>18536</v>
      </c>
      <c r="BF980" t="str">
        <f>HYPERLINK("http://dx.doi.org/10.1016/B978-0-12-409548-9.04296-2","http://dx.doi.org/10.1016/B978-0-12-409548-9.04296-2")</f>
        <v>http://dx.doi.org/10.1016/B978-0-12-409548-9.04296-2</v>
      </c>
      <c r="BG980" t="s">
        <v>74</v>
      </c>
      <c r="BH980" t="s">
        <v>74</v>
      </c>
      <c r="BI980">
        <v>7</v>
      </c>
      <c r="BJ980" t="s">
        <v>1332</v>
      </c>
      <c r="BK980" t="s">
        <v>16914</v>
      </c>
      <c r="BL980" t="s">
        <v>1333</v>
      </c>
      <c r="BM980" t="s">
        <v>18526</v>
      </c>
      <c r="BN980" t="s">
        <v>74</v>
      </c>
      <c r="BO980" t="s">
        <v>74</v>
      </c>
      <c r="BP980" t="s">
        <v>74</v>
      </c>
      <c r="BQ980" t="s">
        <v>74</v>
      </c>
      <c r="BR980" t="s">
        <v>107</v>
      </c>
      <c r="BS980" t="s">
        <v>18537</v>
      </c>
      <c r="BT980" t="str">
        <f>HYPERLINK("https%3A%2F%2Fwww.webofscience.com%2Fwos%2Fwoscc%2Ffull-record%2FWOS:000519755300088","View Full Record in Web of Science")</f>
        <v>View Full Record in Web of Science</v>
      </c>
    </row>
    <row r="981" spans="1:72" x14ac:dyDescent="0.15">
      <c r="A981" t="s">
        <v>16882</v>
      </c>
      <c r="B981" t="s">
        <v>18538</v>
      </c>
      <c r="C981" t="s">
        <v>74</v>
      </c>
      <c r="D981" t="s">
        <v>18480</v>
      </c>
      <c r="E981" t="s">
        <v>74</v>
      </c>
      <c r="F981" t="s">
        <v>18539</v>
      </c>
      <c r="G981" t="s">
        <v>74</v>
      </c>
      <c r="H981" t="s">
        <v>74</v>
      </c>
      <c r="I981" t="s">
        <v>18540</v>
      </c>
      <c r="J981" t="s">
        <v>18541</v>
      </c>
      <c r="K981" t="s">
        <v>74</v>
      </c>
      <c r="L981" t="s">
        <v>74</v>
      </c>
      <c r="M981" t="s">
        <v>78</v>
      </c>
      <c r="N981" t="s">
        <v>17065</v>
      </c>
      <c r="O981" t="s">
        <v>74</v>
      </c>
      <c r="P981" t="s">
        <v>74</v>
      </c>
      <c r="Q981" t="s">
        <v>74</v>
      </c>
      <c r="R981" t="s">
        <v>74</v>
      </c>
      <c r="S981" t="s">
        <v>74</v>
      </c>
      <c r="T981" t="s">
        <v>74</v>
      </c>
      <c r="U981" t="s">
        <v>74</v>
      </c>
      <c r="V981" t="s">
        <v>74</v>
      </c>
      <c r="W981" t="s">
        <v>18542</v>
      </c>
      <c r="X981" t="s">
        <v>18543</v>
      </c>
      <c r="Y981" t="s">
        <v>18544</v>
      </c>
      <c r="Z981" t="s">
        <v>74</v>
      </c>
      <c r="AA981" t="s">
        <v>74</v>
      </c>
      <c r="AB981" t="s">
        <v>74</v>
      </c>
      <c r="AC981" t="s">
        <v>74</v>
      </c>
      <c r="AD981" t="s">
        <v>74</v>
      </c>
      <c r="AE981" t="s">
        <v>74</v>
      </c>
      <c r="AF981" t="s">
        <v>74</v>
      </c>
      <c r="AG981">
        <v>8</v>
      </c>
      <c r="AH981">
        <v>0</v>
      </c>
      <c r="AI981">
        <v>0</v>
      </c>
      <c r="AJ981">
        <v>0</v>
      </c>
      <c r="AK981">
        <v>0</v>
      </c>
      <c r="AL981" t="s">
        <v>17381</v>
      </c>
      <c r="AM981" t="s">
        <v>329</v>
      </c>
      <c r="AN981" t="s">
        <v>17382</v>
      </c>
      <c r="AO981" t="s">
        <v>74</v>
      </c>
      <c r="AP981" t="s">
        <v>74</v>
      </c>
      <c r="AQ981" t="s">
        <v>18490</v>
      </c>
      <c r="AR981" t="s">
        <v>74</v>
      </c>
      <c r="AS981" t="s">
        <v>74</v>
      </c>
      <c r="AT981" t="s">
        <v>74</v>
      </c>
      <c r="AU981">
        <v>2019</v>
      </c>
      <c r="AV981" t="s">
        <v>74</v>
      </c>
      <c r="AW981" t="s">
        <v>74</v>
      </c>
      <c r="AX981" t="s">
        <v>74</v>
      </c>
      <c r="AY981" t="s">
        <v>74</v>
      </c>
      <c r="AZ981" t="s">
        <v>74</v>
      </c>
      <c r="BA981" t="s">
        <v>74</v>
      </c>
      <c r="BB981">
        <v>127</v>
      </c>
      <c r="BC981">
        <v>133</v>
      </c>
      <c r="BD981" t="s">
        <v>74</v>
      </c>
      <c r="BE981" t="s">
        <v>18545</v>
      </c>
      <c r="BF981" t="str">
        <f>HYPERLINK("http://dx.doi.org/10.1016/B978-0-12-409548-9.10791-2","http://dx.doi.org/10.1016/B978-0-12-409548-9.10791-2")</f>
        <v>http://dx.doi.org/10.1016/B978-0-12-409548-9.10791-2</v>
      </c>
      <c r="BG981" t="s">
        <v>74</v>
      </c>
      <c r="BH981" t="s">
        <v>74</v>
      </c>
      <c r="BI981">
        <v>7</v>
      </c>
      <c r="BJ981" t="s">
        <v>18546</v>
      </c>
      <c r="BK981" t="s">
        <v>16914</v>
      </c>
      <c r="BL981" t="s">
        <v>18547</v>
      </c>
      <c r="BM981" t="s">
        <v>18548</v>
      </c>
      <c r="BN981" t="s">
        <v>74</v>
      </c>
      <c r="BO981" t="s">
        <v>74</v>
      </c>
      <c r="BP981" t="s">
        <v>74</v>
      </c>
      <c r="BQ981" t="s">
        <v>74</v>
      </c>
      <c r="BR981" t="s">
        <v>107</v>
      </c>
      <c r="BS981" t="s">
        <v>18549</v>
      </c>
      <c r="BT981" t="str">
        <f>HYPERLINK("https%3A%2F%2Fwww.webofscience.com%2Fwos%2Fwoscc%2Ffull-record%2FWOS:000519763400016","View Full Record in Web of Science")</f>
        <v>View Full Record in Web of Science</v>
      </c>
    </row>
    <row r="982" spans="1:72" x14ac:dyDescent="0.15">
      <c r="A982" t="s">
        <v>16882</v>
      </c>
      <c r="B982" t="s">
        <v>18550</v>
      </c>
      <c r="C982" t="s">
        <v>74</v>
      </c>
      <c r="D982" t="s">
        <v>18480</v>
      </c>
      <c r="E982" t="s">
        <v>74</v>
      </c>
      <c r="F982" t="s">
        <v>18551</v>
      </c>
      <c r="G982" t="s">
        <v>74</v>
      </c>
      <c r="H982" t="s">
        <v>74</v>
      </c>
      <c r="I982" t="s">
        <v>18552</v>
      </c>
      <c r="J982" t="s">
        <v>18541</v>
      </c>
      <c r="K982" t="s">
        <v>74</v>
      </c>
      <c r="L982" t="s">
        <v>74</v>
      </c>
      <c r="M982" t="s">
        <v>78</v>
      </c>
      <c r="N982" t="s">
        <v>17065</v>
      </c>
      <c r="O982" t="s">
        <v>74</v>
      </c>
      <c r="P982" t="s">
        <v>74</v>
      </c>
      <c r="Q982" t="s">
        <v>74</v>
      </c>
      <c r="R982" t="s">
        <v>74</v>
      </c>
      <c r="S982" t="s">
        <v>74</v>
      </c>
      <c r="T982" t="s">
        <v>74</v>
      </c>
      <c r="U982" t="s">
        <v>18553</v>
      </c>
      <c r="V982" t="s">
        <v>74</v>
      </c>
      <c r="W982" t="s">
        <v>18554</v>
      </c>
      <c r="X982" t="s">
        <v>18555</v>
      </c>
      <c r="Y982" t="s">
        <v>18556</v>
      </c>
      <c r="Z982" t="s">
        <v>74</v>
      </c>
      <c r="AA982" t="s">
        <v>18557</v>
      </c>
      <c r="AB982" t="s">
        <v>18558</v>
      </c>
      <c r="AC982" t="s">
        <v>74</v>
      </c>
      <c r="AD982" t="s">
        <v>74</v>
      </c>
      <c r="AE982" t="s">
        <v>74</v>
      </c>
      <c r="AF982" t="s">
        <v>74</v>
      </c>
      <c r="AG982">
        <v>10</v>
      </c>
      <c r="AH982">
        <v>0</v>
      </c>
      <c r="AI982">
        <v>0</v>
      </c>
      <c r="AJ982">
        <v>0</v>
      </c>
      <c r="AK982">
        <v>0</v>
      </c>
      <c r="AL982" t="s">
        <v>17381</v>
      </c>
      <c r="AM982" t="s">
        <v>329</v>
      </c>
      <c r="AN982" t="s">
        <v>17382</v>
      </c>
      <c r="AO982" t="s">
        <v>74</v>
      </c>
      <c r="AP982" t="s">
        <v>74</v>
      </c>
      <c r="AQ982" t="s">
        <v>18490</v>
      </c>
      <c r="AR982" t="s">
        <v>74</v>
      </c>
      <c r="AS982" t="s">
        <v>74</v>
      </c>
      <c r="AT982" t="s">
        <v>74</v>
      </c>
      <c r="AU982">
        <v>2019</v>
      </c>
      <c r="AV982" t="s">
        <v>74</v>
      </c>
      <c r="AW982" t="s">
        <v>74</v>
      </c>
      <c r="AX982" t="s">
        <v>74</v>
      </c>
      <c r="AY982" t="s">
        <v>74</v>
      </c>
      <c r="AZ982" t="s">
        <v>74</v>
      </c>
      <c r="BA982" t="s">
        <v>74</v>
      </c>
      <c r="BB982">
        <v>148</v>
      </c>
      <c r="BC982">
        <v>154</v>
      </c>
      <c r="BD982" t="s">
        <v>74</v>
      </c>
      <c r="BE982" t="s">
        <v>18559</v>
      </c>
      <c r="BF982" t="str">
        <f>HYPERLINK("http://dx.doi.org/10.1016/B978-0-12-409548-9.10790-0","http://dx.doi.org/10.1016/B978-0-12-409548-9.10790-0")</f>
        <v>http://dx.doi.org/10.1016/B978-0-12-409548-9.10790-0</v>
      </c>
      <c r="BG982" t="s">
        <v>74</v>
      </c>
      <c r="BH982" t="s">
        <v>74</v>
      </c>
      <c r="BI982">
        <v>7</v>
      </c>
      <c r="BJ982" t="s">
        <v>18546</v>
      </c>
      <c r="BK982" t="s">
        <v>16914</v>
      </c>
      <c r="BL982" t="s">
        <v>18547</v>
      </c>
      <c r="BM982" t="s">
        <v>18548</v>
      </c>
      <c r="BN982" t="s">
        <v>74</v>
      </c>
      <c r="BO982" t="s">
        <v>74</v>
      </c>
      <c r="BP982" t="s">
        <v>74</v>
      </c>
      <c r="BQ982" t="s">
        <v>74</v>
      </c>
      <c r="BR982" t="s">
        <v>107</v>
      </c>
      <c r="BS982" t="s">
        <v>18560</v>
      </c>
      <c r="BT982" t="str">
        <f>HYPERLINK("https%3A%2F%2Fwww.webofscience.com%2Fwos%2Fwoscc%2Ffull-record%2FWOS:000519763400018","View Full Record in Web of Science")</f>
        <v>View Full Record in Web of Science</v>
      </c>
    </row>
    <row r="983" spans="1:72" x14ac:dyDescent="0.15">
      <c r="A983" t="s">
        <v>16882</v>
      </c>
      <c r="B983" t="s">
        <v>18561</v>
      </c>
      <c r="C983" t="s">
        <v>74</v>
      </c>
      <c r="D983" t="s">
        <v>18480</v>
      </c>
      <c r="E983" t="s">
        <v>74</v>
      </c>
      <c r="F983" t="s">
        <v>18562</v>
      </c>
      <c r="G983" t="s">
        <v>74</v>
      </c>
      <c r="H983" t="s">
        <v>74</v>
      </c>
      <c r="I983" t="s">
        <v>18563</v>
      </c>
      <c r="J983" t="s">
        <v>18541</v>
      </c>
      <c r="K983" t="s">
        <v>74</v>
      </c>
      <c r="L983" t="s">
        <v>74</v>
      </c>
      <c r="M983" t="s">
        <v>78</v>
      </c>
      <c r="N983" t="s">
        <v>17065</v>
      </c>
      <c r="O983" t="s">
        <v>74</v>
      </c>
      <c r="P983" t="s">
        <v>74</v>
      </c>
      <c r="Q983" t="s">
        <v>74</v>
      </c>
      <c r="R983" t="s">
        <v>74</v>
      </c>
      <c r="S983" t="s">
        <v>74</v>
      </c>
      <c r="T983" t="s">
        <v>74</v>
      </c>
      <c r="U983" t="s">
        <v>74</v>
      </c>
      <c r="V983" t="s">
        <v>74</v>
      </c>
      <c r="W983" t="s">
        <v>18564</v>
      </c>
      <c r="X983" t="s">
        <v>2352</v>
      </c>
      <c r="Y983" t="s">
        <v>74</v>
      </c>
      <c r="Z983" t="s">
        <v>74</v>
      </c>
      <c r="AA983" t="s">
        <v>74</v>
      </c>
      <c r="AB983" t="s">
        <v>74</v>
      </c>
      <c r="AC983" t="s">
        <v>74</v>
      </c>
      <c r="AD983" t="s">
        <v>74</v>
      </c>
      <c r="AE983" t="s">
        <v>74</v>
      </c>
      <c r="AF983" t="s">
        <v>74</v>
      </c>
      <c r="AG983">
        <v>2</v>
      </c>
      <c r="AH983">
        <v>1</v>
      </c>
      <c r="AI983">
        <v>1</v>
      </c>
      <c r="AJ983">
        <v>0</v>
      </c>
      <c r="AK983">
        <v>0</v>
      </c>
      <c r="AL983" t="s">
        <v>17381</v>
      </c>
      <c r="AM983" t="s">
        <v>329</v>
      </c>
      <c r="AN983" t="s">
        <v>17382</v>
      </c>
      <c r="AO983" t="s">
        <v>74</v>
      </c>
      <c r="AP983" t="s">
        <v>74</v>
      </c>
      <c r="AQ983" t="s">
        <v>18490</v>
      </c>
      <c r="AR983" t="s">
        <v>74</v>
      </c>
      <c r="AS983" t="s">
        <v>74</v>
      </c>
      <c r="AT983" t="s">
        <v>74</v>
      </c>
      <c r="AU983">
        <v>2019</v>
      </c>
      <c r="AV983" t="s">
        <v>74</v>
      </c>
      <c r="AW983" t="s">
        <v>74</v>
      </c>
      <c r="AX983" t="s">
        <v>74</v>
      </c>
      <c r="AY983" t="s">
        <v>74</v>
      </c>
      <c r="AZ983" t="s">
        <v>74</v>
      </c>
      <c r="BA983" t="s">
        <v>74</v>
      </c>
      <c r="BB983">
        <v>181</v>
      </c>
      <c r="BC983">
        <v>186</v>
      </c>
      <c r="BD983" t="s">
        <v>74</v>
      </c>
      <c r="BE983" t="s">
        <v>18565</v>
      </c>
      <c r="BF983" t="str">
        <f>HYPERLINK("http://dx.doi.org/10.1016/B978-0-12-409548-9.10819-X","http://dx.doi.org/10.1016/B978-0-12-409548-9.10819-X")</f>
        <v>http://dx.doi.org/10.1016/B978-0-12-409548-9.10819-X</v>
      </c>
      <c r="BG983" t="s">
        <v>74</v>
      </c>
      <c r="BH983" t="s">
        <v>74</v>
      </c>
      <c r="BI983">
        <v>6</v>
      </c>
      <c r="BJ983" t="s">
        <v>18546</v>
      </c>
      <c r="BK983" t="s">
        <v>16914</v>
      </c>
      <c r="BL983" t="s">
        <v>18547</v>
      </c>
      <c r="BM983" t="s">
        <v>18548</v>
      </c>
      <c r="BN983" t="s">
        <v>74</v>
      </c>
      <c r="BO983" t="s">
        <v>74</v>
      </c>
      <c r="BP983" t="s">
        <v>74</v>
      </c>
      <c r="BQ983" t="s">
        <v>74</v>
      </c>
      <c r="BR983" t="s">
        <v>107</v>
      </c>
      <c r="BS983" t="s">
        <v>18566</v>
      </c>
      <c r="BT983" t="str">
        <f>HYPERLINK("https%3A%2F%2Fwww.webofscience.com%2Fwos%2Fwoscc%2Ffull-record%2FWOS:000519763400022","View Full Record in Web of Science")</f>
        <v>View Full Record in Web of Science</v>
      </c>
    </row>
    <row r="984" spans="1:72" x14ac:dyDescent="0.15">
      <c r="A984" t="s">
        <v>16882</v>
      </c>
      <c r="B984" t="s">
        <v>18567</v>
      </c>
      <c r="C984" t="s">
        <v>74</v>
      </c>
      <c r="D984" t="s">
        <v>18480</v>
      </c>
      <c r="E984" t="s">
        <v>74</v>
      </c>
      <c r="F984" t="s">
        <v>18568</v>
      </c>
      <c r="G984" t="s">
        <v>74</v>
      </c>
      <c r="H984" t="s">
        <v>74</v>
      </c>
      <c r="I984" t="s">
        <v>18569</v>
      </c>
      <c r="J984" t="s">
        <v>18541</v>
      </c>
      <c r="K984" t="s">
        <v>74</v>
      </c>
      <c r="L984" t="s">
        <v>74</v>
      </c>
      <c r="M984" t="s">
        <v>78</v>
      </c>
      <c r="N984" t="s">
        <v>17065</v>
      </c>
      <c r="O984" t="s">
        <v>74</v>
      </c>
      <c r="P984" t="s">
        <v>74</v>
      </c>
      <c r="Q984" t="s">
        <v>74</v>
      </c>
      <c r="R984" t="s">
        <v>74</v>
      </c>
      <c r="S984" t="s">
        <v>74</v>
      </c>
      <c r="T984" t="s">
        <v>74</v>
      </c>
      <c r="U984" t="s">
        <v>18570</v>
      </c>
      <c r="V984" t="s">
        <v>74</v>
      </c>
      <c r="W984" t="s">
        <v>18571</v>
      </c>
      <c r="X984" t="s">
        <v>933</v>
      </c>
      <c r="Y984" t="s">
        <v>18572</v>
      </c>
      <c r="Z984" t="s">
        <v>74</v>
      </c>
      <c r="AA984" t="s">
        <v>74</v>
      </c>
      <c r="AB984" t="s">
        <v>74</v>
      </c>
      <c r="AC984" t="s">
        <v>74</v>
      </c>
      <c r="AD984" t="s">
        <v>74</v>
      </c>
      <c r="AE984" t="s">
        <v>74</v>
      </c>
      <c r="AF984" t="s">
        <v>74</v>
      </c>
      <c r="AG984">
        <v>14</v>
      </c>
      <c r="AH984">
        <v>0</v>
      </c>
      <c r="AI984">
        <v>0</v>
      </c>
      <c r="AJ984">
        <v>0</v>
      </c>
      <c r="AK984">
        <v>0</v>
      </c>
      <c r="AL984" t="s">
        <v>17381</v>
      </c>
      <c r="AM984" t="s">
        <v>329</v>
      </c>
      <c r="AN984" t="s">
        <v>17382</v>
      </c>
      <c r="AO984" t="s">
        <v>74</v>
      </c>
      <c r="AP984" t="s">
        <v>74</v>
      </c>
      <c r="AQ984" t="s">
        <v>18490</v>
      </c>
      <c r="AR984" t="s">
        <v>74</v>
      </c>
      <c r="AS984" t="s">
        <v>74</v>
      </c>
      <c r="AT984" t="s">
        <v>74</v>
      </c>
      <c r="AU984">
        <v>2019</v>
      </c>
      <c r="AV984" t="s">
        <v>74</v>
      </c>
      <c r="AW984" t="s">
        <v>74</v>
      </c>
      <c r="AX984" t="s">
        <v>74</v>
      </c>
      <c r="AY984" t="s">
        <v>74</v>
      </c>
      <c r="AZ984" t="s">
        <v>74</v>
      </c>
      <c r="BA984" t="s">
        <v>74</v>
      </c>
      <c r="BB984">
        <v>208</v>
      </c>
      <c r="BC984">
        <v>218</v>
      </c>
      <c r="BD984" t="s">
        <v>74</v>
      </c>
      <c r="BE984" t="s">
        <v>18573</v>
      </c>
      <c r="BF984" t="str">
        <f>HYPERLINK("http://dx.doi.org/10.1016/B978-0-12-409548-9.11476-9","http://dx.doi.org/10.1016/B978-0-12-409548-9.11476-9")</f>
        <v>http://dx.doi.org/10.1016/B978-0-12-409548-9.11476-9</v>
      </c>
      <c r="BG984" t="s">
        <v>74</v>
      </c>
      <c r="BH984" t="s">
        <v>74</v>
      </c>
      <c r="BI984">
        <v>11</v>
      </c>
      <c r="BJ984" t="s">
        <v>18546</v>
      </c>
      <c r="BK984" t="s">
        <v>16914</v>
      </c>
      <c r="BL984" t="s">
        <v>18547</v>
      </c>
      <c r="BM984" t="s">
        <v>18548</v>
      </c>
      <c r="BN984" t="s">
        <v>74</v>
      </c>
      <c r="BO984" t="s">
        <v>74</v>
      </c>
      <c r="BP984" t="s">
        <v>74</v>
      </c>
      <c r="BQ984" t="s">
        <v>74</v>
      </c>
      <c r="BR984" t="s">
        <v>107</v>
      </c>
      <c r="BS984" t="s">
        <v>18574</v>
      </c>
      <c r="BT984" t="str">
        <f>HYPERLINK("https%3A%2F%2Fwww.webofscience.com%2Fwos%2Fwoscc%2Ffull-record%2FWOS:000519763400025","View Full Record in Web of Science")</f>
        <v>View Full Record in Web of Science</v>
      </c>
    </row>
    <row r="985" spans="1:72" x14ac:dyDescent="0.15">
      <c r="A985" t="s">
        <v>16882</v>
      </c>
      <c r="B985" t="s">
        <v>16883</v>
      </c>
      <c r="C985" t="s">
        <v>74</v>
      </c>
      <c r="D985" t="s">
        <v>74</v>
      </c>
      <c r="E985" t="s">
        <v>74</v>
      </c>
      <c r="F985" t="s">
        <v>16883</v>
      </c>
      <c r="G985" t="s">
        <v>74</v>
      </c>
      <c r="H985" t="s">
        <v>74</v>
      </c>
      <c r="I985" t="s">
        <v>18575</v>
      </c>
      <c r="J985" t="s">
        <v>16885</v>
      </c>
      <c r="K985" t="s">
        <v>16886</v>
      </c>
      <c r="L985" t="s">
        <v>74</v>
      </c>
      <c r="M985" t="s">
        <v>78</v>
      </c>
      <c r="N985" t="s">
        <v>18576</v>
      </c>
      <c r="O985" t="s">
        <v>74</v>
      </c>
      <c r="P985" t="s">
        <v>74</v>
      </c>
      <c r="Q985" t="s">
        <v>74</v>
      </c>
      <c r="R985" t="s">
        <v>74</v>
      </c>
      <c r="S985" t="s">
        <v>74</v>
      </c>
      <c r="T985" t="s">
        <v>74</v>
      </c>
      <c r="U985" t="s">
        <v>18577</v>
      </c>
      <c r="V985" t="s">
        <v>74</v>
      </c>
      <c r="W985" t="s">
        <v>74</v>
      </c>
      <c r="X985" t="s">
        <v>74</v>
      </c>
      <c r="Y985" t="s">
        <v>74</v>
      </c>
      <c r="Z985" t="s">
        <v>74</v>
      </c>
      <c r="AA985" t="s">
        <v>74</v>
      </c>
      <c r="AB985" t="s">
        <v>74</v>
      </c>
      <c r="AC985" t="s">
        <v>74</v>
      </c>
      <c r="AD985" t="s">
        <v>74</v>
      </c>
      <c r="AE985" t="s">
        <v>74</v>
      </c>
      <c r="AF985" t="s">
        <v>74</v>
      </c>
      <c r="AG985">
        <v>74</v>
      </c>
      <c r="AH985">
        <v>0</v>
      </c>
      <c r="AI985">
        <v>0</v>
      </c>
      <c r="AJ985">
        <v>0</v>
      </c>
      <c r="AK985">
        <v>0</v>
      </c>
      <c r="AL985" t="s">
        <v>16888</v>
      </c>
      <c r="AM985" t="s">
        <v>16889</v>
      </c>
      <c r="AN985" t="s">
        <v>16890</v>
      </c>
      <c r="AO985" t="s">
        <v>74</v>
      </c>
      <c r="AP985" t="s">
        <v>74</v>
      </c>
      <c r="AQ985" t="s">
        <v>16891</v>
      </c>
      <c r="AR985" t="s">
        <v>16892</v>
      </c>
      <c r="AS985" t="s">
        <v>74</v>
      </c>
      <c r="AT985" t="s">
        <v>74</v>
      </c>
      <c r="AU985">
        <v>2019</v>
      </c>
      <c r="AV985" t="s">
        <v>74</v>
      </c>
      <c r="AW985" t="s">
        <v>74</v>
      </c>
      <c r="AX985" t="s">
        <v>74</v>
      </c>
      <c r="AY985" t="s">
        <v>74</v>
      </c>
      <c r="AZ985" t="s">
        <v>74</v>
      </c>
      <c r="BA985" t="s">
        <v>74</v>
      </c>
      <c r="BB985">
        <v>1</v>
      </c>
      <c r="BC985">
        <v>240</v>
      </c>
      <c r="BD985" t="s">
        <v>74</v>
      </c>
      <c r="BE985" t="s">
        <v>74</v>
      </c>
      <c r="BF985" t="s">
        <v>74</v>
      </c>
      <c r="BG985" t="s">
        <v>74</v>
      </c>
      <c r="BH985" t="s">
        <v>74</v>
      </c>
      <c r="BI985">
        <v>240</v>
      </c>
      <c r="BJ985" t="s">
        <v>16893</v>
      </c>
      <c r="BK985" t="s">
        <v>16894</v>
      </c>
      <c r="BL985" t="s">
        <v>16893</v>
      </c>
      <c r="BM985" t="s">
        <v>16895</v>
      </c>
      <c r="BN985" t="s">
        <v>74</v>
      </c>
      <c r="BO985" t="s">
        <v>74</v>
      </c>
      <c r="BP985" t="s">
        <v>74</v>
      </c>
      <c r="BQ985" t="s">
        <v>74</v>
      </c>
      <c r="BR985" t="s">
        <v>107</v>
      </c>
      <c r="BS985" t="s">
        <v>18578</v>
      </c>
      <c r="BT985" t="str">
        <f>HYPERLINK("https%3A%2F%2Fwww.webofscience.com%2Fwos%2Fwoscc%2Ffull-record%2FWOS:000517520900010","View Full Record in Web of Science")</f>
        <v>View Full Record in Web of Science</v>
      </c>
    </row>
    <row r="986" spans="1:72" x14ac:dyDescent="0.15">
      <c r="A986" t="s">
        <v>16882</v>
      </c>
      <c r="B986" t="s">
        <v>18579</v>
      </c>
      <c r="C986" t="s">
        <v>16883</v>
      </c>
      <c r="D986" t="s">
        <v>74</v>
      </c>
      <c r="E986" t="s">
        <v>74</v>
      </c>
      <c r="F986" t="s">
        <v>18580</v>
      </c>
      <c r="G986" t="s">
        <v>16883</v>
      </c>
      <c r="H986" t="s">
        <v>74</v>
      </c>
      <c r="I986" t="s">
        <v>18581</v>
      </c>
      <c r="J986" t="s">
        <v>16885</v>
      </c>
      <c r="K986" t="s">
        <v>16886</v>
      </c>
      <c r="L986" t="s">
        <v>74</v>
      </c>
      <c r="M986" t="s">
        <v>78</v>
      </c>
      <c r="N986" t="s">
        <v>17065</v>
      </c>
      <c r="O986" t="s">
        <v>74</v>
      </c>
      <c r="P986" t="s">
        <v>74</v>
      </c>
      <c r="Q986" t="s">
        <v>74</v>
      </c>
      <c r="R986" t="s">
        <v>74</v>
      </c>
      <c r="S986" t="s">
        <v>74</v>
      </c>
      <c r="T986" t="s">
        <v>74</v>
      </c>
      <c r="U986" t="s">
        <v>74</v>
      </c>
      <c r="V986" t="s">
        <v>74</v>
      </c>
      <c r="W986" t="s">
        <v>74</v>
      </c>
      <c r="X986" t="s">
        <v>74</v>
      </c>
      <c r="Y986" t="s">
        <v>74</v>
      </c>
      <c r="Z986" t="s">
        <v>74</v>
      </c>
      <c r="AA986" t="s">
        <v>74</v>
      </c>
      <c r="AB986" t="s">
        <v>74</v>
      </c>
      <c r="AC986" t="s">
        <v>74</v>
      </c>
      <c r="AD986" t="s">
        <v>74</v>
      </c>
      <c r="AE986" t="s">
        <v>74</v>
      </c>
      <c r="AF986" t="s">
        <v>74</v>
      </c>
      <c r="AG986">
        <v>0</v>
      </c>
      <c r="AH986">
        <v>1</v>
      </c>
      <c r="AI986">
        <v>1</v>
      </c>
      <c r="AJ986">
        <v>0</v>
      </c>
      <c r="AK986">
        <v>0</v>
      </c>
      <c r="AL986" t="s">
        <v>16888</v>
      </c>
      <c r="AM986" t="s">
        <v>16889</v>
      </c>
      <c r="AN986" t="s">
        <v>16890</v>
      </c>
      <c r="AO986" t="s">
        <v>74</v>
      </c>
      <c r="AP986" t="s">
        <v>74</v>
      </c>
      <c r="AQ986" t="s">
        <v>16891</v>
      </c>
      <c r="AR986" t="s">
        <v>16892</v>
      </c>
      <c r="AS986" t="s">
        <v>74</v>
      </c>
      <c r="AT986" t="s">
        <v>74</v>
      </c>
      <c r="AU986">
        <v>2019</v>
      </c>
      <c r="AV986" t="s">
        <v>74</v>
      </c>
      <c r="AW986" t="s">
        <v>74</v>
      </c>
      <c r="AX986" t="s">
        <v>74</v>
      </c>
      <c r="AY986" t="s">
        <v>74</v>
      </c>
      <c r="AZ986" t="s">
        <v>74</v>
      </c>
      <c r="BA986" t="s">
        <v>74</v>
      </c>
      <c r="BB986">
        <v>3</v>
      </c>
      <c r="BC986">
        <v>18</v>
      </c>
      <c r="BD986" t="s">
        <v>74</v>
      </c>
      <c r="BE986" t="s">
        <v>74</v>
      </c>
      <c r="BF986" t="s">
        <v>74</v>
      </c>
      <c r="BG986" t="s">
        <v>74</v>
      </c>
      <c r="BH986" t="s">
        <v>74</v>
      </c>
      <c r="BI986">
        <v>16</v>
      </c>
      <c r="BJ986" t="s">
        <v>16893</v>
      </c>
      <c r="BK986" t="s">
        <v>16894</v>
      </c>
      <c r="BL986" t="s">
        <v>16893</v>
      </c>
      <c r="BM986" t="s">
        <v>16895</v>
      </c>
      <c r="BN986" t="s">
        <v>74</v>
      </c>
      <c r="BO986" t="s">
        <v>74</v>
      </c>
      <c r="BP986" t="s">
        <v>74</v>
      </c>
      <c r="BQ986" t="s">
        <v>74</v>
      </c>
      <c r="BR986" t="s">
        <v>107</v>
      </c>
      <c r="BS986" t="s">
        <v>18582</v>
      </c>
      <c r="BT986" t="str">
        <f>HYPERLINK("https%3A%2F%2Fwww.webofscience.com%2Fwos%2Fwoscc%2Ffull-record%2FWOS:000517520900002","View Full Record in Web of Science")</f>
        <v>View Full Record in Web of Science</v>
      </c>
    </row>
    <row r="987" spans="1:72" x14ac:dyDescent="0.15">
      <c r="A987" t="s">
        <v>16882</v>
      </c>
      <c r="B987" t="s">
        <v>18583</v>
      </c>
      <c r="C987" t="s">
        <v>16883</v>
      </c>
      <c r="D987" t="s">
        <v>74</v>
      </c>
      <c r="E987" t="s">
        <v>74</v>
      </c>
      <c r="F987" t="s">
        <v>18584</v>
      </c>
      <c r="G987" t="s">
        <v>16883</v>
      </c>
      <c r="H987" t="s">
        <v>74</v>
      </c>
      <c r="I987" t="s">
        <v>18585</v>
      </c>
      <c r="J987" t="s">
        <v>16885</v>
      </c>
      <c r="K987" t="s">
        <v>16886</v>
      </c>
      <c r="L987" t="s">
        <v>74</v>
      </c>
      <c r="M987" t="s">
        <v>78</v>
      </c>
      <c r="N987" t="s">
        <v>17065</v>
      </c>
      <c r="O987" t="s">
        <v>74</v>
      </c>
      <c r="P987" t="s">
        <v>74</v>
      </c>
      <c r="Q987" t="s">
        <v>74</v>
      </c>
      <c r="R987" t="s">
        <v>74</v>
      </c>
      <c r="S987" t="s">
        <v>74</v>
      </c>
      <c r="T987" t="s">
        <v>74</v>
      </c>
      <c r="U987" t="s">
        <v>74</v>
      </c>
      <c r="V987" t="s">
        <v>74</v>
      </c>
      <c r="W987" t="s">
        <v>74</v>
      </c>
      <c r="X987" t="s">
        <v>74</v>
      </c>
      <c r="Y987" t="s">
        <v>74</v>
      </c>
      <c r="Z987" t="s">
        <v>74</v>
      </c>
      <c r="AA987" t="s">
        <v>74</v>
      </c>
      <c r="AB987" t="s">
        <v>74</v>
      </c>
      <c r="AC987" t="s">
        <v>74</v>
      </c>
      <c r="AD987" t="s">
        <v>74</v>
      </c>
      <c r="AE987" t="s">
        <v>74</v>
      </c>
      <c r="AF987" t="s">
        <v>74</v>
      </c>
      <c r="AG987">
        <v>0</v>
      </c>
      <c r="AH987">
        <v>0</v>
      </c>
      <c r="AI987">
        <v>0</v>
      </c>
      <c r="AJ987">
        <v>0</v>
      </c>
      <c r="AK987">
        <v>0</v>
      </c>
      <c r="AL987" t="s">
        <v>16888</v>
      </c>
      <c r="AM987" t="s">
        <v>16889</v>
      </c>
      <c r="AN987" t="s">
        <v>16890</v>
      </c>
      <c r="AO987" t="s">
        <v>74</v>
      </c>
      <c r="AP987" t="s">
        <v>74</v>
      </c>
      <c r="AQ987" t="s">
        <v>16891</v>
      </c>
      <c r="AR987" t="s">
        <v>16892</v>
      </c>
      <c r="AS987" t="s">
        <v>74</v>
      </c>
      <c r="AT987" t="s">
        <v>74</v>
      </c>
      <c r="AU987">
        <v>2019</v>
      </c>
      <c r="AV987" t="s">
        <v>74</v>
      </c>
      <c r="AW987" t="s">
        <v>74</v>
      </c>
      <c r="AX987" t="s">
        <v>74</v>
      </c>
      <c r="AY987" t="s">
        <v>74</v>
      </c>
      <c r="AZ987" t="s">
        <v>74</v>
      </c>
      <c r="BA987" t="s">
        <v>74</v>
      </c>
      <c r="BB987">
        <v>19</v>
      </c>
      <c r="BC987">
        <v>32</v>
      </c>
      <c r="BD987" t="s">
        <v>74</v>
      </c>
      <c r="BE987" t="s">
        <v>74</v>
      </c>
      <c r="BF987" t="s">
        <v>74</v>
      </c>
      <c r="BG987" t="s">
        <v>74</v>
      </c>
      <c r="BH987" t="s">
        <v>74</v>
      </c>
      <c r="BI987">
        <v>14</v>
      </c>
      <c r="BJ987" t="s">
        <v>16893</v>
      </c>
      <c r="BK987" t="s">
        <v>16894</v>
      </c>
      <c r="BL987" t="s">
        <v>16893</v>
      </c>
      <c r="BM987" t="s">
        <v>16895</v>
      </c>
      <c r="BN987" t="s">
        <v>74</v>
      </c>
      <c r="BO987" t="s">
        <v>74</v>
      </c>
      <c r="BP987" t="s">
        <v>74</v>
      </c>
      <c r="BQ987" t="s">
        <v>74</v>
      </c>
      <c r="BR987" t="s">
        <v>107</v>
      </c>
      <c r="BS987" t="s">
        <v>18586</v>
      </c>
      <c r="BT987" t="str">
        <f>HYPERLINK("https%3A%2F%2Fwww.webofscience.com%2Fwos%2Fwoscc%2Ffull-record%2FWOS:000517520900003","View Full Record in Web of Science")</f>
        <v>View Full Record in Web of Science</v>
      </c>
    </row>
    <row r="988" spans="1:72" x14ac:dyDescent="0.15">
      <c r="A988" t="s">
        <v>16882</v>
      </c>
      <c r="B988" t="s">
        <v>18587</v>
      </c>
      <c r="C988" t="s">
        <v>16883</v>
      </c>
      <c r="D988" t="s">
        <v>74</v>
      </c>
      <c r="E988" t="s">
        <v>74</v>
      </c>
      <c r="F988" t="s">
        <v>18588</v>
      </c>
      <c r="G988" t="s">
        <v>16883</v>
      </c>
      <c r="H988" t="s">
        <v>74</v>
      </c>
      <c r="I988" t="s">
        <v>18589</v>
      </c>
      <c r="J988" t="s">
        <v>16885</v>
      </c>
      <c r="K988" t="s">
        <v>16886</v>
      </c>
      <c r="L988" t="s">
        <v>74</v>
      </c>
      <c r="M988" t="s">
        <v>78</v>
      </c>
      <c r="N988" t="s">
        <v>17065</v>
      </c>
      <c r="O988" t="s">
        <v>74</v>
      </c>
      <c r="P988" t="s">
        <v>74</v>
      </c>
      <c r="Q988" t="s">
        <v>74</v>
      </c>
      <c r="R988" t="s">
        <v>74</v>
      </c>
      <c r="S988" t="s">
        <v>74</v>
      </c>
      <c r="T988" t="s">
        <v>74</v>
      </c>
      <c r="U988" t="s">
        <v>74</v>
      </c>
      <c r="V988" t="s">
        <v>74</v>
      </c>
      <c r="W988" t="s">
        <v>74</v>
      </c>
      <c r="X988" t="s">
        <v>74</v>
      </c>
      <c r="Y988" t="s">
        <v>74</v>
      </c>
      <c r="Z988" t="s">
        <v>74</v>
      </c>
      <c r="AA988" t="s">
        <v>74</v>
      </c>
      <c r="AB988" t="s">
        <v>74</v>
      </c>
      <c r="AC988" t="s">
        <v>74</v>
      </c>
      <c r="AD988" t="s">
        <v>74</v>
      </c>
      <c r="AE988" t="s">
        <v>74</v>
      </c>
      <c r="AF988" t="s">
        <v>74</v>
      </c>
      <c r="AG988">
        <v>0</v>
      </c>
      <c r="AH988">
        <v>0</v>
      </c>
      <c r="AI988">
        <v>0</v>
      </c>
      <c r="AJ988">
        <v>0</v>
      </c>
      <c r="AK988">
        <v>0</v>
      </c>
      <c r="AL988" t="s">
        <v>16888</v>
      </c>
      <c r="AM988" t="s">
        <v>16889</v>
      </c>
      <c r="AN988" t="s">
        <v>16890</v>
      </c>
      <c r="AO988" t="s">
        <v>74</v>
      </c>
      <c r="AP988" t="s">
        <v>74</v>
      </c>
      <c r="AQ988" t="s">
        <v>16891</v>
      </c>
      <c r="AR988" t="s">
        <v>16892</v>
      </c>
      <c r="AS988" t="s">
        <v>74</v>
      </c>
      <c r="AT988" t="s">
        <v>74</v>
      </c>
      <c r="AU988">
        <v>2019</v>
      </c>
      <c r="AV988" t="s">
        <v>74</v>
      </c>
      <c r="AW988" t="s">
        <v>74</v>
      </c>
      <c r="AX988" t="s">
        <v>74</v>
      </c>
      <c r="AY988" t="s">
        <v>74</v>
      </c>
      <c r="AZ988" t="s">
        <v>74</v>
      </c>
      <c r="BA988" t="s">
        <v>74</v>
      </c>
      <c r="BB988">
        <v>33</v>
      </c>
      <c r="BC988">
        <v>48</v>
      </c>
      <c r="BD988" t="s">
        <v>74</v>
      </c>
      <c r="BE988" t="s">
        <v>74</v>
      </c>
      <c r="BF988" t="s">
        <v>74</v>
      </c>
      <c r="BG988" t="s">
        <v>74</v>
      </c>
      <c r="BH988" t="s">
        <v>74</v>
      </c>
      <c r="BI988">
        <v>16</v>
      </c>
      <c r="BJ988" t="s">
        <v>16893</v>
      </c>
      <c r="BK988" t="s">
        <v>16894</v>
      </c>
      <c r="BL988" t="s">
        <v>16893</v>
      </c>
      <c r="BM988" t="s">
        <v>16895</v>
      </c>
      <c r="BN988" t="s">
        <v>74</v>
      </c>
      <c r="BO988" t="s">
        <v>74</v>
      </c>
      <c r="BP988" t="s">
        <v>74</v>
      </c>
      <c r="BQ988" t="s">
        <v>74</v>
      </c>
      <c r="BR988" t="s">
        <v>107</v>
      </c>
      <c r="BS988" t="s">
        <v>18590</v>
      </c>
      <c r="BT988" t="str">
        <f>HYPERLINK("https%3A%2F%2Fwww.webofscience.com%2Fwos%2Fwoscc%2Ffull-record%2FWOS:000517520900004","View Full Record in Web of Science")</f>
        <v>View Full Record in Web of Science</v>
      </c>
    </row>
    <row r="989" spans="1:72" x14ac:dyDescent="0.15">
      <c r="A989" t="s">
        <v>16882</v>
      </c>
      <c r="B989" t="s">
        <v>18591</v>
      </c>
      <c r="C989" t="s">
        <v>16883</v>
      </c>
      <c r="D989" t="s">
        <v>74</v>
      </c>
      <c r="E989" t="s">
        <v>74</v>
      </c>
      <c r="F989" t="s">
        <v>18592</v>
      </c>
      <c r="G989" t="s">
        <v>16883</v>
      </c>
      <c r="H989" t="s">
        <v>74</v>
      </c>
      <c r="I989" t="s">
        <v>18593</v>
      </c>
      <c r="J989" t="s">
        <v>16885</v>
      </c>
      <c r="K989" t="s">
        <v>16886</v>
      </c>
      <c r="L989" t="s">
        <v>74</v>
      </c>
      <c r="M989" t="s">
        <v>78</v>
      </c>
      <c r="N989" t="s">
        <v>17065</v>
      </c>
      <c r="O989" t="s">
        <v>74</v>
      </c>
      <c r="P989" t="s">
        <v>74</v>
      </c>
      <c r="Q989" t="s">
        <v>74</v>
      </c>
      <c r="R989" t="s">
        <v>74</v>
      </c>
      <c r="S989" t="s">
        <v>74</v>
      </c>
      <c r="T989" t="s">
        <v>74</v>
      </c>
      <c r="U989" t="s">
        <v>74</v>
      </c>
      <c r="V989" t="s">
        <v>74</v>
      </c>
      <c r="W989" t="s">
        <v>74</v>
      </c>
      <c r="X989" t="s">
        <v>74</v>
      </c>
      <c r="Y989" t="s">
        <v>74</v>
      </c>
      <c r="Z989" t="s">
        <v>74</v>
      </c>
      <c r="AA989" t="s">
        <v>74</v>
      </c>
      <c r="AB989" t="s">
        <v>74</v>
      </c>
      <c r="AC989" t="s">
        <v>74</v>
      </c>
      <c r="AD989" t="s">
        <v>74</v>
      </c>
      <c r="AE989" t="s">
        <v>74</v>
      </c>
      <c r="AF989" t="s">
        <v>74</v>
      </c>
      <c r="AG989">
        <v>0</v>
      </c>
      <c r="AH989">
        <v>0</v>
      </c>
      <c r="AI989">
        <v>0</v>
      </c>
      <c r="AJ989">
        <v>0</v>
      </c>
      <c r="AK989">
        <v>0</v>
      </c>
      <c r="AL989" t="s">
        <v>16888</v>
      </c>
      <c r="AM989" t="s">
        <v>16889</v>
      </c>
      <c r="AN989" t="s">
        <v>16890</v>
      </c>
      <c r="AO989" t="s">
        <v>74</v>
      </c>
      <c r="AP989" t="s">
        <v>74</v>
      </c>
      <c r="AQ989" t="s">
        <v>16891</v>
      </c>
      <c r="AR989" t="s">
        <v>16892</v>
      </c>
      <c r="AS989" t="s">
        <v>74</v>
      </c>
      <c r="AT989" t="s">
        <v>74</v>
      </c>
      <c r="AU989">
        <v>2019</v>
      </c>
      <c r="AV989" t="s">
        <v>74</v>
      </c>
      <c r="AW989" t="s">
        <v>74</v>
      </c>
      <c r="AX989" t="s">
        <v>74</v>
      </c>
      <c r="AY989" t="s">
        <v>74</v>
      </c>
      <c r="AZ989" t="s">
        <v>74</v>
      </c>
      <c r="BA989" t="s">
        <v>74</v>
      </c>
      <c r="BB989">
        <v>49</v>
      </c>
      <c r="BC989">
        <v>71</v>
      </c>
      <c r="BD989" t="s">
        <v>74</v>
      </c>
      <c r="BE989" t="s">
        <v>74</v>
      </c>
      <c r="BF989" t="s">
        <v>74</v>
      </c>
      <c r="BG989" t="s">
        <v>74</v>
      </c>
      <c r="BH989" t="s">
        <v>74</v>
      </c>
      <c r="BI989">
        <v>23</v>
      </c>
      <c r="BJ989" t="s">
        <v>16893</v>
      </c>
      <c r="BK989" t="s">
        <v>16894</v>
      </c>
      <c r="BL989" t="s">
        <v>16893</v>
      </c>
      <c r="BM989" t="s">
        <v>16895</v>
      </c>
      <c r="BN989" t="s">
        <v>74</v>
      </c>
      <c r="BO989" t="s">
        <v>74</v>
      </c>
      <c r="BP989" t="s">
        <v>74</v>
      </c>
      <c r="BQ989" t="s">
        <v>74</v>
      </c>
      <c r="BR989" t="s">
        <v>107</v>
      </c>
      <c r="BS989" t="s">
        <v>18594</v>
      </c>
      <c r="BT989" t="str">
        <f>HYPERLINK("https%3A%2F%2Fwww.webofscience.com%2Fwos%2Fwoscc%2Ffull-record%2FWOS:000517520900005","View Full Record in Web of Science")</f>
        <v>View Full Record in Web of Science</v>
      </c>
    </row>
    <row r="990" spans="1:72" x14ac:dyDescent="0.15">
      <c r="A990" t="s">
        <v>16882</v>
      </c>
      <c r="B990" t="s">
        <v>18595</v>
      </c>
      <c r="C990" t="s">
        <v>16883</v>
      </c>
      <c r="D990" t="s">
        <v>74</v>
      </c>
      <c r="E990" t="s">
        <v>74</v>
      </c>
      <c r="F990" t="s">
        <v>18596</v>
      </c>
      <c r="G990" t="s">
        <v>16883</v>
      </c>
      <c r="H990" t="s">
        <v>74</v>
      </c>
      <c r="I990" t="s">
        <v>18597</v>
      </c>
      <c r="J990" t="s">
        <v>16885</v>
      </c>
      <c r="K990" t="s">
        <v>16886</v>
      </c>
      <c r="L990" t="s">
        <v>74</v>
      </c>
      <c r="M990" t="s">
        <v>78</v>
      </c>
      <c r="N990" t="s">
        <v>17065</v>
      </c>
      <c r="O990" t="s">
        <v>74</v>
      </c>
      <c r="P990" t="s">
        <v>74</v>
      </c>
      <c r="Q990" t="s">
        <v>74</v>
      </c>
      <c r="R990" t="s">
        <v>74</v>
      </c>
      <c r="S990" t="s">
        <v>74</v>
      </c>
      <c r="T990" t="s">
        <v>74</v>
      </c>
      <c r="U990" t="s">
        <v>74</v>
      </c>
      <c r="V990" t="s">
        <v>74</v>
      </c>
      <c r="W990" t="s">
        <v>74</v>
      </c>
      <c r="X990" t="s">
        <v>74</v>
      </c>
      <c r="Y990" t="s">
        <v>74</v>
      </c>
      <c r="Z990" t="s">
        <v>74</v>
      </c>
      <c r="AA990" t="s">
        <v>74</v>
      </c>
      <c r="AB990" t="s">
        <v>74</v>
      </c>
      <c r="AC990" t="s">
        <v>74</v>
      </c>
      <c r="AD990" t="s">
        <v>74</v>
      </c>
      <c r="AE990" t="s">
        <v>74</v>
      </c>
      <c r="AF990" t="s">
        <v>74</v>
      </c>
      <c r="AG990">
        <v>0</v>
      </c>
      <c r="AH990">
        <v>0</v>
      </c>
      <c r="AI990">
        <v>0</v>
      </c>
      <c r="AJ990">
        <v>0</v>
      </c>
      <c r="AK990">
        <v>0</v>
      </c>
      <c r="AL990" t="s">
        <v>16888</v>
      </c>
      <c r="AM990" t="s">
        <v>16889</v>
      </c>
      <c r="AN990" t="s">
        <v>16890</v>
      </c>
      <c r="AO990" t="s">
        <v>74</v>
      </c>
      <c r="AP990" t="s">
        <v>74</v>
      </c>
      <c r="AQ990" t="s">
        <v>16891</v>
      </c>
      <c r="AR990" t="s">
        <v>16892</v>
      </c>
      <c r="AS990" t="s">
        <v>74</v>
      </c>
      <c r="AT990" t="s">
        <v>74</v>
      </c>
      <c r="AU990">
        <v>2019</v>
      </c>
      <c r="AV990" t="s">
        <v>74</v>
      </c>
      <c r="AW990" t="s">
        <v>74</v>
      </c>
      <c r="AX990" t="s">
        <v>74</v>
      </c>
      <c r="AY990" t="s">
        <v>74</v>
      </c>
      <c r="AZ990" t="s">
        <v>74</v>
      </c>
      <c r="BA990" t="s">
        <v>74</v>
      </c>
      <c r="BB990">
        <v>72</v>
      </c>
      <c r="BC990">
        <v>89</v>
      </c>
      <c r="BD990" t="s">
        <v>74</v>
      </c>
      <c r="BE990" t="s">
        <v>74</v>
      </c>
      <c r="BF990" t="s">
        <v>74</v>
      </c>
      <c r="BG990" t="s">
        <v>74</v>
      </c>
      <c r="BH990" t="s">
        <v>74</v>
      </c>
      <c r="BI990">
        <v>18</v>
      </c>
      <c r="BJ990" t="s">
        <v>16893</v>
      </c>
      <c r="BK990" t="s">
        <v>16894</v>
      </c>
      <c r="BL990" t="s">
        <v>16893</v>
      </c>
      <c r="BM990" t="s">
        <v>16895</v>
      </c>
      <c r="BN990" t="s">
        <v>74</v>
      </c>
      <c r="BO990" t="s">
        <v>74</v>
      </c>
      <c r="BP990" t="s">
        <v>74</v>
      </c>
      <c r="BQ990" t="s">
        <v>74</v>
      </c>
      <c r="BR990" t="s">
        <v>107</v>
      </c>
      <c r="BS990" t="s">
        <v>18598</v>
      </c>
      <c r="BT990" t="str">
        <f>HYPERLINK("https%3A%2F%2Fwww.webofscience.com%2Fwos%2Fwoscc%2Ffull-record%2FWOS:000517520900006","View Full Record in Web of Science")</f>
        <v>View Full Record in Web of Science</v>
      </c>
    </row>
    <row r="991" spans="1:72" x14ac:dyDescent="0.15">
      <c r="A991" t="s">
        <v>16882</v>
      </c>
      <c r="B991" t="s">
        <v>18599</v>
      </c>
      <c r="C991" t="s">
        <v>16883</v>
      </c>
      <c r="D991" t="s">
        <v>74</v>
      </c>
      <c r="E991" t="s">
        <v>74</v>
      </c>
      <c r="F991" t="s">
        <v>18600</v>
      </c>
      <c r="G991" t="s">
        <v>16883</v>
      </c>
      <c r="H991" t="s">
        <v>74</v>
      </c>
      <c r="I991" t="s">
        <v>18601</v>
      </c>
      <c r="J991" t="s">
        <v>16885</v>
      </c>
      <c r="K991" t="s">
        <v>16886</v>
      </c>
      <c r="L991" t="s">
        <v>74</v>
      </c>
      <c r="M991" t="s">
        <v>78</v>
      </c>
      <c r="N991" t="s">
        <v>17065</v>
      </c>
      <c r="O991" t="s">
        <v>74</v>
      </c>
      <c r="P991" t="s">
        <v>74</v>
      </c>
      <c r="Q991" t="s">
        <v>74</v>
      </c>
      <c r="R991" t="s">
        <v>74</v>
      </c>
      <c r="S991" t="s">
        <v>74</v>
      </c>
      <c r="T991" t="s">
        <v>74</v>
      </c>
      <c r="U991" t="s">
        <v>74</v>
      </c>
      <c r="V991" t="s">
        <v>74</v>
      </c>
      <c r="W991" t="s">
        <v>74</v>
      </c>
      <c r="X991" t="s">
        <v>74</v>
      </c>
      <c r="Y991" t="s">
        <v>74</v>
      </c>
      <c r="Z991" t="s">
        <v>74</v>
      </c>
      <c r="AA991" t="s">
        <v>74</v>
      </c>
      <c r="AB991" t="s">
        <v>74</v>
      </c>
      <c r="AC991" t="s">
        <v>74</v>
      </c>
      <c r="AD991" t="s">
        <v>74</v>
      </c>
      <c r="AE991" t="s">
        <v>74</v>
      </c>
      <c r="AF991" t="s">
        <v>74</v>
      </c>
      <c r="AG991">
        <v>0</v>
      </c>
      <c r="AH991">
        <v>0</v>
      </c>
      <c r="AI991">
        <v>0</v>
      </c>
      <c r="AJ991">
        <v>0</v>
      </c>
      <c r="AK991">
        <v>0</v>
      </c>
      <c r="AL991" t="s">
        <v>16888</v>
      </c>
      <c r="AM991" t="s">
        <v>16889</v>
      </c>
      <c r="AN991" t="s">
        <v>16890</v>
      </c>
      <c r="AO991" t="s">
        <v>74</v>
      </c>
      <c r="AP991" t="s">
        <v>74</v>
      </c>
      <c r="AQ991" t="s">
        <v>16891</v>
      </c>
      <c r="AR991" t="s">
        <v>16892</v>
      </c>
      <c r="AS991" t="s">
        <v>74</v>
      </c>
      <c r="AT991" t="s">
        <v>74</v>
      </c>
      <c r="AU991">
        <v>2019</v>
      </c>
      <c r="AV991" t="s">
        <v>74</v>
      </c>
      <c r="AW991" t="s">
        <v>74</v>
      </c>
      <c r="AX991" t="s">
        <v>74</v>
      </c>
      <c r="AY991" t="s">
        <v>74</v>
      </c>
      <c r="AZ991" t="s">
        <v>74</v>
      </c>
      <c r="BA991" t="s">
        <v>74</v>
      </c>
      <c r="BB991">
        <v>90</v>
      </c>
      <c r="BC991">
        <v>114</v>
      </c>
      <c r="BD991" t="s">
        <v>74</v>
      </c>
      <c r="BE991" t="s">
        <v>74</v>
      </c>
      <c r="BF991" t="s">
        <v>74</v>
      </c>
      <c r="BG991" t="s">
        <v>74</v>
      </c>
      <c r="BH991" t="s">
        <v>74</v>
      </c>
      <c r="BI991">
        <v>25</v>
      </c>
      <c r="BJ991" t="s">
        <v>16893</v>
      </c>
      <c r="BK991" t="s">
        <v>16894</v>
      </c>
      <c r="BL991" t="s">
        <v>16893</v>
      </c>
      <c r="BM991" t="s">
        <v>16895</v>
      </c>
      <c r="BN991" t="s">
        <v>74</v>
      </c>
      <c r="BO991" t="s">
        <v>74</v>
      </c>
      <c r="BP991" t="s">
        <v>74</v>
      </c>
      <c r="BQ991" t="s">
        <v>74</v>
      </c>
      <c r="BR991" t="s">
        <v>107</v>
      </c>
      <c r="BS991" t="s">
        <v>18602</v>
      </c>
      <c r="BT991" t="str">
        <f>HYPERLINK("https%3A%2F%2Fwww.webofscience.com%2Fwos%2Fwoscc%2Ffull-record%2FWOS:000517520900007","View Full Record in Web of Science")</f>
        <v>View Full Record in Web of Science</v>
      </c>
    </row>
    <row r="992" spans="1:72" x14ac:dyDescent="0.15">
      <c r="A992" t="s">
        <v>16882</v>
      </c>
      <c r="B992" t="s">
        <v>18603</v>
      </c>
      <c r="C992" t="s">
        <v>16883</v>
      </c>
      <c r="D992" t="s">
        <v>74</v>
      </c>
      <c r="E992" t="s">
        <v>74</v>
      </c>
      <c r="F992" t="s">
        <v>18604</v>
      </c>
      <c r="G992" t="s">
        <v>16883</v>
      </c>
      <c r="H992" t="s">
        <v>74</v>
      </c>
      <c r="I992" t="s">
        <v>18605</v>
      </c>
      <c r="J992" t="s">
        <v>16885</v>
      </c>
      <c r="K992" t="s">
        <v>16886</v>
      </c>
      <c r="L992" t="s">
        <v>74</v>
      </c>
      <c r="M992" t="s">
        <v>78</v>
      </c>
      <c r="N992" t="s">
        <v>17065</v>
      </c>
      <c r="O992" t="s">
        <v>74</v>
      </c>
      <c r="P992" t="s">
        <v>74</v>
      </c>
      <c r="Q992" t="s">
        <v>74</v>
      </c>
      <c r="R992" t="s">
        <v>74</v>
      </c>
      <c r="S992" t="s">
        <v>74</v>
      </c>
      <c r="T992" t="s">
        <v>74</v>
      </c>
      <c r="U992" t="s">
        <v>74</v>
      </c>
      <c r="V992" t="s">
        <v>74</v>
      </c>
      <c r="W992" t="s">
        <v>74</v>
      </c>
      <c r="X992" t="s">
        <v>74</v>
      </c>
      <c r="Y992" t="s">
        <v>74</v>
      </c>
      <c r="Z992" t="s">
        <v>74</v>
      </c>
      <c r="AA992" t="s">
        <v>74</v>
      </c>
      <c r="AB992" t="s">
        <v>74</v>
      </c>
      <c r="AC992" t="s">
        <v>74</v>
      </c>
      <c r="AD992" t="s">
        <v>74</v>
      </c>
      <c r="AE992" t="s">
        <v>74</v>
      </c>
      <c r="AF992" t="s">
        <v>74</v>
      </c>
      <c r="AG992">
        <v>0</v>
      </c>
      <c r="AH992">
        <v>0</v>
      </c>
      <c r="AI992">
        <v>0</v>
      </c>
      <c r="AJ992">
        <v>0</v>
      </c>
      <c r="AK992">
        <v>0</v>
      </c>
      <c r="AL992" t="s">
        <v>16888</v>
      </c>
      <c r="AM992" t="s">
        <v>16889</v>
      </c>
      <c r="AN992" t="s">
        <v>16890</v>
      </c>
      <c r="AO992" t="s">
        <v>74</v>
      </c>
      <c r="AP992" t="s">
        <v>74</v>
      </c>
      <c r="AQ992" t="s">
        <v>16891</v>
      </c>
      <c r="AR992" t="s">
        <v>16892</v>
      </c>
      <c r="AS992" t="s">
        <v>74</v>
      </c>
      <c r="AT992" t="s">
        <v>74</v>
      </c>
      <c r="AU992">
        <v>2019</v>
      </c>
      <c r="AV992" t="s">
        <v>74</v>
      </c>
      <c r="AW992" t="s">
        <v>74</v>
      </c>
      <c r="AX992" t="s">
        <v>74</v>
      </c>
      <c r="AY992" t="s">
        <v>74</v>
      </c>
      <c r="AZ992" t="s">
        <v>74</v>
      </c>
      <c r="BA992" t="s">
        <v>74</v>
      </c>
      <c r="BB992">
        <v>115</v>
      </c>
      <c r="BC992">
        <v>156</v>
      </c>
      <c r="BD992" t="s">
        <v>74</v>
      </c>
      <c r="BE992" t="s">
        <v>74</v>
      </c>
      <c r="BF992" t="s">
        <v>74</v>
      </c>
      <c r="BG992" t="s">
        <v>74</v>
      </c>
      <c r="BH992" t="s">
        <v>74</v>
      </c>
      <c r="BI992">
        <v>42</v>
      </c>
      <c r="BJ992" t="s">
        <v>16893</v>
      </c>
      <c r="BK992" t="s">
        <v>16894</v>
      </c>
      <c r="BL992" t="s">
        <v>16893</v>
      </c>
      <c r="BM992" t="s">
        <v>16895</v>
      </c>
      <c r="BN992" t="s">
        <v>74</v>
      </c>
      <c r="BO992" t="s">
        <v>74</v>
      </c>
      <c r="BP992" t="s">
        <v>74</v>
      </c>
      <c r="BQ992" t="s">
        <v>74</v>
      </c>
      <c r="BR992" t="s">
        <v>107</v>
      </c>
      <c r="BS992" t="s">
        <v>18606</v>
      </c>
      <c r="BT992" t="str">
        <f>HYPERLINK("https%3A%2F%2Fwww.webofscience.com%2Fwos%2Fwoscc%2Ffull-record%2FWOS:000517520900008","View Full Record in Web of Science")</f>
        <v>View Full Record in Web of Science</v>
      </c>
    </row>
    <row r="993" spans="1:72" x14ac:dyDescent="0.15">
      <c r="A993" t="s">
        <v>16882</v>
      </c>
      <c r="B993" t="s">
        <v>18607</v>
      </c>
      <c r="C993" t="s">
        <v>16883</v>
      </c>
      <c r="D993" t="s">
        <v>74</v>
      </c>
      <c r="E993" t="s">
        <v>74</v>
      </c>
      <c r="F993" t="s">
        <v>18608</v>
      </c>
      <c r="G993" t="s">
        <v>16883</v>
      </c>
      <c r="H993" t="s">
        <v>74</v>
      </c>
      <c r="I993" t="s">
        <v>18609</v>
      </c>
      <c r="J993" t="s">
        <v>16885</v>
      </c>
      <c r="K993" t="s">
        <v>16886</v>
      </c>
      <c r="L993" t="s">
        <v>74</v>
      </c>
      <c r="M993" t="s">
        <v>78</v>
      </c>
      <c r="N993" t="s">
        <v>17065</v>
      </c>
      <c r="O993" t="s">
        <v>74</v>
      </c>
      <c r="P993" t="s">
        <v>74</v>
      </c>
      <c r="Q993" t="s">
        <v>74</v>
      </c>
      <c r="R993" t="s">
        <v>74</v>
      </c>
      <c r="S993" t="s">
        <v>74</v>
      </c>
      <c r="T993" t="s">
        <v>74</v>
      </c>
      <c r="U993" t="s">
        <v>74</v>
      </c>
      <c r="V993" t="s">
        <v>74</v>
      </c>
      <c r="W993" t="s">
        <v>74</v>
      </c>
      <c r="X993" t="s">
        <v>74</v>
      </c>
      <c r="Y993" t="s">
        <v>74</v>
      </c>
      <c r="Z993" t="s">
        <v>74</v>
      </c>
      <c r="AA993" t="s">
        <v>74</v>
      </c>
      <c r="AB993" t="s">
        <v>74</v>
      </c>
      <c r="AC993" t="s">
        <v>74</v>
      </c>
      <c r="AD993" t="s">
        <v>74</v>
      </c>
      <c r="AE993" t="s">
        <v>74</v>
      </c>
      <c r="AF993" t="s">
        <v>74</v>
      </c>
      <c r="AG993">
        <v>0</v>
      </c>
      <c r="AH993">
        <v>0</v>
      </c>
      <c r="AI993">
        <v>0</v>
      </c>
      <c r="AJ993">
        <v>0</v>
      </c>
      <c r="AK993">
        <v>0</v>
      </c>
      <c r="AL993" t="s">
        <v>16888</v>
      </c>
      <c r="AM993" t="s">
        <v>16889</v>
      </c>
      <c r="AN993" t="s">
        <v>16890</v>
      </c>
      <c r="AO993" t="s">
        <v>74</v>
      </c>
      <c r="AP993" t="s">
        <v>74</v>
      </c>
      <c r="AQ993" t="s">
        <v>16891</v>
      </c>
      <c r="AR993" t="s">
        <v>16892</v>
      </c>
      <c r="AS993" t="s">
        <v>74</v>
      </c>
      <c r="AT993" t="s">
        <v>74</v>
      </c>
      <c r="AU993">
        <v>2019</v>
      </c>
      <c r="AV993" t="s">
        <v>74</v>
      </c>
      <c r="AW993" t="s">
        <v>74</v>
      </c>
      <c r="AX993" t="s">
        <v>74</v>
      </c>
      <c r="AY993" t="s">
        <v>74</v>
      </c>
      <c r="AZ993" t="s">
        <v>74</v>
      </c>
      <c r="BA993" t="s">
        <v>74</v>
      </c>
      <c r="BB993">
        <v>157</v>
      </c>
      <c r="BC993">
        <v>188</v>
      </c>
      <c r="BD993" t="s">
        <v>74</v>
      </c>
      <c r="BE993" t="s">
        <v>74</v>
      </c>
      <c r="BF993" t="s">
        <v>74</v>
      </c>
      <c r="BG993" t="s">
        <v>74</v>
      </c>
      <c r="BH993" t="s">
        <v>74</v>
      </c>
      <c r="BI993">
        <v>32</v>
      </c>
      <c r="BJ993" t="s">
        <v>16893</v>
      </c>
      <c r="BK993" t="s">
        <v>16894</v>
      </c>
      <c r="BL993" t="s">
        <v>16893</v>
      </c>
      <c r="BM993" t="s">
        <v>16895</v>
      </c>
      <c r="BN993" t="s">
        <v>74</v>
      </c>
      <c r="BO993" t="s">
        <v>74</v>
      </c>
      <c r="BP993" t="s">
        <v>74</v>
      </c>
      <c r="BQ993" t="s">
        <v>74</v>
      </c>
      <c r="BR993" t="s">
        <v>107</v>
      </c>
      <c r="BS993" t="s">
        <v>18610</v>
      </c>
      <c r="BT993" t="str">
        <f>HYPERLINK("https%3A%2F%2Fwww.webofscience.com%2Fwos%2Fwoscc%2Ffull-record%2FWOS:000517520900009","View Full Record in Web of Science")</f>
        <v>View Full Record in Web of Science</v>
      </c>
    </row>
    <row r="994" spans="1:72" x14ac:dyDescent="0.15">
      <c r="A994" t="s">
        <v>16897</v>
      </c>
      <c r="B994" t="s">
        <v>18611</v>
      </c>
      <c r="C994" t="s">
        <v>74</v>
      </c>
      <c r="D994" t="s">
        <v>18612</v>
      </c>
      <c r="E994" t="s">
        <v>74</v>
      </c>
      <c r="F994" t="s">
        <v>18613</v>
      </c>
      <c r="G994" t="s">
        <v>74</v>
      </c>
      <c r="H994" t="s">
        <v>74</v>
      </c>
      <c r="I994" t="s">
        <v>18614</v>
      </c>
      <c r="J994" t="s">
        <v>18615</v>
      </c>
      <c r="K994" t="s">
        <v>18616</v>
      </c>
      <c r="L994" t="s">
        <v>74</v>
      </c>
      <c r="M994" t="s">
        <v>18617</v>
      </c>
      <c r="N994" t="s">
        <v>17065</v>
      </c>
      <c r="O994" t="s">
        <v>74</v>
      </c>
      <c r="P994" t="s">
        <v>74</v>
      </c>
      <c r="Q994" t="s">
        <v>74</v>
      </c>
      <c r="R994" t="s">
        <v>74</v>
      </c>
      <c r="S994" t="s">
        <v>74</v>
      </c>
      <c r="T994" t="s">
        <v>18618</v>
      </c>
      <c r="U994" t="s">
        <v>74</v>
      </c>
      <c r="V994" t="s">
        <v>18619</v>
      </c>
      <c r="W994" t="s">
        <v>74</v>
      </c>
      <c r="X994" t="s">
        <v>74</v>
      </c>
      <c r="Y994" t="s">
        <v>74</v>
      </c>
      <c r="Z994" t="s">
        <v>18620</v>
      </c>
      <c r="AA994" t="s">
        <v>18621</v>
      </c>
      <c r="AB994" t="s">
        <v>18622</v>
      </c>
      <c r="AC994" t="s">
        <v>74</v>
      </c>
      <c r="AD994" t="s">
        <v>74</v>
      </c>
      <c r="AE994" t="s">
        <v>74</v>
      </c>
      <c r="AF994" t="s">
        <v>74</v>
      </c>
      <c r="AG994">
        <v>24</v>
      </c>
      <c r="AH994">
        <v>1</v>
      </c>
      <c r="AI994">
        <v>1</v>
      </c>
      <c r="AJ994">
        <v>1</v>
      </c>
      <c r="AK994">
        <v>5</v>
      </c>
      <c r="AL994" t="s">
        <v>18623</v>
      </c>
      <c r="AM994" t="s">
        <v>3308</v>
      </c>
      <c r="AN994" t="s">
        <v>18624</v>
      </c>
      <c r="AO994" t="s">
        <v>18625</v>
      </c>
      <c r="AP994" t="s">
        <v>74</v>
      </c>
      <c r="AQ994" t="s">
        <v>18626</v>
      </c>
      <c r="AR994" t="s">
        <v>18627</v>
      </c>
      <c r="AS994" t="s">
        <v>74</v>
      </c>
      <c r="AT994" t="s">
        <v>74</v>
      </c>
      <c r="AU994">
        <v>2019</v>
      </c>
      <c r="AV994">
        <v>24</v>
      </c>
      <c r="AW994" t="s">
        <v>74</v>
      </c>
      <c r="AX994" t="s">
        <v>74</v>
      </c>
      <c r="AY994" t="s">
        <v>74</v>
      </c>
      <c r="AZ994" t="s">
        <v>74</v>
      </c>
      <c r="BA994" t="s">
        <v>74</v>
      </c>
      <c r="BB994">
        <v>279</v>
      </c>
      <c r="BC994">
        <v>295</v>
      </c>
      <c r="BD994" t="s">
        <v>74</v>
      </c>
      <c r="BE994" t="s">
        <v>18628</v>
      </c>
      <c r="BF994" t="str">
        <f>HYPERLINK("http://dx.doi.org/10.24411/2618-6888-2019-10016'","http://dx.doi.org/10.24411/2618-6888-2019-10016'")</f>
        <v>http://dx.doi.org/10.24411/2618-6888-2019-10016'</v>
      </c>
      <c r="BG994" t="s">
        <v>74</v>
      </c>
      <c r="BH994" t="s">
        <v>74</v>
      </c>
      <c r="BI994">
        <v>17</v>
      </c>
      <c r="BJ994" t="s">
        <v>18629</v>
      </c>
      <c r="BK994" t="s">
        <v>16894</v>
      </c>
      <c r="BL994" t="s">
        <v>8853</v>
      </c>
      <c r="BM994" t="s">
        <v>18630</v>
      </c>
      <c r="BN994" t="s">
        <v>74</v>
      </c>
      <c r="BO994" t="s">
        <v>74</v>
      </c>
      <c r="BP994" t="s">
        <v>74</v>
      </c>
      <c r="BQ994" t="s">
        <v>74</v>
      </c>
      <c r="BR994" t="s">
        <v>107</v>
      </c>
      <c r="BS994" t="s">
        <v>18631</v>
      </c>
      <c r="BT994" t="str">
        <f>HYPERLINK("https%3A%2F%2Fwww.webofscience.com%2Fwos%2Fwoscc%2Ffull-record%2FWOS:000516526400014","View Full Record in Web of Science")</f>
        <v>View Full Record in Web of Science</v>
      </c>
    </row>
    <row r="995" spans="1:72" x14ac:dyDescent="0.15">
      <c r="A995" t="s">
        <v>17084</v>
      </c>
      <c r="B995" t="s">
        <v>18632</v>
      </c>
      <c r="C995" t="s">
        <v>74</v>
      </c>
      <c r="D995" t="s">
        <v>74</v>
      </c>
      <c r="E995" t="s">
        <v>18633</v>
      </c>
      <c r="F995" t="s">
        <v>18634</v>
      </c>
      <c r="G995" t="s">
        <v>74</v>
      </c>
      <c r="H995" t="s">
        <v>74</v>
      </c>
      <c r="I995" t="s">
        <v>18635</v>
      </c>
      <c r="J995" t="s">
        <v>18636</v>
      </c>
      <c r="K995" t="s">
        <v>18637</v>
      </c>
      <c r="L995" t="s">
        <v>74</v>
      </c>
      <c r="M995" t="s">
        <v>78</v>
      </c>
      <c r="N995" t="s">
        <v>17090</v>
      </c>
      <c r="O995" t="s">
        <v>18638</v>
      </c>
      <c r="P995" t="s">
        <v>18639</v>
      </c>
      <c r="Q995" t="s">
        <v>18640</v>
      </c>
      <c r="R995" t="s">
        <v>74</v>
      </c>
      <c r="S995" t="s">
        <v>18641</v>
      </c>
      <c r="T995" t="s">
        <v>74</v>
      </c>
      <c r="U995" t="s">
        <v>74</v>
      </c>
      <c r="V995" t="s">
        <v>18642</v>
      </c>
      <c r="W995" t="s">
        <v>18643</v>
      </c>
      <c r="X995" t="s">
        <v>18644</v>
      </c>
      <c r="Y995" t="s">
        <v>18645</v>
      </c>
      <c r="Z995" t="s">
        <v>18646</v>
      </c>
      <c r="AA995" t="s">
        <v>74</v>
      </c>
      <c r="AB995" t="s">
        <v>74</v>
      </c>
      <c r="AC995" t="s">
        <v>18647</v>
      </c>
      <c r="AD995" t="s">
        <v>18648</v>
      </c>
      <c r="AE995" t="s">
        <v>18649</v>
      </c>
      <c r="AF995" t="s">
        <v>74</v>
      </c>
      <c r="AG995">
        <v>26</v>
      </c>
      <c r="AH995">
        <v>2</v>
      </c>
      <c r="AI995">
        <v>2</v>
      </c>
      <c r="AJ995">
        <v>0</v>
      </c>
      <c r="AK995">
        <v>3</v>
      </c>
      <c r="AL995" t="s">
        <v>18650</v>
      </c>
      <c r="AM995" t="s">
        <v>607</v>
      </c>
      <c r="AN995" t="s">
        <v>18651</v>
      </c>
      <c r="AO995" t="s">
        <v>18652</v>
      </c>
      <c r="AP995" t="s">
        <v>74</v>
      </c>
      <c r="AQ995" t="s">
        <v>18653</v>
      </c>
      <c r="AR995" t="s">
        <v>18654</v>
      </c>
      <c r="AS995" t="s">
        <v>74</v>
      </c>
      <c r="AT995" t="s">
        <v>74</v>
      </c>
      <c r="AU995">
        <v>2019</v>
      </c>
      <c r="AV995" t="s">
        <v>74</v>
      </c>
      <c r="AW995" t="s">
        <v>74</v>
      </c>
      <c r="AX995" t="s">
        <v>74</v>
      </c>
      <c r="AY995" t="s">
        <v>74</v>
      </c>
      <c r="AZ995" t="s">
        <v>74</v>
      </c>
      <c r="BA995" t="s">
        <v>74</v>
      </c>
      <c r="BB995" t="s">
        <v>74</v>
      </c>
      <c r="BC995" t="s">
        <v>74</v>
      </c>
      <c r="BD995" t="s">
        <v>18655</v>
      </c>
      <c r="BE995" t="s">
        <v>74</v>
      </c>
      <c r="BF995" t="s">
        <v>74</v>
      </c>
      <c r="BG995" t="s">
        <v>74</v>
      </c>
      <c r="BH995" t="s">
        <v>74</v>
      </c>
      <c r="BI995">
        <v>9</v>
      </c>
      <c r="BJ995" t="s">
        <v>18656</v>
      </c>
      <c r="BK995" t="s">
        <v>17108</v>
      </c>
      <c r="BL995" t="s">
        <v>12769</v>
      </c>
      <c r="BM995" t="s">
        <v>18657</v>
      </c>
      <c r="BN995" t="s">
        <v>74</v>
      </c>
      <c r="BO995" t="s">
        <v>74</v>
      </c>
      <c r="BP995" t="s">
        <v>74</v>
      </c>
      <c r="BQ995" t="s">
        <v>74</v>
      </c>
      <c r="BR995" t="s">
        <v>107</v>
      </c>
      <c r="BS995" t="s">
        <v>18658</v>
      </c>
      <c r="BT995" t="str">
        <f>HYPERLINK("https%3A%2F%2Fwww.webofscience.com%2Fwos%2Fwoscc%2Ffull-record%2FWOS:000513071100095","View Full Record in Web of Science")</f>
        <v>View Full Record in Web of Science</v>
      </c>
    </row>
    <row r="996" spans="1:72" x14ac:dyDescent="0.15">
      <c r="A996" t="s">
        <v>17084</v>
      </c>
      <c r="B996" t="s">
        <v>18659</v>
      </c>
      <c r="C996" t="s">
        <v>74</v>
      </c>
      <c r="D996" t="s">
        <v>74</v>
      </c>
      <c r="E996" t="s">
        <v>18633</v>
      </c>
      <c r="F996" t="s">
        <v>18660</v>
      </c>
      <c r="G996" t="s">
        <v>74</v>
      </c>
      <c r="H996" t="s">
        <v>74</v>
      </c>
      <c r="I996" t="s">
        <v>18661</v>
      </c>
      <c r="J996" t="s">
        <v>18662</v>
      </c>
      <c r="K996" t="s">
        <v>18637</v>
      </c>
      <c r="L996" t="s">
        <v>74</v>
      </c>
      <c r="M996" t="s">
        <v>78</v>
      </c>
      <c r="N996" t="s">
        <v>17090</v>
      </c>
      <c r="O996" t="s">
        <v>18638</v>
      </c>
      <c r="P996" t="s">
        <v>18639</v>
      </c>
      <c r="Q996" t="s">
        <v>18640</v>
      </c>
      <c r="R996" t="s">
        <v>74</v>
      </c>
      <c r="S996" t="s">
        <v>18641</v>
      </c>
      <c r="T996" t="s">
        <v>74</v>
      </c>
      <c r="U996" t="s">
        <v>74</v>
      </c>
      <c r="V996" t="s">
        <v>18663</v>
      </c>
      <c r="W996" t="s">
        <v>18664</v>
      </c>
      <c r="X996" t="s">
        <v>18665</v>
      </c>
      <c r="Y996" t="s">
        <v>18666</v>
      </c>
      <c r="Z996" t="s">
        <v>74</v>
      </c>
      <c r="AA996" t="s">
        <v>18667</v>
      </c>
      <c r="AB996" t="s">
        <v>74</v>
      </c>
      <c r="AC996" t="s">
        <v>74</v>
      </c>
      <c r="AD996" t="s">
        <v>74</v>
      </c>
      <c r="AE996" t="s">
        <v>74</v>
      </c>
      <c r="AF996" t="s">
        <v>74</v>
      </c>
      <c r="AG996">
        <v>10</v>
      </c>
      <c r="AH996">
        <v>0</v>
      </c>
      <c r="AI996">
        <v>0</v>
      </c>
      <c r="AJ996">
        <v>0</v>
      </c>
      <c r="AK996">
        <v>3</v>
      </c>
      <c r="AL996" t="s">
        <v>18650</v>
      </c>
      <c r="AM996" t="s">
        <v>607</v>
      </c>
      <c r="AN996" t="s">
        <v>18651</v>
      </c>
      <c r="AO996" t="s">
        <v>18652</v>
      </c>
      <c r="AP996" t="s">
        <v>74</v>
      </c>
      <c r="AQ996" t="s">
        <v>18668</v>
      </c>
      <c r="AR996" t="s">
        <v>18654</v>
      </c>
      <c r="AS996" t="s">
        <v>74</v>
      </c>
      <c r="AT996" t="s">
        <v>74</v>
      </c>
      <c r="AU996">
        <v>2019</v>
      </c>
      <c r="AV996" t="s">
        <v>74</v>
      </c>
      <c r="AW996" t="s">
        <v>74</v>
      </c>
      <c r="AX996" t="s">
        <v>74</v>
      </c>
      <c r="AY996" t="s">
        <v>74</v>
      </c>
      <c r="AZ996" t="s">
        <v>74</v>
      </c>
      <c r="BA996" t="s">
        <v>74</v>
      </c>
      <c r="BB996" t="s">
        <v>74</v>
      </c>
      <c r="BC996" t="s">
        <v>74</v>
      </c>
      <c r="BD996" t="s">
        <v>18669</v>
      </c>
      <c r="BE996" t="s">
        <v>74</v>
      </c>
      <c r="BF996" t="s">
        <v>74</v>
      </c>
      <c r="BG996" t="s">
        <v>74</v>
      </c>
      <c r="BH996" t="s">
        <v>74</v>
      </c>
      <c r="BI996">
        <v>6</v>
      </c>
      <c r="BJ996" t="s">
        <v>18656</v>
      </c>
      <c r="BK996" t="s">
        <v>17108</v>
      </c>
      <c r="BL996" t="s">
        <v>12769</v>
      </c>
      <c r="BM996" t="s">
        <v>18670</v>
      </c>
      <c r="BN996" t="s">
        <v>74</v>
      </c>
      <c r="BO996" t="s">
        <v>74</v>
      </c>
      <c r="BP996" t="s">
        <v>74</v>
      </c>
      <c r="BQ996" t="s">
        <v>74</v>
      </c>
      <c r="BR996" t="s">
        <v>107</v>
      </c>
      <c r="BS996" t="s">
        <v>18671</v>
      </c>
      <c r="BT996" t="str">
        <f>HYPERLINK("https%3A%2F%2Fwww.webofscience.com%2Fwos%2Fwoscc%2Ffull-record%2FWOS:000513308900014","View Full Record in Web of Science")</f>
        <v>View Full Record in Web of Science</v>
      </c>
    </row>
    <row r="997" spans="1:72" x14ac:dyDescent="0.15">
      <c r="A997" t="s">
        <v>16897</v>
      </c>
      <c r="B997" t="s">
        <v>18672</v>
      </c>
      <c r="C997" t="s">
        <v>74</v>
      </c>
      <c r="D997" t="s">
        <v>18673</v>
      </c>
      <c r="E997" t="s">
        <v>74</v>
      </c>
      <c r="F997" t="s">
        <v>18674</v>
      </c>
      <c r="G997" t="s">
        <v>74</v>
      </c>
      <c r="H997" t="s">
        <v>74</v>
      </c>
      <c r="I997" t="s">
        <v>18675</v>
      </c>
      <c r="J997" t="s">
        <v>18676</v>
      </c>
      <c r="K997" t="s">
        <v>18677</v>
      </c>
      <c r="L997" t="s">
        <v>74</v>
      </c>
      <c r="M997" t="s">
        <v>78</v>
      </c>
      <c r="N997" t="s">
        <v>17065</v>
      </c>
      <c r="O997" t="s">
        <v>74</v>
      </c>
      <c r="P997" t="s">
        <v>74</v>
      </c>
      <c r="Q997" t="s">
        <v>74</v>
      </c>
      <c r="R997" t="s">
        <v>74</v>
      </c>
      <c r="S997" t="s">
        <v>74</v>
      </c>
      <c r="T997" t="s">
        <v>18678</v>
      </c>
      <c r="U997" t="s">
        <v>18679</v>
      </c>
      <c r="V997" t="s">
        <v>18680</v>
      </c>
      <c r="W997" t="s">
        <v>18681</v>
      </c>
      <c r="X997" t="s">
        <v>18682</v>
      </c>
      <c r="Y997" t="s">
        <v>18683</v>
      </c>
      <c r="Z997" t="s">
        <v>18684</v>
      </c>
      <c r="AA997" t="s">
        <v>18685</v>
      </c>
      <c r="AB997" t="s">
        <v>18686</v>
      </c>
      <c r="AC997" t="s">
        <v>74</v>
      </c>
      <c r="AD997" t="s">
        <v>74</v>
      </c>
      <c r="AE997" t="s">
        <v>74</v>
      </c>
      <c r="AF997" t="s">
        <v>74</v>
      </c>
      <c r="AG997">
        <v>390</v>
      </c>
      <c r="AH997">
        <v>5</v>
      </c>
      <c r="AI997">
        <v>5</v>
      </c>
      <c r="AJ997">
        <v>2</v>
      </c>
      <c r="AK997">
        <v>21</v>
      </c>
      <c r="AL997" t="s">
        <v>4213</v>
      </c>
      <c r="AM997" t="s">
        <v>4214</v>
      </c>
      <c r="AN997" t="s">
        <v>4215</v>
      </c>
      <c r="AO997" t="s">
        <v>18687</v>
      </c>
      <c r="AP997" t="s">
        <v>18688</v>
      </c>
      <c r="AQ997" t="s">
        <v>18689</v>
      </c>
      <c r="AR997" t="s">
        <v>18690</v>
      </c>
      <c r="AS997" t="s">
        <v>18691</v>
      </c>
      <c r="AT997" t="s">
        <v>74</v>
      </c>
      <c r="AU997">
        <v>2019</v>
      </c>
      <c r="AV997">
        <v>1200</v>
      </c>
      <c r="AW997" t="s">
        <v>74</v>
      </c>
      <c r="AX997" t="s">
        <v>74</v>
      </c>
      <c r="AY997" t="s">
        <v>74</v>
      </c>
      <c r="AZ997" t="s">
        <v>74</v>
      </c>
      <c r="BA997" t="s">
        <v>74</v>
      </c>
      <c r="BB997">
        <v>363</v>
      </c>
      <c r="BC997">
        <v>411</v>
      </c>
      <c r="BD997" t="s">
        <v>74</v>
      </c>
      <c r="BE997" t="s">
        <v>18692</v>
      </c>
      <c r="BF997" t="str">
        <f>HYPERLINK("http://dx.doi.org/10.1007/978-3-030-23633-5_13","http://dx.doi.org/10.1007/978-3-030-23633-5_13")</f>
        <v>http://dx.doi.org/10.1007/978-3-030-23633-5_13</v>
      </c>
      <c r="BG997" t="s">
        <v>18693</v>
      </c>
      <c r="BH997" t="s">
        <v>74</v>
      </c>
      <c r="BI997">
        <v>49</v>
      </c>
      <c r="BJ997" t="s">
        <v>18694</v>
      </c>
      <c r="BK997" t="s">
        <v>17493</v>
      </c>
      <c r="BL997" t="s">
        <v>18695</v>
      </c>
      <c r="BM997" t="s">
        <v>18696</v>
      </c>
      <c r="BN997">
        <v>31471804</v>
      </c>
      <c r="BO997" t="s">
        <v>74</v>
      </c>
      <c r="BP997" t="s">
        <v>74</v>
      </c>
      <c r="BQ997" t="s">
        <v>74</v>
      </c>
      <c r="BR997" t="s">
        <v>107</v>
      </c>
      <c r="BS997" t="s">
        <v>18697</v>
      </c>
      <c r="BT997" t="str">
        <f>HYPERLINK("https%3A%2F%2Fwww.webofscience.com%2Fwos%2Fwoscc%2Ffull-record%2FWOS:000514114400014","View Full Record in Web of Science")</f>
        <v>View Full Record in Web of Science</v>
      </c>
    </row>
    <row r="998" spans="1:72" x14ac:dyDescent="0.15">
      <c r="A998" t="s">
        <v>17084</v>
      </c>
      <c r="B998" t="s">
        <v>18698</v>
      </c>
      <c r="C998" t="s">
        <v>74</v>
      </c>
      <c r="D998" t="s">
        <v>18699</v>
      </c>
      <c r="E998" t="s">
        <v>74</v>
      </c>
      <c r="F998" t="s">
        <v>18700</v>
      </c>
      <c r="G998" t="s">
        <v>74</v>
      </c>
      <c r="H998" t="s">
        <v>74</v>
      </c>
      <c r="I998" t="s">
        <v>18701</v>
      </c>
      <c r="J998" t="s">
        <v>18702</v>
      </c>
      <c r="K998" t="s">
        <v>17875</v>
      </c>
      <c r="L998" t="s">
        <v>74</v>
      </c>
      <c r="M998" t="s">
        <v>78</v>
      </c>
      <c r="N998" t="s">
        <v>17090</v>
      </c>
      <c r="O998" t="s">
        <v>18703</v>
      </c>
      <c r="P998" t="s">
        <v>18704</v>
      </c>
      <c r="Q998" t="s">
        <v>18705</v>
      </c>
      <c r="R998" t="s">
        <v>74</v>
      </c>
      <c r="S998" t="s">
        <v>74</v>
      </c>
      <c r="T998" t="s">
        <v>18706</v>
      </c>
      <c r="U998" t="s">
        <v>74</v>
      </c>
      <c r="V998" t="s">
        <v>18707</v>
      </c>
      <c r="W998" t="s">
        <v>18708</v>
      </c>
      <c r="X998" t="s">
        <v>18709</v>
      </c>
      <c r="Y998" t="s">
        <v>18710</v>
      </c>
      <c r="Z998" t="s">
        <v>18711</v>
      </c>
      <c r="AA998" t="s">
        <v>18712</v>
      </c>
      <c r="AB998" t="s">
        <v>74</v>
      </c>
      <c r="AC998" t="s">
        <v>18713</v>
      </c>
      <c r="AD998" t="s">
        <v>18714</v>
      </c>
      <c r="AE998" t="s">
        <v>18715</v>
      </c>
      <c r="AF998" t="s">
        <v>74</v>
      </c>
      <c r="AG998">
        <v>5</v>
      </c>
      <c r="AH998">
        <v>0</v>
      </c>
      <c r="AI998">
        <v>0</v>
      </c>
      <c r="AJ998">
        <v>1</v>
      </c>
      <c r="AK998">
        <v>2</v>
      </c>
      <c r="AL998" t="s">
        <v>17889</v>
      </c>
      <c r="AM998" t="s">
        <v>17890</v>
      </c>
      <c r="AN998" t="s">
        <v>17891</v>
      </c>
      <c r="AO998" t="s">
        <v>17892</v>
      </c>
      <c r="AP998" t="s">
        <v>17893</v>
      </c>
      <c r="AQ998" t="s">
        <v>18716</v>
      </c>
      <c r="AR998" t="s">
        <v>17895</v>
      </c>
      <c r="AS998" t="s">
        <v>74</v>
      </c>
      <c r="AT998" t="s">
        <v>74</v>
      </c>
      <c r="AU998">
        <v>2019</v>
      </c>
      <c r="AV998">
        <v>11151</v>
      </c>
      <c r="AW998" t="s">
        <v>74</v>
      </c>
      <c r="AX998" t="s">
        <v>74</v>
      </c>
      <c r="AY998" t="s">
        <v>74</v>
      </c>
      <c r="AZ998" t="s">
        <v>74</v>
      </c>
      <c r="BA998" t="s">
        <v>74</v>
      </c>
      <c r="BB998" t="s">
        <v>74</v>
      </c>
      <c r="BC998" t="s">
        <v>74</v>
      </c>
      <c r="BD998" t="s">
        <v>18717</v>
      </c>
      <c r="BE998" t="s">
        <v>18718</v>
      </c>
      <c r="BF998" t="str">
        <f>HYPERLINK("http://dx.doi.org/10.1117/12.2536376","http://dx.doi.org/10.1117/12.2536376")</f>
        <v>http://dx.doi.org/10.1117/12.2536376</v>
      </c>
      <c r="BG998" t="s">
        <v>74</v>
      </c>
      <c r="BH998" t="s">
        <v>74</v>
      </c>
      <c r="BI998">
        <v>4</v>
      </c>
      <c r="BJ998" t="s">
        <v>17898</v>
      </c>
      <c r="BK998" t="s">
        <v>17108</v>
      </c>
      <c r="BL998" t="s">
        <v>17898</v>
      </c>
      <c r="BM998" t="s">
        <v>18719</v>
      </c>
      <c r="BN998" t="s">
        <v>74</v>
      </c>
      <c r="BO998" t="s">
        <v>74</v>
      </c>
      <c r="BP998" t="s">
        <v>74</v>
      </c>
      <c r="BQ998" t="s">
        <v>74</v>
      </c>
      <c r="BR998" t="s">
        <v>107</v>
      </c>
      <c r="BS998" t="s">
        <v>18720</v>
      </c>
      <c r="BT998" t="str">
        <f>HYPERLINK("https%3A%2F%2Fwww.webofscience.com%2Fwos%2Fwoscc%2Ffull-record%2FWOS:000511160400058","View Full Record in Web of Science")</f>
        <v>View Full Record in Web of Science</v>
      </c>
    </row>
    <row r="999" spans="1:72" x14ac:dyDescent="0.15">
      <c r="A999" t="s">
        <v>17084</v>
      </c>
      <c r="B999" t="s">
        <v>18721</v>
      </c>
      <c r="C999" t="s">
        <v>74</v>
      </c>
      <c r="D999" t="s">
        <v>18699</v>
      </c>
      <c r="E999" t="s">
        <v>74</v>
      </c>
      <c r="F999" t="s">
        <v>18722</v>
      </c>
      <c r="G999" t="s">
        <v>74</v>
      </c>
      <c r="H999" t="s">
        <v>74</v>
      </c>
      <c r="I999" t="s">
        <v>18723</v>
      </c>
      <c r="J999" t="s">
        <v>18702</v>
      </c>
      <c r="K999" t="s">
        <v>17875</v>
      </c>
      <c r="L999" t="s">
        <v>74</v>
      </c>
      <c r="M999" t="s">
        <v>78</v>
      </c>
      <c r="N999" t="s">
        <v>17090</v>
      </c>
      <c r="O999" t="s">
        <v>18703</v>
      </c>
      <c r="P999" t="s">
        <v>18704</v>
      </c>
      <c r="Q999" t="s">
        <v>18705</v>
      </c>
      <c r="R999" t="s">
        <v>74</v>
      </c>
      <c r="S999" t="s">
        <v>74</v>
      </c>
      <c r="T999" t="s">
        <v>18724</v>
      </c>
      <c r="U999" t="s">
        <v>18725</v>
      </c>
      <c r="V999" t="s">
        <v>18726</v>
      </c>
      <c r="W999" t="s">
        <v>18727</v>
      </c>
      <c r="X999" t="s">
        <v>18728</v>
      </c>
      <c r="Y999" t="s">
        <v>18729</v>
      </c>
      <c r="Z999" t="s">
        <v>18730</v>
      </c>
      <c r="AA999" t="s">
        <v>74</v>
      </c>
      <c r="AB999" t="s">
        <v>74</v>
      </c>
      <c r="AC999" t="s">
        <v>74</v>
      </c>
      <c r="AD999" t="s">
        <v>74</v>
      </c>
      <c r="AE999" t="s">
        <v>74</v>
      </c>
      <c r="AF999" t="s">
        <v>74</v>
      </c>
      <c r="AG999">
        <v>8</v>
      </c>
      <c r="AH999">
        <v>1</v>
      </c>
      <c r="AI999">
        <v>1</v>
      </c>
      <c r="AJ999">
        <v>0</v>
      </c>
      <c r="AK999">
        <v>3</v>
      </c>
      <c r="AL999" t="s">
        <v>17889</v>
      </c>
      <c r="AM999" t="s">
        <v>17890</v>
      </c>
      <c r="AN999" t="s">
        <v>17891</v>
      </c>
      <c r="AO999" t="s">
        <v>17892</v>
      </c>
      <c r="AP999" t="s">
        <v>17893</v>
      </c>
      <c r="AQ999" t="s">
        <v>18716</v>
      </c>
      <c r="AR999" t="s">
        <v>17895</v>
      </c>
      <c r="AS999" t="s">
        <v>74</v>
      </c>
      <c r="AT999" t="s">
        <v>74</v>
      </c>
      <c r="AU999">
        <v>2019</v>
      </c>
      <c r="AV999">
        <v>11151</v>
      </c>
      <c r="AW999" t="s">
        <v>74</v>
      </c>
      <c r="AX999" t="s">
        <v>74</v>
      </c>
      <c r="AY999" t="s">
        <v>74</v>
      </c>
      <c r="AZ999" t="s">
        <v>74</v>
      </c>
      <c r="BA999" t="s">
        <v>74</v>
      </c>
      <c r="BB999" t="s">
        <v>74</v>
      </c>
      <c r="BC999" t="s">
        <v>74</v>
      </c>
      <c r="BD999" t="s">
        <v>18731</v>
      </c>
      <c r="BE999" t="s">
        <v>18732</v>
      </c>
      <c r="BF999" t="str">
        <f>HYPERLINK("http://dx.doi.org/10.1117/12.2532851","http://dx.doi.org/10.1117/12.2532851")</f>
        <v>http://dx.doi.org/10.1117/12.2532851</v>
      </c>
      <c r="BG999" t="s">
        <v>74</v>
      </c>
      <c r="BH999" t="s">
        <v>74</v>
      </c>
      <c r="BI999">
        <v>9</v>
      </c>
      <c r="BJ999" t="s">
        <v>17898</v>
      </c>
      <c r="BK999" t="s">
        <v>17108</v>
      </c>
      <c r="BL999" t="s">
        <v>17898</v>
      </c>
      <c r="BM999" t="s">
        <v>18719</v>
      </c>
      <c r="BN999" t="s">
        <v>74</v>
      </c>
      <c r="BO999" t="s">
        <v>403</v>
      </c>
      <c r="BP999" t="s">
        <v>74</v>
      </c>
      <c r="BQ999" t="s">
        <v>74</v>
      </c>
      <c r="BR999" t="s">
        <v>107</v>
      </c>
      <c r="BS999" t="s">
        <v>18733</v>
      </c>
      <c r="BT999" t="str">
        <f>HYPERLINK("https%3A%2F%2Fwww.webofscience.com%2Fwos%2Fwoscc%2Ffull-record%2FWOS:000511160400040","View Full Record in Web of Science")</f>
        <v>View Full Record in Web of Science</v>
      </c>
    </row>
    <row r="1000" spans="1:72" x14ac:dyDescent="0.15">
      <c r="A1000" t="s">
        <v>72</v>
      </c>
      <c r="B1000" t="s">
        <v>18734</v>
      </c>
      <c r="C1000" t="s">
        <v>74</v>
      </c>
      <c r="D1000" t="s">
        <v>74</v>
      </c>
      <c r="E1000" t="s">
        <v>74</v>
      </c>
      <c r="F1000" t="s">
        <v>18735</v>
      </c>
      <c r="G1000" t="s">
        <v>74</v>
      </c>
      <c r="H1000" t="s">
        <v>74</v>
      </c>
      <c r="I1000" t="s">
        <v>18736</v>
      </c>
      <c r="J1000" t="s">
        <v>18737</v>
      </c>
      <c r="K1000" t="s">
        <v>74</v>
      </c>
      <c r="L1000" t="s">
        <v>74</v>
      </c>
      <c r="M1000" t="s">
        <v>78</v>
      </c>
      <c r="N1000" t="s">
        <v>79</v>
      </c>
      <c r="O1000" t="s">
        <v>74</v>
      </c>
      <c r="P1000" t="s">
        <v>74</v>
      </c>
      <c r="Q1000" t="s">
        <v>74</v>
      </c>
      <c r="R1000" t="s">
        <v>74</v>
      </c>
      <c r="S1000" t="s">
        <v>74</v>
      </c>
      <c r="T1000" t="s">
        <v>18738</v>
      </c>
      <c r="U1000" t="s">
        <v>18739</v>
      </c>
      <c r="V1000" t="s">
        <v>18740</v>
      </c>
      <c r="W1000" t="s">
        <v>18741</v>
      </c>
      <c r="X1000" t="s">
        <v>18742</v>
      </c>
      <c r="Y1000" t="s">
        <v>18743</v>
      </c>
      <c r="Z1000" t="s">
        <v>18744</v>
      </c>
      <c r="AA1000" t="s">
        <v>18745</v>
      </c>
      <c r="AB1000" t="s">
        <v>18746</v>
      </c>
      <c r="AC1000" t="s">
        <v>74</v>
      </c>
      <c r="AD1000" t="s">
        <v>74</v>
      </c>
      <c r="AE1000" t="s">
        <v>74</v>
      </c>
      <c r="AF1000" t="s">
        <v>74</v>
      </c>
      <c r="AG1000">
        <v>48</v>
      </c>
      <c r="AH1000">
        <v>0</v>
      </c>
      <c r="AI1000">
        <v>0</v>
      </c>
      <c r="AJ1000">
        <v>3</v>
      </c>
      <c r="AK1000">
        <v>7</v>
      </c>
      <c r="AL1000" t="s">
        <v>18747</v>
      </c>
      <c r="AM1000" t="s">
        <v>18748</v>
      </c>
      <c r="AN1000" t="s">
        <v>18749</v>
      </c>
      <c r="AO1000" t="s">
        <v>18750</v>
      </c>
      <c r="AP1000" t="s">
        <v>18751</v>
      </c>
      <c r="AQ1000" t="s">
        <v>74</v>
      </c>
      <c r="AR1000" t="s">
        <v>18752</v>
      </c>
      <c r="AS1000" t="s">
        <v>18753</v>
      </c>
      <c r="AT1000" t="s">
        <v>74</v>
      </c>
      <c r="AU1000">
        <v>2019</v>
      </c>
      <c r="AV1000">
        <v>10</v>
      </c>
      <c r="AW1000">
        <v>4</v>
      </c>
      <c r="AX1000" t="s">
        <v>74</v>
      </c>
      <c r="AY1000" t="s">
        <v>74</v>
      </c>
      <c r="AZ1000" t="s">
        <v>74</v>
      </c>
      <c r="BA1000" t="s">
        <v>74</v>
      </c>
      <c r="BB1000">
        <v>538</v>
      </c>
      <c r="BC1000">
        <v>543</v>
      </c>
      <c r="BD1000" t="s">
        <v>74</v>
      </c>
      <c r="BE1000" t="s">
        <v>18754</v>
      </c>
      <c r="BF1000" t="str">
        <f>HYPERLINK("http://dx.doi.org/10.15421/021979","http://dx.doi.org/10.15421/021979")</f>
        <v>http://dx.doi.org/10.15421/021979</v>
      </c>
      <c r="BG1000" t="s">
        <v>74</v>
      </c>
      <c r="BH1000" t="s">
        <v>74</v>
      </c>
      <c r="BI1000">
        <v>6</v>
      </c>
      <c r="BJ1000" t="s">
        <v>3992</v>
      </c>
      <c r="BK1000" t="s">
        <v>2712</v>
      </c>
      <c r="BL1000" t="s">
        <v>3993</v>
      </c>
      <c r="BM1000" t="s">
        <v>18755</v>
      </c>
      <c r="BN1000" t="s">
        <v>74</v>
      </c>
      <c r="BO1000" t="s">
        <v>1415</v>
      </c>
      <c r="BP1000" t="s">
        <v>74</v>
      </c>
      <c r="BQ1000" t="s">
        <v>74</v>
      </c>
      <c r="BR1000" t="s">
        <v>107</v>
      </c>
      <c r="BS1000" t="s">
        <v>18756</v>
      </c>
      <c r="BT1000" t="str">
        <f>HYPERLINK("https%3A%2F%2Fwww.webofscience.com%2Fwos%2Fwoscc%2Ffull-record%2FWOS:000511156900025","View Full Record in Web of Science")</f>
        <v>View Full Record in Web of Science</v>
      </c>
    </row>
    <row r="1001" spans="1:72" x14ac:dyDescent="0.15">
      <c r="A1001" t="s">
        <v>72</v>
      </c>
      <c r="B1001" t="s">
        <v>18757</v>
      </c>
      <c r="C1001" t="s">
        <v>74</v>
      </c>
      <c r="D1001" t="s">
        <v>74</v>
      </c>
      <c r="E1001" t="s">
        <v>74</v>
      </c>
      <c r="F1001" t="s">
        <v>18758</v>
      </c>
      <c r="G1001" t="s">
        <v>74</v>
      </c>
      <c r="H1001" t="s">
        <v>74</v>
      </c>
      <c r="I1001" t="s">
        <v>18759</v>
      </c>
      <c r="J1001" t="s">
        <v>18760</v>
      </c>
      <c r="K1001" t="s">
        <v>74</v>
      </c>
      <c r="L1001" t="s">
        <v>74</v>
      </c>
      <c r="M1001" t="s">
        <v>78</v>
      </c>
      <c r="N1001" t="s">
        <v>79</v>
      </c>
      <c r="O1001" t="s">
        <v>74</v>
      </c>
      <c r="P1001" t="s">
        <v>74</v>
      </c>
      <c r="Q1001" t="s">
        <v>74</v>
      </c>
      <c r="R1001" t="s">
        <v>74</v>
      </c>
      <c r="S1001" t="s">
        <v>74</v>
      </c>
      <c r="T1001" t="s">
        <v>18761</v>
      </c>
      <c r="U1001" t="s">
        <v>18762</v>
      </c>
      <c r="V1001" t="s">
        <v>18763</v>
      </c>
      <c r="W1001" t="s">
        <v>18764</v>
      </c>
      <c r="X1001" t="s">
        <v>18765</v>
      </c>
      <c r="Y1001" t="s">
        <v>18766</v>
      </c>
      <c r="Z1001" t="s">
        <v>18767</v>
      </c>
      <c r="AA1001" t="s">
        <v>18768</v>
      </c>
      <c r="AB1001" t="s">
        <v>74</v>
      </c>
      <c r="AC1001" t="s">
        <v>18769</v>
      </c>
      <c r="AD1001" t="s">
        <v>18770</v>
      </c>
      <c r="AE1001" t="s">
        <v>18771</v>
      </c>
      <c r="AF1001" t="s">
        <v>74</v>
      </c>
      <c r="AG1001">
        <v>39</v>
      </c>
      <c r="AH1001">
        <v>3</v>
      </c>
      <c r="AI1001">
        <v>3</v>
      </c>
      <c r="AJ1001">
        <v>0</v>
      </c>
      <c r="AK1001">
        <v>1</v>
      </c>
      <c r="AL1001" t="s">
        <v>18772</v>
      </c>
      <c r="AM1001" t="s">
        <v>18773</v>
      </c>
      <c r="AN1001" t="s">
        <v>18774</v>
      </c>
      <c r="AO1001" t="s">
        <v>18775</v>
      </c>
      <c r="AP1001" t="s">
        <v>18776</v>
      </c>
      <c r="AQ1001" t="s">
        <v>74</v>
      </c>
      <c r="AR1001" t="s">
        <v>18760</v>
      </c>
      <c r="AS1001" t="s">
        <v>18777</v>
      </c>
      <c r="AT1001" t="s">
        <v>16954</v>
      </c>
      <c r="AU1001">
        <v>2019</v>
      </c>
      <c r="AV1001">
        <v>41</v>
      </c>
      <c r="AW1001">
        <v>1</v>
      </c>
      <c r="AX1001" t="s">
        <v>74</v>
      </c>
      <c r="AY1001" t="s">
        <v>74</v>
      </c>
      <c r="AZ1001" t="s">
        <v>74</v>
      </c>
      <c r="BA1001" t="s">
        <v>74</v>
      </c>
      <c r="BB1001">
        <v>419</v>
      </c>
      <c r="BC1001">
        <v>441</v>
      </c>
      <c r="BD1001" t="s">
        <v>74</v>
      </c>
      <c r="BE1001" t="s">
        <v>18778</v>
      </c>
      <c r="BF1001" t="str">
        <f>HYPERLINK("http://dx.doi.org/10.5252/zoosystema2019v41a22","http://dx.doi.org/10.5252/zoosystema2019v41a22")</f>
        <v>http://dx.doi.org/10.5252/zoosystema2019v41a22</v>
      </c>
      <c r="BG1001" t="s">
        <v>74</v>
      </c>
      <c r="BH1001" t="s">
        <v>74</v>
      </c>
      <c r="BI1001">
        <v>23</v>
      </c>
      <c r="BJ1001" t="s">
        <v>1674</v>
      </c>
      <c r="BK1001" t="s">
        <v>102</v>
      </c>
      <c r="BL1001" t="s">
        <v>1674</v>
      </c>
      <c r="BM1001" t="s">
        <v>18779</v>
      </c>
      <c r="BN1001" t="s">
        <v>74</v>
      </c>
      <c r="BO1001" t="s">
        <v>403</v>
      </c>
      <c r="BP1001" t="s">
        <v>74</v>
      </c>
      <c r="BQ1001" t="s">
        <v>74</v>
      </c>
      <c r="BR1001" t="s">
        <v>107</v>
      </c>
      <c r="BS1001" t="s">
        <v>18780</v>
      </c>
      <c r="BT1001" t="str">
        <f>HYPERLINK("https%3A%2F%2Fwww.webofscience.com%2Fwos%2Fwoscc%2Ffull-record%2FWOS:000510422300014","View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2024-07-28T15:23:47Z</dcterms:created>
  <dcterms:modified xsi:type="dcterms:W3CDTF">2024-07-28T15:23:47Z</dcterms:modified>
</cp:coreProperties>
</file>